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7.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anOBrien\Models\EPS\US\eps-us\InputData\indst\IECCpUAEU\"/>
    </mc:Choice>
  </mc:AlternateContent>
  <xr:revisionPtr revIDLastSave="0" documentId="13_ncr:1_{8E1BBB21-20F8-4C4A-989D-57B18F0979B4}" xr6:coauthVersionLast="47" xr6:coauthVersionMax="47" xr10:uidLastSave="{00000000-0000-0000-0000-000000000000}"/>
  <bookViews>
    <workbookView xWindow="1560" yWindow="1560" windowWidth="21600" windowHeight="11235" tabRatio="762" xr2:uid="{6A73F6BA-E2AF-4EFC-B7D0-AD586970A910}"/>
  </bookViews>
  <sheets>
    <sheet name="About" sheetId="1" r:id="rId1"/>
    <sheet name="cpi" sheetId="34" r:id="rId2"/>
    <sheet name="Boilers &amp; Heat Pumps" sheetId="3" r:id="rId3"/>
    <sheet name="Cooling" sheetId="4" r:id="rId4"/>
    <sheet name="NB Medium Temp" sheetId="9" r:id="rId5"/>
    <sheet name="NB High Temp" sheetId="7" r:id="rId6"/>
    <sheet name="Machine Drive" sheetId="5" r:id="rId7"/>
    <sheet name="Electrochemical" sheetId="6" r:id="rId8"/>
    <sheet name="Lighting" sheetId="13" r:id="rId9"/>
    <sheet name="Other" sheetId="10" r:id="rId10"/>
    <sheet name="Other (mobile)" sheetId="11" r:id="rId11"/>
    <sheet name="Summary" sheetId="14" r:id="rId12"/>
    <sheet name="IECCpUAEU" sheetId="2" r:id="rId13"/>
    <sheet name="IECCpUAEU-mobile" sheetId="12" r:id="rId14"/>
    <sheet name="1.1 Traditional heat pump" sheetId="15" r:id="rId15"/>
    <sheet name="1.2 heat_cool hp 80 C 75 K " sheetId="16" r:id="rId16"/>
    <sheet name="2.a High temp. hp Up to 125C" sheetId="17" r:id="rId17"/>
    <sheet name="2.b High temp. hp Up to 150" sheetId="18" r:id="rId18"/>
    <sheet name="4 MVR 5 K" sheetId="19" r:id="rId19"/>
    <sheet name="5.1a Electric boiler steam" sheetId="20" r:id="rId20"/>
    <sheet name="5.1b Electric boiler steam" sheetId="21" r:id="rId21"/>
    <sheet name="5.2a Electric boiler hot wate" sheetId="22" r:id="rId22"/>
    <sheet name="5.2b Electric boiler hot wate" sheetId="23" r:id="rId23"/>
    <sheet name="6.1 Boiler, gas and oil" sheetId="24" r:id="rId24"/>
    <sheet name="6.2 Boiler, biomass" sheetId="25" r:id="rId25"/>
    <sheet name="6.3 Boiler, coal" sheetId="26" r:id="rId26"/>
    <sheet name="7.1 Direct firing Natural Gas" sheetId="27" r:id="rId27"/>
    <sheet name="Agora" sheetId="30" r:id="rId28"/>
    <sheet name="Turton" sheetId="31" r:id="rId29"/>
    <sheet name="7.2 Direct firing Solid Fuels" sheetId="28" r:id="rId30"/>
    <sheet name="7.3 Direct electric firing" sheetId="29" r:id="rId31"/>
    <sheet name="indst-BPFUbIP" sheetId="32" r:id="rId32"/>
    <sheet name="indst heat consumption" sheetId="33" r:id="rId33"/>
  </sheets>
  <externalReferences>
    <externalReference r:id="rId34"/>
    <externalReference r:id="rId35"/>
    <externalReference r:id="rId36"/>
    <externalReference r:id="rId37"/>
    <externalReference r:id="rId38"/>
    <externalReference r:id="rId39"/>
    <externalReference r:id="rId40"/>
  </externalReferences>
  <definedNames>
    <definedName name="a" localSheetId="32">#REF!</definedName>
    <definedName name="a">#REF!</definedName>
    <definedName name="AsphaltStore">[1]Control!$D$50</definedName>
    <definedName name="base.year">#REF!</definedName>
    <definedName name="BaseYear">2018</definedName>
    <definedName name="BTV11_15" localSheetId="32">#REF!</definedName>
    <definedName name="BTV11_15">#REF!</definedName>
    <definedName name="BVT17_15" localSheetId="32">#REF!</definedName>
    <definedName name="BVT17_15">#REF!</definedName>
    <definedName name="CAAGR_tolerance">200</definedName>
    <definedName name="CH4_to_CO2e">'[2]Cross-Page Data'!$C$12</definedName>
    <definedName name="CH4GWP">#REF!</definedName>
    <definedName name="CO2_T4_APS" localSheetId="32">#REF!</definedName>
    <definedName name="CO2_T4_APS">#REF!</definedName>
    <definedName name="CO2_T4_NZE" localSheetId="32">#REF!</definedName>
    <definedName name="CO2_T4_NZE">#REF!</definedName>
    <definedName name="CO2_T4_STEPS" localSheetId="32">#REF!</definedName>
    <definedName name="CO2_T4_STEPS">#REF!</definedName>
    <definedName name="CO2_T5_APS" localSheetId="32">#REF!</definedName>
    <definedName name="CO2_T5_APS">#REF!</definedName>
    <definedName name="CO2_T5_CPS" localSheetId="32">#REF!</definedName>
    <definedName name="CO2_T5_CPS">#REF!</definedName>
    <definedName name="CO2_T5_NZE" localSheetId="32">#REF!</definedName>
    <definedName name="CO2_T5_NZE">#REF!</definedName>
    <definedName name="CO2_T5_STEPS" localSheetId="32">#REF!</definedName>
    <definedName name="CO2_T5_STEPS">#REF!</definedName>
    <definedName name="coal.past">#REF!</definedName>
    <definedName name="COAL_PRODUCTION" localSheetId="32">#REF!</definedName>
    <definedName name="COAL_PRODUCTION">#REF!</definedName>
    <definedName name="Coal_trade" localSheetId="32">#REF!</definedName>
    <definedName name="Coal_trade">#REF!</definedName>
    <definedName name="coaldemand" localSheetId="32">#REF!</definedName>
    <definedName name="coaldemand">#REF!</definedName>
    <definedName name="CokeCoalStore">[1]Control!$D$63</definedName>
    <definedName name="Constants.Density.Diesel">#REF!</definedName>
    <definedName name="Constants.Density.Ethanol">#REF!</definedName>
    <definedName name="Constants.Density.JetFuel">#REF!</definedName>
    <definedName name="Constants.Density.MotorSpirit">#REF!</definedName>
    <definedName name="ConsumeBlock1">'[1]Default State Energy Data Table'!$A$6:$AM$67</definedName>
    <definedName name="Conversion.to.average.power">#REF!</definedName>
    <definedName name="Conversion.water.L">#REF!</definedName>
    <definedName name="Conversion.water.units">#REF!</definedName>
    <definedName name="Conversions.Area.m2">#REF!</definedName>
    <definedName name="Conversions.Area.Units">#REF!</definedName>
    <definedName name="Conversions.Energy.Joules">#REF!</definedName>
    <definedName name="Conversions.Energy.Units">#REF!</definedName>
    <definedName name="Conversions.Money.GBP">#REF!</definedName>
    <definedName name="Conversions.Money.Units">#REF!</definedName>
    <definedName name="Conversions.Power.Units">#REF!</definedName>
    <definedName name="Conversions.Power.Watts">#REF!</definedName>
    <definedName name="Cost.Capital.Scenario">#REF!</definedName>
    <definedName name="Cost.Finance.Scenario">#REF!</definedName>
    <definedName name="Cost.Fuel.Scenario">#REF!</definedName>
    <definedName name="Cost.Infrastructure.Scenario">#REF!</definedName>
    <definedName name="cpi_2010to2012" localSheetId="32">#REF!</definedName>
    <definedName name="cpi_2010to2012">#REF!</definedName>
    <definedName name="cpi_2013to2012" localSheetId="32">#REF!</definedName>
    <definedName name="cpi_2013to2012">#REF!</definedName>
    <definedName name="cpi_2014to2012" localSheetId="32">#REF!</definedName>
    <definedName name="cpi_2014to2012">#REF!</definedName>
    <definedName name="cpi_2016to2012" localSheetId="32">#REF!</definedName>
    <definedName name="cpi_2016to2012">#REF!</definedName>
    <definedName name="CreateRegions" localSheetId="32">#REF!</definedName>
    <definedName name="CreateRegions">#REF!</definedName>
    <definedName name="csp.capacity">#REF!</definedName>
    <definedName name="CSVfilepath" localSheetId="32">#REF!</definedName>
    <definedName name="CSVfilepath">#REF!</definedName>
    <definedName name="D" localSheetId="32">#REF!</definedName>
    <definedName name="d">#REF!</definedName>
    <definedName name="dd" localSheetId="32">#REF!</definedName>
    <definedName name="dd">#REF!</definedName>
    <definedName name="ddd" localSheetId="32">#REF!</definedName>
    <definedName name="ddd">#REF!</definedName>
    <definedName name="ddddd" localSheetId="32">#REF!</definedName>
    <definedName name="ddddd">#REF!</definedName>
    <definedName name="dddddd" localSheetId="32">#REF!</definedName>
    <definedName name="dddddd">#REF!</definedName>
    <definedName name="deflator_year">"$2018"</definedName>
    <definedName name="DeflatorYear">"$2018"</definedName>
    <definedName name="discount_factors">#REF!</definedName>
    <definedName name="DistillStore">[1]Control!$D$51</definedName>
    <definedName name="DW_EDO_022WV" localSheetId="32">#REF!</definedName>
    <definedName name="DW_EDO_022WV">#REF!</definedName>
    <definedName name="DW_EDO_023WV" localSheetId="32">#REF!</definedName>
    <definedName name="DW_EDO_023WV">#REF!</definedName>
    <definedName name="DW_EDO_024WV" localSheetId="32">#REF!</definedName>
    <definedName name="DW_EDO_024WV">#REF!</definedName>
    <definedName name="DW_EDO_C2022" localSheetId="32">#REF!</definedName>
    <definedName name="DW_EDO_C2022">#REF!</definedName>
    <definedName name="DW_EDO_C2023" localSheetId="32">#REF!</definedName>
    <definedName name="DW_EDO_C2023">#REF!</definedName>
    <definedName name="DW_EDO_C2024" localSheetId="32">#REF!</definedName>
    <definedName name="DW_EDO_C2024">#REF!</definedName>
    <definedName name="DW_EDO_C2025" localSheetId="32">#REF!</definedName>
    <definedName name="DW_EDO_C2025">#REF!</definedName>
    <definedName name="DW_ESIO_023WV" localSheetId="32">#REF!</definedName>
    <definedName name="DW_ESIO_023WV">#REF!</definedName>
    <definedName name="DW_ESIO_C2022" localSheetId="32">#REF!</definedName>
    <definedName name="DW_ESIO_C2022">#REF!</definedName>
    <definedName name="DW_ESIO_C2023" localSheetId="32">#REF!</definedName>
    <definedName name="DW_ESIO_C2023">#REF!</definedName>
    <definedName name="DW_ESIO_C2024" localSheetId="32">#REF!</definedName>
    <definedName name="DW_ESIO_C2024">#REF!</definedName>
    <definedName name="DW_ESIO_C2025" localSheetId="32">#REF!</definedName>
    <definedName name="DW_ESIO_C2025">#REF!</definedName>
    <definedName name="DW_TRADE_C2024" localSheetId="32">#REF!</definedName>
    <definedName name="DW_TRADE_C2024">#REF!</definedName>
    <definedName name="DW_TRADE_C2025" localSheetId="32">#REF!</definedName>
    <definedName name="DW_TRADE_C2025">#REF!</definedName>
    <definedName name="DWdata" localSheetId="32">#REF!</definedName>
    <definedName name="DWdata">#REF!</definedName>
    <definedName name="ee" localSheetId="32">#REF!</definedName>
    <definedName name="ee">#REF!</definedName>
    <definedName name="EF.BlastFurnaceGas.CO2">#REF!</definedName>
    <definedName name="EF.Diesel.CH4">#REF!</definedName>
    <definedName name="EF.Diesel.CO2">#REF!</definedName>
    <definedName name="EF.Diesel.N2O">#REF!</definedName>
    <definedName name="EF.IndustrialCoal.CH4">#REF!</definedName>
    <definedName name="EF.IndustrialCoal.CO2">#REF!</definedName>
    <definedName name="EF.IndustrialCoal.N2O">#REF!</definedName>
    <definedName name="EF.NaturalGas.CH4">#REF!</definedName>
    <definedName name="EF.NaturalGas.CO2">#REF!</definedName>
    <definedName name="EF.NaturalGas.N2O">#REF!</definedName>
    <definedName name="ELEC_T3_APS" localSheetId="32">#REF!</definedName>
    <definedName name="ELEC_T3_APS">#REF!</definedName>
    <definedName name="ELEC_T3_NZE" localSheetId="32">#REF!</definedName>
    <definedName name="ELEC_T3_NZE">#REF!</definedName>
    <definedName name="ELEC_T3_STEPS" localSheetId="32">#REF!</definedName>
    <definedName name="ELEC_T3_STEPS">#REF!</definedName>
    <definedName name="ELEC_T4_APS" localSheetId="32">#REF!</definedName>
    <definedName name="ELEC_T4_APS">#REF!</definedName>
    <definedName name="ELEC_T4_CPS" localSheetId="32">#REF!</definedName>
    <definedName name="ELEC_T4_CPS">#REF!</definedName>
    <definedName name="ELEC_T4_NZE" localSheetId="32">#REF!</definedName>
    <definedName name="ELEC_T4_NZE">#REF!</definedName>
    <definedName name="ELEC_T4_STEPS" localSheetId="32">#REF!</definedName>
    <definedName name="ELEC_T4_STEPS">#REF!</definedName>
    <definedName name="esio_other" localSheetId="32">#REF!</definedName>
    <definedName name="esio_other">#REF!</definedName>
    <definedName name="esio_steps" localSheetId="32">#REF!</definedName>
    <definedName name="esio_steps">#REF!</definedName>
    <definedName name="EUR16tilEUR15" localSheetId="32">#REF!</definedName>
    <definedName name="EUR16tilEUR15">#REF!</definedName>
    <definedName name="eurdkk" localSheetId="32">#REF!</definedName>
    <definedName name="eurdkk">#REF!</definedName>
    <definedName name="ff" localSheetId="32">#REF!</definedName>
    <definedName name="ff">#REF!</definedName>
    <definedName name="fff" localSheetId="32">#REF!</definedName>
    <definedName name="fff">#REF!</definedName>
    <definedName name="ffff" localSheetId="32">#REF!</definedName>
    <definedName name="ffff">#REF!</definedName>
    <definedName name="fffffff" localSheetId="32">#REF!</definedName>
    <definedName name="fffffff">#REF!</definedName>
    <definedName name="fffffffffff" localSheetId="32">#REF!</definedName>
    <definedName name="fffffffffff">#REF!</definedName>
    <definedName name="Floating" localSheetId="32">#REF!</definedName>
    <definedName name="Floating">#REF!</definedName>
    <definedName name="FloatingPV" localSheetId="32">#REF!</definedName>
    <definedName name="FloatingPV">#REF!</definedName>
    <definedName name="GAS_PRODUCTION" localSheetId="32">#REF!</definedName>
    <definedName name="GAS_PRODUCTION">#REF!</definedName>
    <definedName name="gasdemand" localSheetId="32">#REF!</definedName>
    <definedName name="gasdemand">#REF!</definedName>
    <definedName name="GBP">#REF!</definedName>
    <definedName name="gigwatts_to_megawatts">[3]About!$A$31</definedName>
    <definedName name="growth.scenario">#REF!</definedName>
    <definedName name="GWP.CH4">#REF!</definedName>
    <definedName name="GWP.N2O">#REF!</definedName>
    <definedName name="GWPCH4">#REF!</definedName>
    <definedName name="GWPN2O">#REF!</definedName>
    <definedName name="h">#REF!</definedName>
    <definedName name="hh" localSheetId="32">#REF!</definedName>
    <definedName name="hh">#REF!</definedName>
    <definedName name="hhhhh" localSheetId="32">#REF!</definedName>
    <definedName name="hhhhh">#REF!</definedName>
    <definedName name="hhhhhhhhhhhh" localSheetId="32">#REF!</definedName>
    <definedName name="hhhhhhhhhhhh">#REF!</definedName>
    <definedName name="I.01">#REF!</definedName>
    <definedName name="I.a.scenario">#REF!</definedName>
    <definedName name="I.b.scenario">#REF!</definedName>
    <definedName name="I.b.scenario.efficiency">#REF!</definedName>
    <definedName name="I.c.scenario">#REF!</definedName>
    <definedName name="I.c.scenario.fuelmix">#REF!</definedName>
    <definedName name="ii" localSheetId="32">#REF!</definedName>
    <definedName name="ii">#REF!</definedName>
    <definedName name="II.scenario">#REF!</definedName>
    <definedName name="III.scenario">#REF!</definedName>
    <definedName name="INDIC_T5_APS" localSheetId="32">#REF!</definedName>
    <definedName name="INDIC_T5_APS">#REF!</definedName>
    <definedName name="INDIC_T5_NZE" localSheetId="32">#REF!</definedName>
    <definedName name="INDIC_T5_NZE">#REF!</definedName>
    <definedName name="INDIC_T5_STEPS" localSheetId="32">#REF!</definedName>
    <definedName name="INDIC_T5_STEPS">#REF!</definedName>
    <definedName name="INDIC_T6_APS" localSheetId="32">#REF!</definedName>
    <definedName name="INDIC_T6_APS">#REF!</definedName>
    <definedName name="INDIC_T6_CPS" localSheetId="32">#REF!</definedName>
    <definedName name="INDIC_T6_CPS">#REF!</definedName>
    <definedName name="INDIC_T6_NZE" localSheetId="32">#REF!</definedName>
    <definedName name="INDIC_T6_NZE">#REF!</definedName>
    <definedName name="INDIC_T6_STEPS" localSheetId="32">#REF!</definedName>
    <definedName name="INDIC_T6_STEPS">#REF!</definedName>
    <definedName name="input.choice">#REF!</definedName>
    <definedName name="INR">#REF!</definedName>
    <definedName name="INRb">#REF!</definedName>
    <definedName name="INRCr">#REF!</definedName>
    <definedName name="INRLac">#REF!</definedName>
    <definedName name="INRt">#REF!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IV.a.scenario">#REF!</definedName>
    <definedName name="IV.b.scenario">#REF!</definedName>
    <definedName name="IV.c.1.scenario">#REF!</definedName>
    <definedName name="iv.c.2.scenario">#REF!</definedName>
    <definedName name="IV.d.scenario">#REF!</definedName>
    <definedName name="IV.e.scenario">#REF!</definedName>
    <definedName name="IV.f.scenario">#REF!</definedName>
    <definedName name="IX.a.scenario">#REF!</definedName>
    <definedName name="jjjjjj" localSheetId="32">#REF!</definedName>
    <definedName name="jjjjjj">#REF!</definedName>
    <definedName name="LastHistYear">2020</definedName>
    <definedName name="Learning_Rates" localSheetId="30">#REF!</definedName>
    <definedName name="Learning_Rates" localSheetId="32">#REF!</definedName>
    <definedName name="Learning_Rates">#REF!</definedName>
    <definedName name="LPGStore">[1]Control!$D$52</definedName>
    <definedName name="LubeStore">[1]Control!$D$53</definedName>
    <definedName name="MGBP">#REF!</definedName>
    <definedName name="Minesize.xv.b">#REF!</definedName>
    <definedName name="MiscStore">[1]Control!$D$57</definedName>
    <definedName name="MtoeToBcmeq">41.868/36.1</definedName>
    <definedName name="MtoeToTWh">1/0.086</definedName>
    <definedName name="N2O_to_CO2e">'[2]Cross-Page Data'!$C$13</definedName>
    <definedName name="N2OGWP">#REF!</definedName>
    <definedName name="name_dd" localSheetId="32">#REF!</definedName>
    <definedName name="name_dd">#REF!</definedName>
    <definedName name="NaphStore">[1]Control!$D$55</definedName>
    <definedName name="Natural_gas_trade" localSheetId="32">#REF!</definedName>
    <definedName name="Natural_gas_trade">#REF!</definedName>
    <definedName name="NGStore">[1]Control!$D$64</definedName>
    <definedName name="NonEPercent">'[1]Non-Energy Consump.'!$A$63:$AK$88</definedName>
    <definedName name="nuclear.past">#REF!</definedName>
    <definedName name="Oil_trade" localSheetId="32">#REF!</definedName>
    <definedName name="Oil_trade">#REF!</definedName>
    <definedName name="oildemand" localSheetId="32">#REF!</definedName>
    <definedName name="oildemand">#REF!</definedName>
    <definedName name="ooooooo" localSheetId="32">#REF!</definedName>
    <definedName name="ooooooo">#REF!</definedName>
    <definedName name="oooooooooo" localSheetId="32">#REF!</definedName>
    <definedName name="oooooooooo">#REF!</definedName>
    <definedName name="OtherOilStore">[1]Control!$D$56</definedName>
    <definedName name="outputFilePath" localSheetId="32">#REF!</definedName>
    <definedName name="outputFilePath">#REF!</definedName>
    <definedName name="PentanesStore">[1]Control!$D$58</definedName>
    <definedName name="PetCokeStore">[1]Control!$D$59</definedName>
    <definedName name="plantsize.I.b">#REF!</definedName>
    <definedName name="Plantsize.II">#REF!</definedName>
    <definedName name="Plantsize.III">#REF!</definedName>
    <definedName name="plantsize.iv.a">#REF!</definedName>
    <definedName name="plantsize.iv.b">#REF!</definedName>
    <definedName name="Plantsize.iv.c.1">#REF!</definedName>
    <definedName name="plantsize.iv.c.2">#REF!</definedName>
    <definedName name="plantsize.iv.d">#REF!</definedName>
    <definedName name="Poloris" localSheetId="32">#REF!</definedName>
    <definedName name="Poloris">#REF!</definedName>
    <definedName name="ppppp" localSheetId="32">#REF!</definedName>
    <definedName name="ppppp">#REF!</definedName>
    <definedName name="pppppppppp" localSheetId="32">#REF!</definedName>
    <definedName name="pppppppppp">#REF!</definedName>
    <definedName name="pppppppppppp" localSheetId="32">#REF!</definedName>
    <definedName name="pppppppppppp">#REF!</definedName>
    <definedName name="predefined.scenario">#REF!</definedName>
    <definedName name="Preferences.AreaUnits">#REF!</definedName>
    <definedName name="preferences.energyunits">#REF!</definedName>
    <definedName name="Preferences.moneyunits">#REF!</definedName>
    <definedName name="Preferences.PowerUnits">#REF!</definedName>
    <definedName name="Preferences.Unit.Energy">#REF!</definedName>
    <definedName name="Preferences.Unit.Power">#REF!</definedName>
    <definedName name="Preferences.waterunit">#REF!</definedName>
    <definedName name="Print_Area_MI">#REF!</definedName>
    <definedName name="PublicationCSV" localSheetId="32">OFFSET(#REF!,0,0,COUNTA(#REF!),2)</definedName>
    <definedName name="PublicationCSV">OFFSET(#REF!,0,0,COUNTA(#REF!),2)</definedName>
    <definedName name="qq" localSheetId="32">#REF!</definedName>
    <definedName name="qq">#REF!</definedName>
    <definedName name="Reliability.scenario">#REF!</definedName>
    <definedName name="ResidStore">[1]Control!$D$54</definedName>
    <definedName name="RoundFactorLong">4</definedName>
    <definedName name="RoundFactorMed">3</definedName>
    <definedName name="RoundFactorShort">3</definedName>
    <definedName name="rr" localSheetId="32">#REF!</definedName>
    <definedName name="rr">#REF!</definedName>
    <definedName name="ScenariosCSV" localSheetId="32">OFFSET(#REF!,0,0,COUNTA(#REF!),3)</definedName>
    <definedName name="ScenariosCSV">OFFSET(#REF!,0,0,COUNTA(#REF!),3)</definedName>
    <definedName name="SCN_1" localSheetId="32">#REF!</definedName>
    <definedName name="SCN_1">#REF!</definedName>
    <definedName name="SCN_1LABEL" localSheetId="32">#REF!</definedName>
    <definedName name="SCN_1LABEL">#REF!</definedName>
    <definedName name="SCN_1LABELFLAT" localSheetId="32">#REF!</definedName>
    <definedName name="SCN_1LABELFLAT">#REF!</definedName>
    <definedName name="SCN_1SHORT" localSheetId="32">#REF!</definedName>
    <definedName name="SCN_1SHORT">#REF!</definedName>
    <definedName name="SCN_2" localSheetId="32">#REF!</definedName>
    <definedName name="SCN_2">#REF!</definedName>
    <definedName name="SCN_2LABEL" localSheetId="32">#REF!</definedName>
    <definedName name="SCN_2LABEL">#REF!</definedName>
    <definedName name="SCN_2LABELFLAT" localSheetId="32">#REF!</definedName>
    <definedName name="SCN_2LABELFLAT">#REF!</definedName>
    <definedName name="SCN_2SHORT" localSheetId="32">#REF!</definedName>
    <definedName name="SCN_2SHORT">#REF!</definedName>
    <definedName name="SCN_3" localSheetId="32">#REF!</definedName>
    <definedName name="SCN_3">#REF!</definedName>
    <definedName name="SCN_3LABEL" localSheetId="32">#REF!</definedName>
    <definedName name="SCN_3LABEL">#REF!</definedName>
    <definedName name="SCN_3LABELFLAT" localSheetId="32">#REF!</definedName>
    <definedName name="SCN_3LABELFLAT">#REF!</definedName>
    <definedName name="SCN_HIST" localSheetId="32">#REF!</definedName>
    <definedName name="SCN_HIST">#REF!</definedName>
    <definedName name="sheet10" localSheetId="32">#REF!</definedName>
    <definedName name="sheet10">'5.2b Electric boiler hot wate'!$C$1</definedName>
    <definedName name="sheet11" localSheetId="32">#REF!</definedName>
    <definedName name="sheet11">'6.1 Boiler, gas and oil'!$C$1</definedName>
    <definedName name="sheet12" localSheetId="32">#REF!</definedName>
    <definedName name="sheet12">'6.2 Boiler, biomass'!$C$1</definedName>
    <definedName name="sheet13" localSheetId="32">#REF!</definedName>
    <definedName name="sheet13">'6.3 Boiler, coal'!$C$1</definedName>
    <definedName name="sheet14" localSheetId="32">#REF!</definedName>
    <definedName name="sheet14">'7.1 Direct firing Natural Gas'!$C$1</definedName>
    <definedName name="sheet15" localSheetId="32">#REF!</definedName>
    <definedName name="sheet15">'7.2 Direct firing Solid Fuels'!$C$1</definedName>
    <definedName name="sheet16" localSheetId="20">'5.1b Electric boiler steam'!$C$3</definedName>
    <definedName name="sheet16" localSheetId="32">#REF!</definedName>
    <definedName name="sheet16">'7.3 Direct electric firing'!$C$1</definedName>
    <definedName name="sheet17" localSheetId="22">'5.2b Electric boiler hot wate'!$C$3</definedName>
    <definedName name="sheet17" localSheetId="32">#REF!</definedName>
    <definedName name="sheet17">#REF!</definedName>
    <definedName name="sheet18" localSheetId="32">#REF!</definedName>
    <definedName name="sheet18">#REF!</definedName>
    <definedName name="sheet19" localSheetId="32">#REF!</definedName>
    <definedName name="sheet19">#REF!</definedName>
    <definedName name="sheet2" localSheetId="32">#REF!</definedName>
    <definedName name="sheet2">'1.1 Traditional heat pump'!$C$1</definedName>
    <definedName name="sheet20" localSheetId="32">#REF!</definedName>
    <definedName name="sheet20">#REF!</definedName>
    <definedName name="sheet21" localSheetId="32">#REF!</definedName>
    <definedName name="sheet21">#REF!</definedName>
    <definedName name="sheet22" localSheetId="32">#REF!</definedName>
    <definedName name="sheet22">#REF!</definedName>
    <definedName name="sheet23" localSheetId="32">#REF!</definedName>
    <definedName name="sheet23">#REF!</definedName>
    <definedName name="sheet24" localSheetId="32">#REF!</definedName>
    <definedName name="sheet24">#REF!</definedName>
    <definedName name="sheet25" localSheetId="32">#REF!</definedName>
    <definedName name="sheet25">#REF!</definedName>
    <definedName name="sheet26" localSheetId="32">#REF!</definedName>
    <definedName name="sheet26">#REF!</definedName>
    <definedName name="sheet27" localSheetId="32">#REF!</definedName>
    <definedName name="sheet27">#REF!</definedName>
    <definedName name="sheet28" localSheetId="32">#REF!</definedName>
    <definedName name="sheet28">#REF!</definedName>
    <definedName name="sheet29" localSheetId="32">#REF!</definedName>
    <definedName name="sheet29">#REF!</definedName>
    <definedName name="sheet3" localSheetId="15">'1.2 heat_cool hp 80 C 75 K '!$C$3</definedName>
    <definedName name="sheet3" localSheetId="32">#REF!</definedName>
    <definedName name="sheet3">'1.2 heat_cool hp 80 C 75 K '!$C$1</definedName>
    <definedName name="sheet30" localSheetId="32">#REF!</definedName>
    <definedName name="sheet30">'7.1 Direct firing Natural Gas'!$C$4</definedName>
    <definedName name="sheet31" localSheetId="32">#REF!</definedName>
    <definedName name="sheet31">'7.2 Direct firing Solid Fuels'!$C$3</definedName>
    <definedName name="sheet32" localSheetId="32">#REF!</definedName>
    <definedName name="sheet32">#REF!</definedName>
    <definedName name="sheet33" localSheetId="32">#REF!</definedName>
    <definedName name="sheet33">#REF!</definedName>
    <definedName name="sheet34" localSheetId="32">#REF!</definedName>
    <definedName name="sheet34">#REF!</definedName>
    <definedName name="sheet35" localSheetId="32">#REF!</definedName>
    <definedName name="sheet35">#REF!</definedName>
    <definedName name="sheet36" localSheetId="32">#REF!</definedName>
    <definedName name="sheet36">#REF!</definedName>
    <definedName name="sheet37" localSheetId="32">#REF!</definedName>
    <definedName name="sheet37">#REF!</definedName>
    <definedName name="sheet38" localSheetId="32">#REF!</definedName>
    <definedName name="sheet38">#REF!</definedName>
    <definedName name="sheet4" localSheetId="32">#REF!</definedName>
    <definedName name="sheet4">'2.a High temp. hp Up to 125C'!$C$1</definedName>
    <definedName name="sheet5" localSheetId="32">#REF!</definedName>
    <definedName name="sheet5">'2.b High temp. hp Up to 150'!$C$1</definedName>
    <definedName name="sheet6" localSheetId="32">#REF!</definedName>
    <definedName name="sheet6">'4 MVR 5 K'!$C$1</definedName>
    <definedName name="sheet7" localSheetId="32">#REF!</definedName>
    <definedName name="sheet7">'5.1a Electric boiler steam'!$C$1</definedName>
    <definedName name="sheet8" localSheetId="32">#REF!</definedName>
    <definedName name="sheet8">'5.1b Electric boiler steam'!$C$1</definedName>
    <definedName name="sheet9" localSheetId="32">#REF!</definedName>
    <definedName name="sheet9">'5.2a Electric boiler hot wate'!$C$1</definedName>
    <definedName name="SheetsToCreate" localSheetId="32">#REF!</definedName>
    <definedName name="SheetsToCreate">#REF!</definedName>
    <definedName name="small_hydro.capacity">#REF!</definedName>
    <definedName name="SmallestNonZeroValue">0.00001</definedName>
    <definedName name="SpecialStore">[1]Control!$D$61</definedName>
    <definedName name="SQL_connection_name" localSheetId="32">#REF!</definedName>
    <definedName name="SQL_connection_name">#REF!</definedName>
    <definedName name="SQL_statement" localSheetId="32">#REF!</definedName>
    <definedName name="SQL_statement">#REF!</definedName>
    <definedName name="Start100" localSheetId="32">#REF!</definedName>
    <definedName name="Start100">#REF!</definedName>
    <definedName name="Start101" localSheetId="32">#REF!</definedName>
    <definedName name="Start101">#REF!</definedName>
    <definedName name="Start102" localSheetId="32">#REF!</definedName>
    <definedName name="Start102">#REF!</definedName>
    <definedName name="Start103" localSheetId="32">#REF!</definedName>
    <definedName name="Start103">#REF!</definedName>
    <definedName name="Start105" localSheetId="32">#REF!</definedName>
    <definedName name="Start105">#REF!</definedName>
    <definedName name="Start106" localSheetId="32">#REF!</definedName>
    <definedName name="Start106">#REF!</definedName>
    <definedName name="Start109" localSheetId="32">#REF!</definedName>
    <definedName name="Start109">#REF!</definedName>
    <definedName name="Start110" localSheetId="32">#REF!</definedName>
    <definedName name="Start110">#REF!</definedName>
    <definedName name="Start13" localSheetId="32">#REF!</definedName>
    <definedName name="Start13">#REF!</definedName>
    <definedName name="Start14" localSheetId="32">#REF!</definedName>
    <definedName name="Start14">#REF!</definedName>
    <definedName name="Start15" localSheetId="32">#REF!</definedName>
    <definedName name="Start15">#REF!</definedName>
    <definedName name="Start16" localSheetId="32">#REF!</definedName>
    <definedName name="Start16">#REF!</definedName>
    <definedName name="Start17" localSheetId="32">#REF!</definedName>
    <definedName name="Start17">#REF!</definedName>
    <definedName name="Start18" localSheetId="32">#REF!</definedName>
    <definedName name="Start18">#REF!</definedName>
    <definedName name="Start19" localSheetId="32">#REF!</definedName>
    <definedName name="Start19">#REF!</definedName>
    <definedName name="Start20" localSheetId="32">#REF!</definedName>
    <definedName name="Start20">#REF!</definedName>
    <definedName name="Start21" localSheetId="32">#REF!</definedName>
    <definedName name="Start21">#REF!</definedName>
    <definedName name="Start22" localSheetId="32">#REF!</definedName>
    <definedName name="Start22">#REF!</definedName>
    <definedName name="Start23" localSheetId="32">#REF!</definedName>
    <definedName name="Start23">#REF!</definedName>
    <definedName name="Start24" localSheetId="32">#REF!</definedName>
    <definedName name="Start24">#REF!</definedName>
    <definedName name="Start25" localSheetId="32">#REF!</definedName>
    <definedName name="Start25">#REF!</definedName>
    <definedName name="Start26" localSheetId="32">#REF!</definedName>
    <definedName name="Start26">#REF!</definedName>
    <definedName name="Start27" localSheetId="32">#REF!</definedName>
    <definedName name="Start27">#REF!</definedName>
    <definedName name="Start28" localSheetId="32">#REF!</definedName>
    <definedName name="Start28">#REF!</definedName>
    <definedName name="Start29" localSheetId="32">#REF!</definedName>
    <definedName name="Start29">#REF!</definedName>
    <definedName name="Start30" localSheetId="32">#REF!</definedName>
    <definedName name="Start30">#REF!</definedName>
    <definedName name="Start31" localSheetId="32">#REF!</definedName>
    <definedName name="Start31">#REF!</definedName>
    <definedName name="Start32" localSheetId="32">#REF!</definedName>
    <definedName name="Start32">#REF!</definedName>
    <definedName name="Start33" localSheetId="32">#REF!</definedName>
    <definedName name="Start33">#REF!</definedName>
    <definedName name="Start34" localSheetId="32">#REF!</definedName>
    <definedName name="Start34">#REF!</definedName>
    <definedName name="Start35" localSheetId="32">#REF!</definedName>
    <definedName name="Start35">#REF!</definedName>
    <definedName name="Start36" localSheetId="32">#REF!</definedName>
    <definedName name="Start36">#REF!</definedName>
    <definedName name="Start37" localSheetId="32">#REF!</definedName>
    <definedName name="Start37">#REF!</definedName>
    <definedName name="Start38" localSheetId="32">#REF!</definedName>
    <definedName name="Start38">#REF!</definedName>
    <definedName name="Start39" localSheetId="32">#REF!</definedName>
    <definedName name="Start39">#REF!</definedName>
    <definedName name="Start40" localSheetId="32">#REF!</definedName>
    <definedName name="Start40">#REF!</definedName>
    <definedName name="Start41" localSheetId="32">#REF!</definedName>
    <definedName name="Start41">#REF!</definedName>
    <definedName name="Start42" localSheetId="32">#REF!</definedName>
    <definedName name="Start42">#REF!</definedName>
    <definedName name="Start43" localSheetId="32">#REF!</definedName>
    <definedName name="Start43">#REF!</definedName>
    <definedName name="Start44" localSheetId="32">#REF!</definedName>
    <definedName name="Start44">#REF!</definedName>
    <definedName name="Start45" localSheetId="32">#REF!</definedName>
    <definedName name="Start45">#REF!</definedName>
    <definedName name="Start46" localSheetId="32">#REF!</definedName>
    <definedName name="Start46">#REF!</definedName>
    <definedName name="Start47" localSheetId="32">#REF!</definedName>
    <definedName name="Start47">#REF!</definedName>
    <definedName name="StillStore">[1]Control!$D$60</definedName>
    <definedName name="StorageFactor">'[1]List Data'!$E$19:$F$54</definedName>
    <definedName name="SumTolerance">0.005</definedName>
    <definedName name="SyntheticNG">[1]SNG!$A$7:$AK$59</definedName>
    <definedName name="target.year">#REF!</definedName>
    <definedName name="TES_T1_APS" localSheetId="32">#REF!</definedName>
    <definedName name="TES_T1_APS">#REF!</definedName>
    <definedName name="TES_T1_CPS" localSheetId="32">#REF!</definedName>
    <definedName name="TES_T1_CPS">#REF!</definedName>
    <definedName name="TES_T1_NZE" localSheetId="32">#REF!</definedName>
    <definedName name="TES_T1_NZE">#REF!</definedName>
    <definedName name="TES_T1_STEPS" localSheetId="32">#REF!</definedName>
    <definedName name="TES_T1_STEPS">#REF!</definedName>
    <definedName name="TFC_T2_APS" localSheetId="32">#REF!</definedName>
    <definedName name="TFC_T2_APS">#REF!</definedName>
    <definedName name="TFC_T2_CPS" localSheetId="32">#REF!</definedName>
    <definedName name="TFC_T2_CPS">#REF!</definedName>
    <definedName name="TFC_T2_NZE" localSheetId="32">#REF!</definedName>
    <definedName name="TFC_T2_NZE">#REF!</definedName>
    <definedName name="TFC_T2_STEPS" localSheetId="32">#REF!</definedName>
    <definedName name="TFC_T2_STEPS">#REF!</definedName>
    <definedName name="TFC_T3_APS" localSheetId="32">#REF!</definedName>
    <definedName name="TFC_T3_APS">#REF!</definedName>
    <definedName name="TFC_T3_CPS" localSheetId="32">#REF!</definedName>
    <definedName name="TFC_T3_CPS">#REF!</definedName>
    <definedName name="TFC_T3_NZE" localSheetId="32">#REF!</definedName>
    <definedName name="TFC_T3_NZE">#REF!</definedName>
    <definedName name="TFC_T3_STEPS" localSheetId="32">#REF!</definedName>
    <definedName name="TFC_T3_STEPS">#REF!</definedName>
    <definedName name="tt" localSheetId="32">#REF!</definedName>
    <definedName name="tt">#REF!</definedName>
    <definedName name="Unit.acre">#REF!</definedName>
    <definedName name="unit.bcm">#REF!</definedName>
    <definedName name="Unit.boe">#REF!</definedName>
    <definedName name="Unit.calorie">#REF!</definedName>
    <definedName name="Unit.day">#REF!</definedName>
    <definedName name="Unit.GJ">#REF!</definedName>
    <definedName name="Unit.GW">#REF!</definedName>
    <definedName name="Unit.GWh">#REF!</definedName>
    <definedName name="Unit.ha">#REF!</definedName>
    <definedName name="Unit.hour">#REF!</definedName>
    <definedName name="Unit.J">#REF!</definedName>
    <definedName name="unit.kcng">#REF!</definedName>
    <definedName name="unit.kgb">#REF!</definedName>
    <definedName name="unit.kgce">#REF!</definedName>
    <definedName name="unit.kghe">#REF!</definedName>
    <definedName name="unit.kglpge">#REF!</definedName>
    <definedName name="Unit.km2">#REF!</definedName>
    <definedName name="Unit.kW">#REF!</definedName>
    <definedName name="Unit.kWh">#REF!</definedName>
    <definedName name="unit.L">#REF!</definedName>
    <definedName name="unit.latfe">#REF!</definedName>
    <definedName name="unit.lcng">#REF!</definedName>
    <definedName name="unit.lde">#REF!</definedName>
    <definedName name="unit.lke">#REF!</definedName>
    <definedName name="unit.lpe">#REF!</definedName>
    <definedName name="Unit.m2">#REF!</definedName>
    <definedName name="Unit.m3">#REF!</definedName>
    <definedName name="unit.MCM">#REF!</definedName>
    <definedName name="Unit.minute">#REF!</definedName>
    <definedName name="Unit.MJ">#REF!</definedName>
    <definedName name="unit.mmbtu">#REF!</definedName>
    <definedName name="unit.mmscm">#REF!</definedName>
    <definedName name="unit.mtcce">#REF!</definedName>
    <definedName name="Unit.Mtce">#REF!</definedName>
    <definedName name="unit.mtde">#REF!</definedName>
    <definedName name="unit.mticce">#REF!</definedName>
    <definedName name="unit.mtice">#REF!</definedName>
    <definedName name="unit.mtle">#REF!</definedName>
    <definedName name="Unit.Mtoe">#REF!</definedName>
    <definedName name="Unit.MW">#REF!</definedName>
    <definedName name="Unit.MWh">#REF!</definedName>
    <definedName name="Unit.PJ">#REF!</definedName>
    <definedName name="unit.scm">#REF!</definedName>
    <definedName name="unit.scmb">#REF!</definedName>
    <definedName name="unit.tce">#REF!</definedName>
    <definedName name="unit.ticce">#REF!</definedName>
    <definedName name="unit.tice">#REF!</definedName>
    <definedName name="Unit.TJ">#REF!</definedName>
    <definedName name="Unit.toe">#REF!</definedName>
    <definedName name="Unit.TWh">#REF!</definedName>
    <definedName name="Unit.W">#REF!</definedName>
    <definedName name="Unit.year">#REF!</definedName>
    <definedName name="unit_conv">[4]About!$A$123</definedName>
    <definedName name="USD_Bn">#REF!</definedName>
    <definedName name="USD_mn">#REF!</definedName>
    <definedName name="USD2012_">#REF!</definedName>
    <definedName name="uu" localSheetId="32">#REF!</definedName>
    <definedName name="uu">#REF!</definedName>
    <definedName name="uuuuuuuuuuuuu" localSheetId="32">#REF!</definedName>
    <definedName name="uuuuuuuuuuuuu">#REF!</definedName>
    <definedName name="v.a.scenario">#REF!</definedName>
    <definedName name="V.b.scenario">#REF!</definedName>
    <definedName name="V.c.scenario">#REF!</definedName>
    <definedName name="VI.a.scenario">#REF!</definedName>
    <definedName name="VII.a.scenario">#REF!</definedName>
    <definedName name="VII.b.scenario">#REF!</definedName>
    <definedName name="WaxesStore">[1]Control!$D$62</definedName>
    <definedName name="WEO23_Scenarios" localSheetId="30">#REF!</definedName>
    <definedName name="WEO23_Scenarios" localSheetId="32">#REF!</definedName>
    <definedName name="WEO23_Scenarios">#REF!</definedName>
    <definedName name="World_investments" localSheetId="32">#REF!</definedName>
    <definedName name="World_investments">#REF!</definedName>
    <definedName name="ww" localSheetId="32">#REF!</definedName>
    <definedName name="ww">#REF!</definedName>
    <definedName name="X.a.economy">#REF!</definedName>
    <definedName name="X.a.epi">#REF!</definedName>
    <definedName name="X.a.floorspace">#REF!</definedName>
    <definedName name="X.b.ac">#REF!</definedName>
    <definedName name="X.b.ecbc">#REF!</definedName>
    <definedName name="x.b.floorspace">#REF!</definedName>
    <definedName name="XI.cement.fuel">#REF!</definedName>
    <definedName name="XI.fuelmix">#REF!</definedName>
    <definedName name="XI.scenario">#REF!</definedName>
    <definedName name="XI.steel.fuel">#REF!</definedName>
    <definedName name="XII.a.scenario">#REF!</definedName>
    <definedName name="XII.a.scenario.EVs">#REF!</definedName>
    <definedName name="XII.a.scenario.mode">#REF!</definedName>
    <definedName name="XII.a.scenario.pub_pri">#REF!</definedName>
    <definedName name="XII.b.mode">#REF!</definedName>
    <definedName name="XII.b.scenario">#REF!</definedName>
    <definedName name="XIII.a.chulhas">#REF!</definedName>
    <definedName name="XIII.a.scenario.fuelsplit">#REF!</definedName>
    <definedName name="XIII.b">#REF!</definedName>
    <definedName name="XIV.scenario">#REF!</definedName>
    <definedName name="XIV.scenario.fuelsplit">#REF!</definedName>
    <definedName name="xv.a.scenario">#REF!</definedName>
    <definedName name="xv.b.scenario">#REF!</definedName>
    <definedName name="XV.c.scenario">#REF!</definedName>
    <definedName name="xvi.scenario.fuelsplit">#REF!</definedName>
    <definedName name="YEAR_BASE" localSheetId="32">#REF!</definedName>
    <definedName name="YEAR_BASE">#REF!</definedName>
    <definedName name="YEAR_HIST1" localSheetId="32">#REF!</definedName>
    <definedName name="YEAR_HIST1">#REF!</definedName>
    <definedName name="YEAR_HIST2" localSheetId="32">#REF!</definedName>
    <definedName name="YEAR_HIST2">#REF!</definedName>
    <definedName name="YEAR_HIST3" localSheetId="32">#REF!</definedName>
    <definedName name="YEAR_HIST3">#REF!</definedName>
    <definedName name="YEAR_PROJECTION1" localSheetId="32">#REF!</definedName>
    <definedName name="YEAR_PROJECTION1">#REF!</definedName>
    <definedName name="YEAR_PROJECTION2" localSheetId="32">#REF!</definedName>
    <definedName name="YEAR_PROJECTION2">#REF!</definedName>
    <definedName name="YEAR_PROJECTION3" localSheetId="32">#REF!</definedName>
    <definedName name="YEAR_PROJECTION3">#REF!</definedName>
    <definedName name="YEAR_PROJECTION4" localSheetId="32">#REF!</definedName>
    <definedName name="YEAR_PROJECTION4">#REF!</definedName>
    <definedName name="YEAR_PROJECTION5" localSheetId="32">#REF!</definedName>
    <definedName name="YEAR_PROJECTION5">#REF!</definedName>
    <definedName name="YearsCSV" localSheetId="32">OFFSET(#REF!,0,0,COUNTA(#REF!),1)</definedName>
    <definedName name="YearsCSV">OFFSET(#REF!,0,0,COUNTA(#REF!),1)</definedName>
    <definedName name="YearShownOnGraphsSelector" comment="Used in VBA macro to update time-series graphs">'[5]User Settings'!$B$5</definedName>
    <definedName name="YearShownOnGraphsSelector2" comment="Used in VBA macro to update time-series graphs">'[6]User Settings'!$B$5</definedName>
    <definedName name="yy" localSheetId="32">#REF!</definedName>
    <definedName name="y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6" i="7" l="1"/>
  <c r="B64" i="9"/>
  <c r="B111" i="7" l="1"/>
  <c r="B133" i="1"/>
  <c r="B132" i="1"/>
  <c r="B131" i="1"/>
  <c r="G63" i="34"/>
  <c r="G62" i="34"/>
  <c r="G61" i="34"/>
  <c r="G60" i="34"/>
  <c r="G59" i="34"/>
  <c r="G58" i="34"/>
  <c r="G57" i="34"/>
  <c r="G56" i="34"/>
  <c r="G55" i="34"/>
  <c r="G54" i="34"/>
  <c r="G53" i="34"/>
  <c r="G52" i="34"/>
  <c r="G51" i="34"/>
  <c r="G50" i="34"/>
  <c r="G49" i="34"/>
  <c r="G48" i="34"/>
  <c r="G47" i="34"/>
  <c r="G46" i="34"/>
  <c r="G45" i="34"/>
  <c r="G44" i="34"/>
  <c r="G43" i="34"/>
  <c r="G42" i="34"/>
  <c r="G41" i="34"/>
  <c r="G40" i="34"/>
  <c r="G39" i="34"/>
  <c r="G38" i="34"/>
  <c r="G37" i="34"/>
  <c r="G36" i="34"/>
  <c r="G35" i="34"/>
  <c r="G34" i="34"/>
  <c r="G33" i="34"/>
  <c r="G32" i="34"/>
  <c r="G31" i="34"/>
  <c r="G30" i="34"/>
  <c r="G29" i="34"/>
  <c r="G28" i="34"/>
  <c r="C133" i="1" l="1"/>
  <c r="E135" i="7" l="1" a="1"/>
  <c r="D135" i="7" a="1"/>
  <c r="C135" i="7" a="1"/>
  <c r="B134" i="7"/>
  <c r="B133" i="7"/>
  <c r="B132" i="7"/>
  <c r="B131" i="7"/>
  <c r="B124" i="7"/>
  <c r="M28" i="33"/>
  <c r="L28" i="33"/>
  <c r="K28" i="33"/>
  <c r="J28" i="33"/>
  <c r="I28" i="33"/>
  <c r="M27" i="33"/>
  <c r="L27" i="33"/>
  <c r="K27" i="33"/>
  <c r="J27" i="33"/>
  <c r="I27" i="33"/>
  <c r="M26" i="33"/>
  <c r="L26" i="33"/>
  <c r="K26" i="33"/>
  <c r="J26" i="33"/>
  <c r="I26" i="33"/>
  <c r="M25" i="33"/>
  <c r="L25" i="33"/>
  <c r="K25" i="33"/>
  <c r="J25" i="33"/>
  <c r="I25" i="33"/>
  <c r="M24" i="33"/>
  <c r="L24" i="33"/>
  <c r="K24" i="33"/>
  <c r="J24" i="33"/>
  <c r="I24" i="33"/>
  <c r="M23" i="33"/>
  <c r="L23" i="33"/>
  <c r="K23" i="33"/>
  <c r="J23" i="33"/>
  <c r="I23" i="33"/>
  <c r="M22" i="33"/>
  <c r="L22" i="33"/>
  <c r="K22" i="33"/>
  <c r="J22" i="33"/>
  <c r="I22" i="33"/>
  <c r="M21" i="33"/>
  <c r="L21" i="33"/>
  <c r="K21" i="33"/>
  <c r="J21" i="33"/>
  <c r="I21" i="33"/>
  <c r="M20" i="33"/>
  <c r="L20" i="33"/>
  <c r="K20" i="33"/>
  <c r="J20" i="33"/>
  <c r="I20" i="33"/>
  <c r="M19" i="33"/>
  <c r="L19" i="33"/>
  <c r="K19" i="33"/>
  <c r="J19" i="33"/>
  <c r="I19" i="33"/>
  <c r="M18" i="33"/>
  <c r="L18" i="33"/>
  <c r="K18" i="33"/>
  <c r="J18" i="33"/>
  <c r="I18" i="33"/>
  <c r="M17" i="33"/>
  <c r="L17" i="33"/>
  <c r="K17" i="33"/>
  <c r="J17" i="33"/>
  <c r="I17" i="33"/>
  <c r="M16" i="33"/>
  <c r="L16" i="33"/>
  <c r="K16" i="33"/>
  <c r="J16" i="33"/>
  <c r="I16" i="33"/>
  <c r="M15" i="33"/>
  <c r="L15" i="33"/>
  <c r="K15" i="33"/>
  <c r="J15" i="33"/>
  <c r="I15" i="33"/>
  <c r="M14" i="33"/>
  <c r="L14" i="33"/>
  <c r="K14" i="33"/>
  <c r="J14" i="33"/>
  <c r="I14" i="33"/>
  <c r="M13" i="33"/>
  <c r="L13" i="33"/>
  <c r="K13" i="33"/>
  <c r="J13" i="33"/>
  <c r="I13" i="33"/>
  <c r="M12" i="33"/>
  <c r="L12" i="33"/>
  <c r="K12" i="33"/>
  <c r="J12" i="33"/>
  <c r="I12" i="33"/>
  <c r="M11" i="33"/>
  <c r="L11" i="33"/>
  <c r="K11" i="33"/>
  <c r="J11" i="33"/>
  <c r="I11" i="33"/>
  <c r="M10" i="33"/>
  <c r="L10" i="33"/>
  <c r="K10" i="33"/>
  <c r="J10" i="33"/>
  <c r="I10" i="33"/>
  <c r="M9" i="33"/>
  <c r="L9" i="33"/>
  <c r="K9" i="33"/>
  <c r="J9" i="33"/>
  <c r="I9" i="33"/>
  <c r="M8" i="33"/>
  <c r="L8" i="33"/>
  <c r="K8" i="33"/>
  <c r="J8" i="33"/>
  <c r="I8" i="33"/>
  <c r="M7" i="33"/>
  <c r="L7" i="33"/>
  <c r="K7" i="33"/>
  <c r="J7" i="33"/>
  <c r="I7" i="33"/>
  <c r="M6" i="33"/>
  <c r="L6" i="33"/>
  <c r="K6" i="33"/>
  <c r="J6" i="33"/>
  <c r="I6" i="33"/>
  <c r="M5" i="33"/>
  <c r="L5" i="33"/>
  <c r="K5" i="33"/>
  <c r="J5" i="33"/>
  <c r="I5" i="33"/>
  <c r="M4" i="33"/>
  <c r="L4" i="33"/>
  <c r="K4" i="33"/>
  <c r="J4" i="33"/>
  <c r="I4" i="33"/>
  <c r="E134" i="7" l="1"/>
  <c r="D134" i="7"/>
  <c r="C134" i="7"/>
  <c r="E133" i="7"/>
  <c r="D133" i="7"/>
  <c r="C133" i="7"/>
  <c r="E132" i="7"/>
  <c r="D132" i="7"/>
  <c r="C132" i="7"/>
  <c r="E131" i="7"/>
  <c r="B141" i="7" s="1"/>
  <c r="D131" i="7"/>
  <c r="C131" i="7"/>
  <c r="B140" i="7" s="1"/>
  <c r="B113" i="7"/>
  <c r="G197" i="30"/>
  <c r="H197" i="30" s="1"/>
  <c r="H199" i="30" s="1"/>
  <c r="G195" i="30"/>
  <c r="H189" i="30"/>
  <c r="H185" i="30"/>
  <c r="H182" i="30"/>
  <c r="H180" i="30"/>
  <c r="H176" i="30"/>
  <c r="G168" i="30" s="1"/>
  <c r="H168" i="30" s="1"/>
  <c r="G176" i="30"/>
  <c r="H172" i="30"/>
  <c r="G169" i="30"/>
  <c r="G158" i="30"/>
  <c r="H158" i="30" s="1"/>
  <c r="F158" i="30"/>
  <c r="H145" i="30"/>
  <c r="H149" i="30" s="1"/>
  <c r="G141" i="30"/>
  <c r="H134" i="30"/>
  <c r="H130" i="30"/>
  <c r="H126" i="30"/>
  <c r="G124" i="30"/>
  <c r="H123" i="30"/>
  <c r="G118" i="30" s="1"/>
  <c r="H118" i="30" s="1"/>
  <c r="G123" i="30"/>
  <c r="H121" i="30"/>
  <c r="G119" i="30"/>
  <c r="H102" i="30"/>
  <c r="G99" i="30"/>
  <c r="F99" i="30"/>
  <c r="H95" i="30"/>
  <c r="H97" i="30" s="1"/>
  <c r="H86" i="30"/>
  <c r="H83" i="30"/>
  <c r="G81" i="30"/>
  <c r="H81" i="30" s="1"/>
  <c r="F81" i="30"/>
  <c r="G65" i="30"/>
  <c r="H65" i="30" s="1"/>
  <c r="H63" i="30"/>
  <c r="G59" i="30"/>
  <c r="F59" i="30"/>
  <c r="G58" i="30"/>
  <c r="F58" i="30"/>
  <c r="G57" i="30"/>
  <c r="F57" i="30"/>
  <c r="H55" i="30"/>
  <c r="H52" i="30"/>
  <c r="H51" i="30"/>
  <c r="H50" i="30"/>
  <c r="H49" i="30"/>
  <c r="F42" i="30"/>
  <c r="H42" i="30" s="1"/>
  <c r="H41" i="30"/>
  <c r="F39" i="30"/>
  <c r="G45" i="30" s="1"/>
  <c r="H45" i="30" s="1"/>
  <c r="F24" i="30"/>
  <c r="F28" i="30" s="1"/>
  <c r="H28" i="30" s="1"/>
  <c r="H23" i="30"/>
  <c r="H22" i="30"/>
  <c r="H18" i="30"/>
  <c r="F17" i="30"/>
  <c r="H17" i="30" s="1"/>
  <c r="H16" i="30"/>
  <c r="F13" i="30"/>
  <c r="H13" i="30" s="1"/>
  <c r="B142" i="7" l="1"/>
  <c r="D140" i="7"/>
  <c r="D141" i="7"/>
  <c r="D142" i="7" s="1"/>
  <c r="C141" i="7"/>
  <c r="C142" i="7" s="1"/>
  <c r="C140" i="7"/>
  <c r="C115" i="7"/>
  <c r="D115" i="7"/>
  <c r="B115" i="7"/>
  <c r="H39" i="30"/>
  <c r="H24" i="30"/>
  <c r="F27" i="30"/>
  <c r="F29" i="30" l="1"/>
  <c r="H29" i="30" s="1"/>
  <c r="H27" i="30"/>
  <c r="D21" i="3" l="1"/>
  <c r="C132" i="1" l="1"/>
  <c r="B101" i="7"/>
  <c r="C131" i="1"/>
  <c r="G14" i="29"/>
  <c r="F14" i="29"/>
  <c r="E14" i="29"/>
  <c r="D14" i="29"/>
  <c r="C14" i="29"/>
  <c r="G25" i="23"/>
  <c r="F25" i="23"/>
  <c r="E25" i="23"/>
  <c r="D25" i="23"/>
  <c r="C25" i="23"/>
  <c r="G25" i="22"/>
  <c r="F25" i="22"/>
  <c r="E25" i="22"/>
  <c r="D25" i="22"/>
  <c r="C25" i="22"/>
  <c r="K8" i="19"/>
  <c r="J8" i="19"/>
  <c r="I8" i="19"/>
  <c r="H8" i="19"/>
  <c r="G8" i="19"/>
  <c r="F8" i="19"/>
  <c r="E8" i="19"/>
  <c r="D8" i="19"/>
  <c r="C8" i="19"/>
  <c r="K32" i="18"/>
  <c r="J32" i="18"/>
  <c r="I32" i="18"/>
  <c r="H32" i="18"/>
  <c r="G32" i="18"/>
  <c r="F32" i="18"/>
  <c r="E32" i="18"/>
  <c r="D32" i="18"/>
  <c r="C32" i="18"/>
  <c r="K32" i="17"/>
  <c r="J32" i="17"/>
  <c r="I32" i="17"/>
  <c r="H32" i="17"/>
  <c r="G32" i="17"/>
  <c r="F32" i="17"/>
  <c r="E32" i="17"/>
  <c r="D32" i="17"/>
  <c r="C32" i="17"/>
  <c r="E30" i="16"/>
  <c r="D30" i="16"/>
  <c r="C30" i="16"/>
  <c r="G25" i="16"/>
  <c r="F25" i="16"/>
  <c r="E25" i="16"/>
  <c r="D25" i="16"/>
  <c r="C25" i="16"/>
  <c r="H8" i="16"/>
  <c r="E8" i="16"/>
  <c r="D8" i="16"/>
  <c r="C8" i="16"/>
  <c r="I7" i="16"/>
  <c r="I8" i="16" s="1"/>
  <c r="F7" i="16"/>
  <c r="G25" i="15"/>
  <c r="F25" i="15"/>
  <c r="E25" i="15"/>
  <c r="D25" i="15"/>
  <c r="C25" i="15"/>
  <c r="E8" i="15"/>
  <c r="C8" i="15"/>
  <c r="I7" i="15"/>
  <c r="I8" i="15" s="1"/>
  <c r="H7" i="15"/>
  <c r="H8" i="15" s="1"/>
  <c r="D7" i="15"/>
  <c r="F30" i="16" l="1"/>
  <c r="G7" i="16"/>
  <c r="D8" i="15"/>
  <c r="F7" i="15"/>
  <c r="K7" i="16"/>
  <c r="K8" i="16" s="1"/>
  <c r="F8" i="16"/>
  <c r="G30" i="16" l="1"/>
  <c r="G8" i="16"/>
  <c r="J7" i="16"/>
  <c r="J8" i="16" s="1"/>
  <c r="F8" i="15"/>
  <c r="G7" i="15"/>
  <c r="G8" i="15" l="1"/>
  <c r="J7" i="15"/>
  <c r="J8" i="15" s="1"/>
  <c r="K7" i="15"/>
  <c r="K8" i="15" s="1"/>
  <c r="E88" i="7"/>
  <c r="D88" i="7"/>
  <c r="G4" i="2"/>
  <c r="C130" i="1"/>
  <c r="C129" i="1"/>
  <c r="C128" i="1"/>
  <c r="C127" i="1"/>
  <c r="C126" i="1"/>
  <c r="C125" i="1"/>
  <c r="C124" i="1"/>
  <c r="C123" i="1"/>
  <c r="C122" i="1"/>
  <c r="N9" i="5"/>
  <c r="G11" i="2" l="1"/>
  <c r="G10" i="2"/>
  <c r="G9" i="2"/>
  <c r="G6" i="2"/>
  <c r="G3" i="2"/>
  <c r="G8" i="2"/>
  <c r="G7" i="2"/>
  <c r="G5" i="2"/>
  <c r="G2" i="2"/>
  <c r="B102" i="7"/>
  <c r="F76" i="7"/>
  <c r="F72" i="7"/>
  <c r="G12" i="2" l="1"/>
  <c r="D126" i="7"/>
  <c r="C126" i="7"/>
  <c r="B126" i="7"/>
  <c r="C117" i="7"/>
  <c r="F5" i="14" s="1"/>
  <c r="F5" i="2" s="1"/>
  <c r="D117" i="7"/>
  <c r="B117" i="7"/>
  <c r="C5" i="14" s="1"/>
  <c r="C5" i="2" s="1"/>
  <c r="F73" i="7"/>
  <c r="B84" i="7"/>
  <c r="B89" i="7"/>
  <c r="E5" i="14"/>
  <c r="E5" i="2" s="1"/>
  <c r="D5" i="14" l="1"/>
  <c r="B85" i="7"/>
  <c r="J5" i="14" l="1"/>
  <c r="J5" i="2" s="1"/>
  <c r="D5" i="2"/>
  <c r="B8" i="3"/>
  <c r="B10" i="3"/>
  <c r="F74" i="7" s="1"/>
  <c r="B27" i="3"/>
  <c r="B29" i="3" s="1"/>
  <c r="F75" i="7" l="1"/>
  <c r="F77" i="7" s="1"/>
  <c r="B103" i="7"/>
  <c r="B86" i="7" s="1"/>
  <c r="B105" i="7"/>
  <c r="B74" i="3"/>
  <c r="B78" i="3" s="1"/>
  <c r="B80" i="3" s="1"/>
  <c r="B70" i="3"/>
  <c r="A83" i="3" l="1"/>
  <c r="F19" i="13" l="1"/>
  <c r="M17" i="13" s="1"/>
  <c r="F18" i="13"/>
  <c r="F17" i="13"/>
  <c r="M16" i="13" s="1"/>
  <c r="F16" i="13"/>
  <c r="F15" i="13"/>
  <c r="I33" i="13"/>
  <c r="G35" i="13"/>
  <c r="F35" i="13"/>
  <c r="E35" i="13"/>
  <c r="D35" i="13"/>
  <c r="C35" i="13"/>
  <c r="B35" i="13"/>
  <c r="H34" i="13"/>
  <c r="H35" i="13" s="1"/>
  <c r="M18" i="13" l="1"/>
  <c r="M15" i="13"/>
  <c r="M19" i="13" s="1"/>
  <c r="I37" i="13" s="1"/>
  <c r="I34" i="13"/>
  <c r="B27" i="13"/>
  <c r="C19" i="13"/>
  <c r="L17" i="13" s="1"/>
  <c r="D15" i="13"/>
  <c r="D16" i="13"/>
  <c r="J15" i="13" s="1"/>
  <c r="D17" i="13"/>
  <c r="J16" i="13" s="1"/>
  <c r="D18" i="13"/>
  <c r="D19" i="13"/>
  <c r="J17" i="13" s="1"/>
  <c r="C15" i="13"/>
  <c r="T11" i="13"/>
  <c r="S11" i="13"/>
  <c r="R11" i="13"/>
  <c r="Q11" i="13"/>
  <c r="P11" i="13"/>
  <c r="J18" i="13" l="1"/>
  <c r="J19" i="13" s="1"/>
  <c r="G11" i="13" l="1"/>
  <c r="F11" i="13"/>
  <c r="E11" i="13"/>
  <c r="D11" i="13"/>
  <c r="C11" i="13"/>
  <c r="O6" i="13"/>
  <c r="O11" i="13" s="1"/>
  <c r="N6" i="13"/>
  <c r="C18" i="13" s="1"/>
  <c r="M6" i="13"/>
  <c r="M11" i="13" s="1"/>
  <c r="L6" i="13"/>
  <c r="L11" i="13" s="1"/>
  <c r="K6" i="13"/>
  <c r="K11" i="13" s="1"/>
  <c r="J6" i="13"/>
  <c r="J11" i="13" s="1"/>
  <c r="I6" i="13"/>
  <c r="I11" i="13" s="1"/>
  <c r="H6" i="13"/>
  <c r="H11" i="13" s="1"/>
  <c r="B11" i="3"/>
  <c r="F39" i="11"/>
  <c r="F40" i="11" s="1"/>
  <c r="A3" i="11"/>
  <c r="M30" i="11"/>
  <c r="M29" i="11"/>
  <c r="G40" i="11" l="1"/>
  <c r="B15" i="3"/>
  <c r="B3" i="14" s="1"/>
  <c r="C16" i="13"/>
  <c r="L18" i="13" s="1"/>
  <c r="N11" i="13"/>
  <c r="C17" i="13"/>
  <c r="L16" i="13" s="1"/>
  <c r="G39" i="11"/>
  <c r="B2" i="14" l="1"/>
  <c r="B3" i="2"/>
  <c r="L15" i="13"/>
  <c r="L19" i="13" s="1"/>
  <c r="B14" i="4"/>
  <c r="B10" i="14" l="1"/>
  <c r="B10" i="2" s="1"/>
  <c r="B2" i="2"/>
  <c r="C33" i="11"/>
  <c r="E39" i="11"/>
  <c r="H39" i="11" s="1"/>
  <c r="E40" i="11"/>
  <c r="H40" i="11" s="1"/>
  <c r="E83" i="11" l="1"/>
  <c r="G83" i="11" s="1"/>
  <c r="E34" i="11"/>
  <c r="G32" i="11"/>
  <c r="G31" i="11"/>
  <c r="H31" i="11" s="1"/>
  <c r="G30" i="11"/>
  <c r="H30" i="11" s="1"/>
  <c r="G29" i="11"/>
  <c r="H29" i="11" s="1"/>
  <c r="N29" i="11" l="1"/>
  <c r="N30" i="11" s="1"/>
  <c r="O30" i="11" s="1"/>
  <c r="G82" i="11"/>
  <c r="H82" i="11" s="1"/>
  <c r="H83" i="11"/>
  <c r="F28" i="5"/>
  <c r="F27" i="5"/>
  <c r="F26" i="5"/>
  <c r="F25" i="5"/>
  <c r="F24" i="5"/>
  <c r="R18" i="5"/>
  <c r="R16" i="5"/>
  <c r="R15" i="5"/>
  <c r="R14" i="5"/>
  <c r="R13" i="5"/>
  <c r="R11" i="5"/>
  <c r="R10" i="5"/>
  <c r="R19" i="5"/>
  <c r="R17" i="5"/>
  <c r="R12" i="5"/>
  <c r="R9" i="5"/>
  <c r="A6" i="11" l="1"/>
  <c r="B2" i="12" s="1"/>
  <c r="O29" i="11"/>
  <c r="A5" i="11" s="1"/>
  <c r="B6" i="12" s="1"/>
  <c r="B3" i="12" s="1"/>
  <c r="B33" i="9"/>
  <c r="B41" i="9" s="1"/>
  <c r="C53" i="9"/>
  <c r="C54" i="9"/>
  <c r="C41" i="9"/>
  <c r="C40" i="9"/>
  <c r="F36" i="7"/>
  <c r="F38" i="7" s="1"/>
  <c r="F40" i="7" s="1"/>
  <c r="F22" i="7"/>
  <c r="B54" i="3"/>
  <c r="B58" i="3" s="1"/>
  <c r="B60" i="3" s="1"/>
  <c r="B46" i="3"/>
  <c r="B50" i="3" s="1"/>
  <c r="B23" i="10"/>
  <c r="B18" i="10"/>
  <c r="B24" i="10" s="1"/>
  <c r="D9" i="14" s="1"/>
  <c r="D9" i="2" s="1"/>
  <c r="D35" i="5"/>
  <c r="B5" i="12" l="1"/>
  <c r="B4" i="12"/>
  <c r="B8" i="12"/>
  <c r="B9" i="12"/>
  <c r="B10" i="12"/>
  <c r="B11" i="12"/>
  <c r="A63" i="3"/>
  <c r="B40" i="9"/>
  <c r="D40" i="9" s="1"/>
  <c r="D41" i="9"/>
  <c r="D37" i="5"/>
  <c r="D38" i="5" s="1"/>
  <c r="F8" i="14" s="1"/>
  <c r="C61" i="9" l="1"/>
  <c r="C60" i="9"/>
  <c r="C59" i="9"/>
  <c r="E8" i="14"/>
  <c r="E8" i="2" s="1"/>
  <c r="F8" i="2"/>
  <c r="D8" i="14"/>
  <c r="D8" i="2" s="1"/>
  <c r="K8" i="14"/>
  <c r="J8" i="14"/>
  <c r="J8" i="2" s="1"/>
  <c r="I8" i="14"/>
  <c r="I8" i="2" s="1"/>
  <c r="H8" i="14"/>
  <c r="H8" i="2" s="1"/>
  <c r="C8" i="14"/>
  <c r="C8" i="2" s="1"/>
  <c r="F7" i="7"/>
  <c r="F8" i="7" s="1"/>
  <c r="E5" i="10"/>
  <c r="E7" i="10" s="1"/>
  <c r="E8" i="10" s="1"/>
  <c r="E3" i="10"/>
  <c r="B87" i="7" s="1"/>
  <c r="E9" i="10" l="1"/>
  <c r="B9" i="14" s="1"/>
  <c r="B9" i="2" s="1"/>
  <c r="K8" i="2"/>
  <c r="B90" i="7"/>
  <c r="B93" i="7" s="1"/>
  <c r="B4" i="14" s="1"/>
  <c r="B91" i="7"/>
  <c r="B94" i="7" s="1"/>
  <c r="B5" i="14" s="1"/>
  <c r="B5" i="2" s="1"/>
  <c r="F23" i="7"/>
  <c r="F64" i="7"/>
  <c r="F65" i="7" s="1"/>
  <c r="F60" i="7"/>
  <c r="F66" i="7" s="1"/>
  <c r="F3" i="7"/>
  <c r="F9" i="7" s="1"/>
  <c r="E12" i="7"/>
  <c r="G25" i="6"/>
  <c r="G26" i="6" s="1"/>
  <c r="D7" i="6"/>
  <c r="D12" i="6"/>
  <c r="G28" i="6" s="1"/>
  <c r="G19" i="6"/>
  <c r="G20" i="6" s="1"/>
  <c r="D11" i="6"/>
  <c r="G24" i="6" s="1"/>
  <c r="D6" i="6"/>
  <c r="G18" i="6" s="1"/>
  <c r="J19" i="5"/>
  <c r="L19" i="5" s="1"/>
  <c r="J18" i="5"/>
  <c r="L18" i="5" s="1"/>
  <c r="J17" i="5"/>
  <c r="T17" i="5" s="1"/>
  <c r="J16" i="5"/>
  <c r="L16" i="5" s="1"/>
  <c r="J14" i="5"/>
  <c r="T14" i="5" s="1"/>
  <c r="J13" i="5"/>
  <c r="L13" i="5" s="1"/>
  <c r="J12" i="5"/>
  <c r="T12" i="5" s="1"/>
  <c r="J11" i="5"/>
  <c r="T11" i="5" s="1"/>
  <c r="J10" i="5"/>
  <c r="T10" i="5" s="1"/>
  <c r="J9" i="5"/>
  <c r="T9" i="5" s="1"/>
  <c r="J15" i="5"/>
  <c r="L15" i="5" s="1"/>
  <c r="N19" i="5"/>
  <c r="N18" i="5"/>
  <c r="N17" i="5"/>
  <c r="N16" i="5"/>
  <c r="N15" i="5"/>
  <c r="N14" i="5"/>
  <c r="N13" i="5"/>
  <c r="N12" i="5"/>
  <c r="N11" i="5"/>
  <c r="N10" i="5"/>
  <c r="B44" i="4"/>
  <c r="B42" i="4"/>
  <c r="B34" i="4"/>
  <c r="B38" i="4" s="1"/>
  <c r="B15" i="4"/>
  <c r="B21" i="4" s="1"/>
  <c r="B20" i="4"/>
  <c r="D22" i="3"/>
  <c r="D23" i="3"/>
  <c r="F22" i="3"/>
  <c r="B4" i="2" l="1"/>
  <c r="F41" i="7"/>
  <c r="F43" i="7" s="1"/>
  <c r="F45" i="7" s="1"/>
  <c r="F140" i="7" s="1"/>
  <c r="F17" i="7"/>
  <c r="F18" i="7" s="1"/>
  <c r="F19" i="7" s="1"/>
  <c r="W14" i="5"/>
  <c r="N25" i="5" s="1"/>
  <c r="I25" i="5"/>
  <c r="G22" i="3"/>
  <c r="F26" i="7"/>
  <c r="F27" i="7" s="1"/>
  <c r="F28" i="7" s="1"/>
  <c r="F29" i="7" s="1"/>
  <c r="F30" i="7" s="1"/>
  <c r="L11" i="5"/>
  <c r="L17" i="5"/>
  <c r="F67" i="7"/>
  <c r="F54" i="7"/>
  <c r="F55" i="7" s="1"/>
  <c r="F56" i="7" s="1"/>
  <c r="F10" i="7"/>
  <c r="B6" i="14" s="1"/>
  <c r="G22" i="6"/>
  <c r="G35" i="6" s="1"/>
  <c r="G21" i="6"/>
  <c r="G27" i="6"/>
  <c r="L14" i="5"/>
  <c r="L12" i="5"/>
  <c r="T13" i="5"/>
  <c r="T16" i="5"/>
  <c r="T18" i="5"/>
  <c r="T15" i="5"/>
  <c r="W15" i="5" s="1"/>
  <c r="L9" i="5"/>
  <c r="L10" i="5"/>
  <c r="T19" i="5"/>
  <c r="I28" i="5" s="1"/>
  <c r="W10" i="5"/>
  <c r="W17" i="5"/>
  <c r="W12" i="5"/>
  <c r="W11" i="5"/>
  <c r="W9" i="5"/>
  <c r="B46" i="4"/>
  <c r="B47" i="4" s="1"/>
  <c r="B49" i="4" s="1"/>
  <c r="B7" i="14" s="1"/>
  <c r="B7" i="2" s="1"/>
  <c r="B26" i="4"/>
  <c r="B27" i="4" s="1"/>
  <c r="D7" i="14" s="1"/>
  <c r="F21" i="3"/>
  <c r="G21" i="3" s="1"/>
  <c r="H21" i="3" s="1"/>
  <c r="B59" i="9" s="1"/>
  <c r="D59" i="9" s="1"/>
  <c r="F23" i="3"/>
  <c r="G23" i="3" s="1"/>
  <c r="H23" i="3" s="1"/>
  <c r="K5" i="14" l="1"/>
  <c r="K6" i="14"/>
  <c r="F141" i="7"/>
  <c r="E140" i="7"/>
  <c r="E141" i="7"/>
  <c r="E142" i="7"/>
  <c r="F6" i="14" s="1"/>
  <c r="F6" i="2" s="1"/>
  <c r="B118" i="7"/>
  <c r="B6" i="2"/>
  <c r="W13" i="5"/>
  <c r="N24" i="5" s="1"/>
  <c r="I24" i="5"/>
  <c r="W16" i="5"/>
  <c r="N26" i="5" s="1"/>
  <c r="I26" i="5"/>
  <c r="W18" i="5"/>
  <c r="N27" i="5" s="1"/>
  <c r="I27" i="5"/>
  <c r="J7" i="14"/>
  <c r="J7" i="2" s="1"/>
  <c r="I7" i="14"/>
  <c r="I7" i="2" s="1"/>
  <c r="H7" i="14"/>
  <c r="H7" i="2" s="1"/>
  <c r="F7" i="14"/>
  <c r="F7" i="2" s="1"/>
  <c r="E7" i="14"/>
  <c r="E7" i="2" s="1"/>
  <c r="D7" i="2"/>
  <c r="C7" i="14"/>
  <c r="C7" i="2" s="1"/>
  <c r="C4" i="14"/>
  <c r="E59" i="9"/>
  <c r="D3" i="14"/>
  <c r="B61" i="9"/>
  <c r="D61" i="9" s="1"/>
  <c r="H22" i="3"/>
  <c r="C3" i="14"/>
  <c r="T21" i="5"/>
  <c r="G32" i="6"/>
  <c r="G33" i="6" s="1"/>
  <c r="W19" i="5"/>
  <c r="D3" i="2" l="1"/>
  <c r="D2" i="14"/>
  <c r="K5" i="2"/>
  <c r="K6" i="2"/>
  <c r="C6" i="14"/>
  <c r="G140" i="7"/>
  <c r="D6" i="14"/>
  <c r="G141" i="7"/>
  <c r="E4" i="14"/>
  <c r="E4" i="2" s="1"/>
  <c r="C9" i="14"/>
  <c r="C4" i="2"/>
  <c r="D4" i="14"/>
  <c r="E61" i="9"/>
  <c r="T22" i="5"/>
  <c r="F3" i="14"/>
  <c r="B60" i="9"/>
  <c r="D60" i="9" s="1"/>
  <c r="W21" i="5"/>
  <c r="N28" i="5"/>
  <c r="W22" i="5" s="1"/>
  <c r="B8" i="14" s="1"/>
  <c r="D2" i="2"/>
  <c r="D10" i="14"/>
  <c r="D10" i="2" s="1"/>
  <c r="F3" i="2"/>
  <c r="F2" i="14"/>
  <c r="J3" i="14"/>
  <c r="F142" i="7"/>
  <c r="G142" i="7" s="1"/>
  <c r="H3" i="14"/>
  <c r="I3" i="14"/>
  <c r="C3" i="2"/>
  <c r="C2" i="14"/>
  <c r="E3" i="14"/>
  <c r="A37" i="3"/>
  <c r="K3" i="14" s="1"/>
  <c r="O19" i="13"/>
  <c r="E6" i="14" l="1"/>
  <c r="E6" i="2" s="1"/>
  <c r="C6" i="2"/>
  <c r="D6" i="2"/>
  <c r="J6" i="14"/>
  <c r="J6" i="2" s="1"/>
  <c r="C9" i="2"/>
  <c r="E9" i="14"/>
  <c r="E9" i="2" s="1"/>
  <c r="D4" i="2"/>
  <c r="J4" i="14"/>
  <c r="J4" i="2" s="1"/>
  <c r="F4" i="14"/>
  <c r="E60" i="9"/>
  <c r="B8" i="2"/>
  <c r="K3" i="2"/>
  <c r="K4" i="14"/>
  <c r="K4" i="2" s="1"/>
  <c r="K2" i="14"/>
  <c r="K7" i="14"/>
  <c r="K9" i="14"/>
  <c r="H3" i="2"/>
  <c r="H2" i="14"/>
  <c r="H5" i="14"/>
  <c r="H5" i="2" s="1"/>
  <c r="I5" i="14"/>
  <c r="I5" i="2" s="1"/>
  <c r="I3" i="2"/>
  <c r="I2" i="14"/>
  <c r="I6" i="14"/>
  <c r="I6" i="2" s="1"/>
  <c r="H6" i="14"/>
  <c r="H6" i="2" s="1"/>
  <c r="J3" i="2"/>
  <c r="J2" i="14"/>
  <c r="F2" i="2"/>
  <c r="F10" i="14"/>
  <c r="F10" i="2" s="1"/>
  <c r="E3" i="2"/>
  <c r="E2" i="14"/>
  <c r="C2" i="2"/>
  <c r="C10" i="14"/>
  <c r="C10" i="2" s="1"/>
  <c r="E18" i="13"/>
  <c r="E17" i="13"/>
  <c r="K16" i="13" s="1"/>
  <c r="E15" i="13"/>
  <c r="E19" i="13"/>
  <c r="K17" i="13" s="1"/>
  <c r="E16" i="13"/>
  <c r="K15" i="13" s="1"/>
  <c r="I4" i="14" l="1"/>
  <c r="I4" i="2" s="1"/>
  <c r="H4" i="14"/>
  <c r="H4" i="2" s="1"/>
  <c r="F9" i="14"/>
  <c r="F4" i="2"/>
  <c r="K7" i="2"/>
  <c r="K9" i="2"/>
  <c r="K2" i="2"/>
  <c r="K10" i="14"/>
  <c r="K10" i="2" s="1"/>
  <c r="J2" i="2"/>
  <c r="J10" i="14"/>
  <c r="J10" i="2" s="1"/>
  <c r="I2" i="2"/>
  <c r="I10" i="14"/>
  <c r="H2" i="2"/>
  <c r="H10" i="14"/>
  <c r="H10" i="2" s="1"/>
  <c r="E2" i="2"/>
  <c r="E10" i="14"/>
  <c r="E10" i="2" s="1"/>
  <c r="K18" i="13"/>
  <c r="K19" i="13" s="1"/>
  <c r="H9" i="14" l="1"/>
  <c r="I9" i="14"/>
  <c r="J9" i="14"/>
  <c r="F9" i="2"/>
  <c r="O23" i="13"/>
  <c r="I38" i="13"/>
  <c r="I10" i="2"/>
  <c r="J9" i="2" l="1"/>
  <c r="B28" i="13"/>
  <c r="I39" i="13" s="1"/>
  <c r="F11" i="14" s="1"/>
  <c r="B11" i="14"/>
  <c r="H9" i="2"/>
  <c r="I9" i="2"/>
  <c r="E11" i="14" l="1"/>
  <c r="F11" i="2"/>
  <c r="F12" i="2" s="1"/>
  <c r="H11" i="14"/>
  <c r="I11" i="14"/>
  <c r="J11" i="14"/>
  <c r="K11" i="14"/>
  <c r="K11" i="2" s="1"/>
  <c r="K12" i="2" s="1"/>
  <c r="B12" i="14"/>
  <c r="B11" i="2"/>
  <c r="B12" i="2" s="1"/>
  <c r="K12" i="14"/>
  <c r="F12" i="14"/>
  <c r="D11" i="14"/>
  <c r="C11" i="14"/>
  <c r="E12" i="14" l="1"/>
  <c r="E11" i="2"/>
  <c r="E12" i="2" s="1"/>
  <c r="H12" i="14"/>
  <c r="H11" i="2"/>
  <c r="H12" i="2" s="1"/>
  <c r="I11" i="2"/>
  <c r="I12" i="2" s="1"/>
  <c r="I12" i="14"/>
  <c r="J11" i="2"/>
  <c r="J12" i="2" s="1"/>
  <c r="J12" i="14"/>
  <c r="D11" i="2"/>
  <c r="D12" i="2" s="1"/>
  <c r="D12" i="14"/>
  <c r="C11" i="2"/>
  <c r="C12" i="2" s="1"/>
  <c r="C1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B130" authorId="0" shapeId="0" xr:uid="{837236FB-F787-4102-912E-3DC45F4A4A2F}">
      <text>
        <r>
          <rPr>
            <b/>
            <sz val="9"/>
            <color indexed="81"/>
            <rFont val="Tahoma"/>
            <family val="2"/>
          </rPr>
          <t>Dan O'Brien:</t>
        </r>
        <r>
          <rPr>
            <sz val="9"/>
            <color indexed="81"/>
            <rFont val="Tahoma"/>
            <family val="2"/>
          </rPr>
          <t xml:space="preserve">
Source: U.S. BLS CPI-U, annual average (1982-84=100). https://www.bls.gov/cpi/</t>
        </r>
      </text>
    </comment>
    <comment ref="B131" authorId="0" shapeId="0" xr:uid="{1500D00F-F8A9-40B6-89F7-68DE8C0A02D0}">
      <text>
        <r>
          <rPr>
            <b/>
            <sz val="9"/>
            <color indexed="81"/>
            <rFont val="Tahoma"/>
            <charset val="1"/>
          </rPr>
          <t>CPI-U annual average 1987, linked to the 'cpi' tab (BLS full series, 1982-84=100). Value 113.6 — matches the figure originally entered by hand. Used for the EPRI 1987 upper-bound reading of the induction-furnace cost.</t>
        </r>
      </text>
    </comment>
    <comment ref="C131" authorId="0" shapeId="0" xr:uid="{1DA4D176-CD9D-40D4-B419-ED64B4987DFD}">
      <text>
        <r>
          <rPr>
            <b/>
            <sz val="9"/>
            <color indexed="81"/>
            <rFont val="Tahoma"/>
            <charset val="1"/>
          </rPr>
          <t>Dan O'Brien:</t>
        </r>
        <r>
          <rPr>
            <sz val="9"/>
            <color indexed="81"/>
            <rFont val="Tahoma"/>
            <charset val="1"/>
          </rPr>
          <t xml:space="preserve">
Multiplier from 1987 USD to 2012 USD.</t>
        </r>
      </text>
    </comment>
    <comment ref="B132" authorId="0" shapeId="0" xr:uid="{6B1A3FEF-1102-4C9F-920B-E5A5F61BB0DE}">
      <text>
        <r>
          <rPr>
            <b/>
            <sz val="9"/>
            <color indexed="81"/>
            <rFont val="Tahoma"/>
            <charset val="1"/>
          </rPr>
          <t>CPI-U annual average 2011, linked to the 'cpi' tab. Value 224.939 — matches the hand-entered figure. Publication year of the Electrotechnologies Reference Guide carrying the EPRI induction cost; used as the central dollar-year.</t>
        </r>
      </text>
    </comment>
    <comment ref="C132" authorId="0" shapeId="0" xr:uid="{113EF92E-8D97-495B-B7F4-C77BE990E45C}">
      <text>
        <r>
          <rPr>
            <b/>
            <sz val="9"/>
            <color indexed="81"/>
            <rFont val="Tahoma"/>
            <charset val="1"/>
          </rPr>
          <t>Dan O'Brien:</t>
        </r>
        <r>
          <rPr>
            <sz val="9"/>
            <color indexed="81"/>
            <rFont val="Tahoma"/>
            <charset val="1"/>
          </rPr>
          <t xml:space="preserve">
Multiplier from 2011 USD to 2012 USD.</t>
        </r>
      </text>
    </comment>
    <comment ref="B133" authorId="0" shapeId="0" xr:uid="{678A9E9C-FDAF-47AE-8626-62000FCD1E26}">
      <text>
        <r>
          <rPr>
            <b/>
            <sz val="9"/>
            <color indexed="81"/>
            <rFont val="Tahoma"/>
            <family val="2"/>
          </rPr>
          <t>CPI-U annual average 2019, linked to the 'cpi' tab. Value 255.657 — matches the hand-entered figure. Used to escalate the Agora (2019) electric-boiler CAPEX.</t>
        </r>
      </text>
    </comment>
    <comment ref="C133" authorId="0" shapeId="0" xr:uid="{4649276C-1A92-4ADF-9C0E-EE383A9FEDF4}">
      <text>
        <r>
          <rPr>
            <b/>
            <sz val="9"/>
            <color indexed="81"/>
            <rFont val="Tahoma"/>
            <family val="2"/>
          </rPr>
          <t>Dan O'Brien:</t>
        </r>
        <r>
          <rPr>
            <sz val="9"/>
            <color indexed="81"/>
            <rFont val="Tahoma"/>
            <family val="2"/>
          </rPr>
          <t xml:space="preserve">
Multiplier from 2019 USD to 2012 USD.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B6" authorId="0" shapeId="0" xr:uid="{265EF63D-BD3F-4BBD-BACD-976358996B72}">
      <text>
        <r>
          <rPr>
            <b/>
            <sz val="9"/>
            <color indexed="81"/>
            <rFont val="Tahoma"/>
            <family val="2"/>
          </rPr>
          <t>Dan O'Brien:</t>
        </r>
        <r>
          <rPr>
            <sz val="9"/>
            <color indexed="81"/>
            <rFont val="Tahoma"/>
            <family val="2"/>
          </rPr>
          <t xml:space="preserve">
BASIS PROBLEM IDENTIFIED July 2026 — value unchanged pending decision. Source: IEA HPT TCP Project 68, 'Industrial High-Temperature Heat Pumps, Task 1 - Technologies: Yearly Report 2025', page 16 Figure 1-4 (About B6-B8). That report states specific investment costs span roughly 300-1000 €/kW and cluster around 500 €/kW for units up to ~2 MW, reaching 500-700 €/kW at 25 MW. CRITICALLY, its capacity axes are labelled 'capacity, supply' — i.e. HEAT OUTPUT capacity. Industrial heat-pump costs are conventionally quoted per kW of heat delivered, not per kW of electrical power draw. The 600 €/kW here sits squarely inside that thermal range; had it been per kW electric it would imply only ~200 €/kW thermal at COP 3, far below the report's range. CONCLUSION: this figure is almost certainly €/kW THERMAL, and the labels at D6 ('€ / power draw') and D16 ('does not need to be converted using heat pump COP') are wrong. CORRECTION REQUIRED: cost per unit of annual ELECTRICITY = (€/kW thermal) × COP ÷ annual hours — i.e. MULTIPLY by COP, which RAISES B15 roughly threefold, because a heat pump buys three units of heat per unit of electricity and this workbook's denominator is electricity. Also note the report excludes planning and integration costs.</t>
        </r>
      </text>
    </comment>
    <comment ref="C20" authorId="0" shapeId="0" xr:uid="{F92D9706-CF78-47B4-B36A-C2766B717074}">
      <text>
        <r>
          <rPr>
            <b/>
            <sz val="9"/>
            <color indexed="81"/>
            <rFont val="Tahoma"/>
            <charset val="1"/>
          </rPr>
          <t>Dan O'Brien:</t>
        </r>
        <r>
          <rPr>
            <sz val="9"/>
            <color indexed="81"/>
            <rFont val="Tahoma"/>
            <charset val="1"/>
          </rPr>
          <t xml:space="preserve">
Source: IRENA, REmap Technology and Performance Assumptions for 2030 (2016). https://www.irena.org/-/media/Irena/Files/REmap/IRENA_REmap_2030_technology_cost.xlsx — full citation on the About tab, rows 17-21. Pointer added July 2026 so the source is discoverable where the numbers live. DEA cross-check (workbook tabs 6.1 / 6.3): gas agrees closely; DEA coal is ~55% higher and DEA prices oil the same as gas rather than at twice gas.</t>
        </r>
      </text>
    </comment>
    <comment ref="E21" authorId="0" shapeId="0" xr:uid="{7476B4FB-7260-48EF-9FFC-D6BF69F1E34B}">
      <text>
        <r>
          <rPr>
            <b/>
            <sz val="9"/>
            <color indexed="81"/>
            <rFont val="Tahoma"/>
            <charset val="1"/>
          </rPr>
          <t>Dan O'Brien:</t>
        </r>
        <r>
          <rPr>
            <sz val="9"/>
            <color indexed="81"/>
            <rFont val="Tahoma"/>
            <charset val="1"/>
          </rPr>
          <t xml:space="preserve">
REVISED (July 2026) 90% -&gt; 90.3%. Aligned with the boiler efficiencies now used in the efficiency workbooks: US DOE AMO Steam Tip Sheet #15, Table 2 — HHV boiler combustion efficiency for coal = 90.3% (boiler with economizer or air preheater, 3% O2 in flue gas). https://www.energy.gov/sites/prod/files/2014/05/f16/steam15_benchmark.pdf</t>
        </r>
      </text>
    </comment>
    <comment ref="E22" authorId="0" shapeId="0" xr:uid="{2A7F807D-5A10-4223-A059-21B2A38795C3}">
      <text>
        <r>
          <rPr>
            <b/>
            <sz val="9"/>
            <color indexed="81"/>
            <rFont val="Tahoma"/>
            <charset val="1"/>
          </rPr>
          <t>Dan O'Brien:</t>
        </r>
        <r>
          <rPr>
            <sz val="9"/>
            <color indexed="81"/>
            <rFont val="Tahoma"/>
            <charset val="1"/>
          </rPr>
          <t xml:space="preserve">
REVISED (July 2026) 85% -&gt; 89.2%. Steam Tip Sheet #15, Table 2 (HHV): distillate/No.2 oil 88.7%, residual/No.6 oil 89.6% — midpoint 89.2% for the combined petroleum category. Note the direction: on an HHV basis oil BEATS natural gas, because hydrogen-rich fuels lose more unrecoverable latent heat up the stack.</t>
        </r>
      </text>
    </comment>
    <comment ref="E23" authorId="0" shapeId="0" xr:uid="{46FCC3B5-39F3-467E-8F30-23F13CC19076}">
      <text>
        <r>
          <rPr>
            <b/>
            <sz val="9"/>
            <color indexed="81"/>
            <rFont val="Tahoma"/>
            <charset val="1"/>
          </rPr>
          <t>Dan O'Brien:</t>
        </r>
        <r>
          <rPr>
            <sz val="9"/>
            <color indexed="81"/>
            <rFont val="Tahoma"/>
            <charset val="1"/>
          </rPr>
          <t xml:space="preserve">
REVISED (July 2026) 95% -&gt; 85.7%. Steam Tip Sheet #15, Table 2 (HHV): natural gas 85.7%. The previous 95% was an LHV-style figure and produced the WRONG FUEL ORDERING (gas best, coal worst); on an HHV basis the ordering reverses (coal 90.3% &gt; oil 89.2% &gt; gas 85.7%). This is the same LHV/HHV sign error corrected in both efficiency workbooks (their 'Combustion Efficiency' D3:D5 and row 140). Effect here: gas boiler capex per unit annual INPUT energy falls ~10%, because a given heat output now implies more fuel input.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B63" authorId="0" shapeId="0" xr:uid="{F3F75F8F-6ECE-4D9F-9B5F-3D347B5AB0B5}">
      <text>
        <r>
          <rPr>
            <b/>
            <sz val="9"/>
            <color indexed="81"/>
            <rFont val="Tahoma"/>
            <charset val="1"/>
          </rPr>
          <t>Dan O'Brien:</t>
        </r>
        <r>
          <rPr>
            <sz val="9"/>
            <color indexed="81"/>
            <rFont val="Tahoma"/>
            <charset val="1"/>
          </rPr>
          <t xml:space="preserve">
JUDGMENT INPUT, identical to 'Combustion Efficiency'!F107 in the start-year efficiency workbook and B134 in the minimum-UEF workbook, so all three files use the same duty split. Range 45-65%.</t>
        </r>
      </text>
    </comment>
    <comment ref="B64" authorId="0" shapeId="0" xr:uid="{7174F88D-30DD-4E4A-8D6D-4A33E917470D}">
      <text>
        <r>
          <rPr>
            <b/>
            <sz val="9"/>
            <color indexed="81"/>
            <rFont val="Tahoma"/>
            <family val="2"/>
          </rPr>
          <t>Dan O'Brien:</t>
        </r>
        <r>
          <rPr>
            <sz val="9"/>
            <color indexed="81"/>
            <rFont val="Tahoma"/>
            <family val="2"/>
          </rPr>
          <t xml:space="preserve">
The commercial-oven source is 2016 USD (the output tab previously deflated this cell with About!C126, the 2016 multiplier). The boiler component of this blend is already 2024 USD, so the oven is escalated to 2024 USD here to put the whole blend on one dollar basis. The output tab's deflator for these cells is then switched to About!C130 (2024 → 2012). CPI-U annual averages, linked to the 'cpi'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F71" authorId="0" shapeId="0" xr:uid="{BEA8A87C-2654-4757-83F0-ABEC6B4BB347}">
      <text>
        <r>
          <rPr>
            <b/>
            <sz val="9"/>
            <color indexed="81"/>
            <rFont val="Tahoma"/>
            <family val="2"/>
          </rPr>
          <t>Dan O'Brien:</t>
        </r>
        <r>
          <rPr>
            <sz val="9"/>
            <color indexed="81"/>
            <rFont val="Tahoma"/>
            <family val="2"/>
          </rPr>
          <t xml:space="preserve">
Resistance-heater overnight CAPEX. Source: Reinert et al. 2025, 'Transition pathways to electrified chemical production' (arXiv:2503.02008), Supplementary Table (from Baumgaertner et al.). 238 k-EUR/MW = 238 EUR/kW.</t>
        </r>
      </text>
    </comment>
    <comment ref="B84" authorId="0" shapeId="0" xr:uid="{1C8497E1-33F9-4E97-BD23-522E1383F82D}">
      <text>
        <r>
          <rPr>
            <b/>
            <sz val="9"/>
            <color indexed="81"/>
            <rFont val="Tahoma"/>
            <charset val="1"/>
          </rPr>
          <t>REVISED (user decision, July 2026): now the AGORA mean. Agora Energiewende (2019) electric/electrode steam boiler, 10-40 MW thermal, 30 bar, 230-240 °C: CAPEX €100-250/kW, mean €175/kW (see 'Agora' tab row 95). Escalated 2019 → 2024 USD via CPI-U (About C133/C130) then converted at F72. PREVIOUS value: DEA Technology Data sheet '5.1b Electric boiler steam' = 0.11 M€/MW = €110/kW ≈ $119/kW, which sits at the LOW end of Agora's range. Two further points on the Agora figure, both NOT applied here: (i) Agora's own default calculator multiplies by a 1.5 system-integration factor, giving €262.5/kW (their row 97), plus €25-150/kWel for new grid connections (row 99); (ii) Agora's underlying sources are district-heating (AGFW, FFE, Ramboll), so integration allowances may not transfer cleanly to industrial process steam. Suggested range for this input: $119/kW (DEA) to ~$350/kW (Agora with integration).</t>
        </r>
      </text>
    </comment>
    <comment ref="B86" authorId="0" shapeId="0" xr:uid="{36036193-9FD5-46FD-BD08-1BD380B1F193}">
      <text>
        <r>
          <rPr>
            <b/>
            <sz val="9"/>
            <color indexed="81"/>
            <rFont val="Tahoma"/>
            <charset val="1"/>
          </rPr>
          <t>Dan O'Brien:</t>
        </r>
        <r>
          <rPr>
            <sz val="9"/>
            <color indexed="81"/>
            <rFont val="Tahoma"/>
            <charset val="1"/>
          </rPr>
          <t xml:space="preserve">
Induction heating/melting, including power supply. Derived from EPRI 1987 ($600,000 per furnace consuming 12 million kWh/yr) — see derivation at rows 98-104. The EPRI figure is natively in $/(annual kWh), the same basis this workbook uses, so no utilization assumption is introduced. Highest CAPEX of the four technologies, consistent with induction's solid-state power supply, coil, water cooling and harmonics mitigation. See A104 for the modern-market cross-check, which suggests this is at or above today's market level.</t>
        </r>
      </text>
    </comment>
    <comment ref="B87" authorId="0" shapeId="0" xr:uid="{FB0D38F4-6EEE-4DCA-A0EC-675A23C3B6D6}">
      <text>
        <r>
          <rPr>
            <b/>
            <sz val="9"/>
            <color indexed="81"/>
            <rFont val="Tahoma"/>
            <charset val="1"/>
          </rPr>
          <t>Dan O'Brien:</t>
        </r>
        <r>
          <rPr>
            <sz val="9"/>
            <color indexed="81"/>
            <rFont val="Tahoma"/>
            <charset val="1"/>
          </rPr>
          <t xml:space="preserve">
Industrial electric infrared heater, derived from the existing figure on the 'Other' tab: $2,840.74 for an 18 kW unit = $157.8/kW (inflation-adjusted USD; vendor quote, Shadow Industrial Infrared model). Already an electrical-input rating, so no efficiency conversion needed.</t>
        </r>
      </text>
    </comment>
    <comment ref="B89" authorId="0" shapeId="0" xr:uid="{3A432571-62A4-449A-B7A0-7CE5EBDD7DC6}">
      <text>
        <r>
          <rPr>
            <b/>
            <sz val="9"/>
            <color indexed="81"/>
            <rFont val="Tahoma"/>
            <charset val="1"/>
          </rPr>
          <t>Dan O'Brien:</t>
        </r>
        <r>
          <rPr>
            <sz val="9"/>
            <color indexed="81"/>
            <rFont val="Tahoma"/>
            <charset val="1"/>
          </rPr>
          <t xml:space="preserve">
DEA Technology Data sheet '7.3 Direct electric firing' — direct electric heating, 5 MW, nominal investment 0.07 M€/MW (2025) = 70 €/kW, max supply temperature 1800-2000 °C, net efficiency 100%. This is roughly ONE THIRD of the Reinert/Baumgärtner resistance-heater figure used in B85 (238 €/kW). DECISION NEEDED: DEA's own note E says the installed price was 'an experience based guess as no concrete data was retrieved' (unit price from San Electro Heat, installed cost assessed by Viegand Maagøe), which argues for the peer-reviewed Reinert value as central; but the gap is large enough that the 500-1000 °C blend roughly halves if DEA is preferred. Retained as an explicit low-end bound, not wired in.</t>
        </r>
      </text>
    </comment>
    <comment ref="B90" authorId="0" shapeId="0" xr:uid="{240FF776-E029-4119-9E88-7AD8248728C6}">
      <text>
        <r>
          <rPr>
            <b/>
            <sz val="9"/>
            <color indexed="81"/>
            <rFont val="Tahoma"/>
            <charset val="1"/>
          </rPr>
          <t>Dan O'Brien:</t>
        </r>
        <r>
          <rPr>
            <sz val="9"/>
            <color indexed="81"/>
            <rFont val="Tahoma"/>
            <charset val="1"/>
          </rPr>
          <t xml:space="preserve">
Share-weighted CAPEX per kW-electric. INCOMPLETE until B84, B86 and B87 are populated — currently only the resistance-heater share contributes, so this understates the blend. Mix shares mirror 'Electric Process Heat' rows 15-16 in the start-year workbook (duty-matched: electric boiler 55% / resistance ovens 30% / induction 5% / infrared 10%).</t>
        </r>
      </text>
    </comment>
    <comment ref="B91" authorId="0" shapeId="0" xr:uid="{89131F57-C8BC-4F17-B319-D4CE44DDE685}">
      <text>
        <r>
          <rPr>
            <b/>
            <sz val="9"/>
            <color indexed="81"/>
            <rFont val="Tahoma"/>
            <charset val="1"/>
          </rPr>
          <t>Dan O'Brien:</t>
        </r>
        <r>
          <rPr>
            <sz val="9"/>
            <color indexed="81"/>
            <rFont val="Tahoma"/>
            <charset val="1"/>
          </rPr>
          <t xml:space="preserve">
Share-weighted CAPEX per kW-electric. INCOMPLETE until B86 and B87 are populated. Mix: resistance furnace 55% / induction 40% / infrared 5%. Because induction is the most capital-intensive of the group, this band's blend is expected to land ABOVE the flat resistance-heater figure once sourced.</t>
        </r>
      </text>
    </comment>
    <comment ref="B93" authorId="0" shapeId="0" xr:uid="{94ACE040-0CAD-43B2-A2FB-B1EC7B22CEAE}">
      <text>
        <r>
          <rPr>
            <b/>
            <sz val="9"/>
            <color indexed="81"/>
            <rFont val="Tahoma"/>
            <charset val="1"/>
          </rPr>
          <t>Dan O'Brien:</t>
        </r>
        <r>
          <rPr>
            <sz val="9"/>
            <color indexed="81"/>
            <rFont val="Tahoma"/>
            <charset val="1"/>
          </rPr>
          <t xml:space="preserve">
= blended $/kW-electric ÷ annual full-load hours (F74) ÷ BTU per kWh (F76). Same construction as F77. Ready to replace Summary!B4 once the missing technology CAPEX values are sourced.</t>
        </r>
      </text>
    </comment>
    <comment ref="B94" authorId="0" shapeId="0" xr:uid="{C95B3685-8F1A-4D6E-A5FD-03C11127F222}">
      <text>
        <r>
          <rPr>
            <b/>
            <sz val="9"/>
            <color indexed="81"/>
            <rFont val="Tahoma"/>
            <charset val="1"/>
          </rPr>
          <t>Dan O'Brien:</t>
        </r>
        <r>
          <rPr>
            <sz val="9"/>
            <color indexed="81"/>
            <rFont val="Tahoma"/>
            <charset val="1"/>
          </rPr>
          <t xml:space="preserve">
Same construction as B93. Ready to replace Summary!B5 once sourced.</t>
        </r>
      </text>
    </comment>
    <comment ref="B99" authorId="0" shapeId="0" xr:uid="{98B1FC33-EA42-4784-8C8F-73AAE02679DB}">
      <text>
        <r>
          <rPr>
            <b/>
            <sz val="9"/>
            <color indexed="81"/>
            <rFont val="Tahoma"/>
            <charset val="1"/>
          </rPr>
          <t>Dan O'Brien:</t>
        </r>
        <r>
          <rPr>
            <sz val="9"/>
            <color indexed="81"/>
            <rFont val="Tahoma"/>
            <charset val="1"/>
          </rPr>
          <t xml:space="preserve">
EPRI 1987: an induction furnace consuming 12 million kWh per year costs around $600,000. Corroborated in EPRI Table B-46 (induction heating parameters): $600,000 cost, typical consumption per furnace 12 million kWh/yr, against 21,900 million kWh/yr of 1980 US induction-heating electricity consumption.</t>
        </r>
      </text>
    </comment>
    <comment ref="B100" authorId="0" shapeId="0" xr:uid="{E3924A64-69CD-4C6A-AE62-044B64A25301}">
      <text>
        <r>
          <rPr>
            <b/>
            <sz val="9"/>
            <color indexed="81"/>
            <rFont val="Tahoma"/>
            <charset val="1"/>
          </rPr>
          <t>Dan O'Brien:</t>
        </r>
        <r>
          <rPr>
            <sz val="9"/>
            <color indexed="81"/>
            <rFont val="Tahoma"/>
            <charset val="1"/>
          </rPr>
          <t xml:space="preserve">
EPRI 1987 / Table B-46 — typical consumption per induction furnace.</t>
        </r>
      </text>
    </comment>
    <comment ref="B101" authorId="0" shapeId="0" xr:uid="{DF2B6F16-B338-4C83-8A0D-4ED8F1B7913C}">
      <text>
        <r>
          <rPr>
            <b/>
            <sz val="9"/>
            <color indexed="81"/>
            <rFont val="Tahoma"/>
            <charset val="1"/>
          </rPr>
          <t>Dan O'Brien:</t>
        </r>
        <r>
          <rPr>
            <sz val="9"/>
            <color indexed="81"/>
            <rFont val="Tahoma"/>
            <charset val="1"/>
          </rPr>
          <t xml:space="preserve">
Already in this workbook's native basis — dollars per unit of annual energy consumption — so no capacity-factor or full-load-hours assumption is needed to use it.</t>
        </r>
      </text>
    </comment>
    <comment ref="B102" authorId="0" shapeId="0" xr:uid="{94D360C0-6B8F-4C46-9CA7-A8BCD38351B7}">
      <text>
        <r>
          <rPr>
            <b/>
            <sz val="9"/>
            <color indexed="81"/>
            <rFont val="Tahoma"/>
            <charset val="1"/>
          </rPr>
          <t>DOLLAR-YEAR JUDGMENT (July 2026): treated as 2011 USD — the publication year of the Electrotechnologies Energy Efficiency Reference Guide that carries this figure — rather than 1987, the year of the EPRI source it cites. The citation is genuinely ambiguous (EPRI Table B-46 pairs the $600,000 with 1980 consumption data, suggesting a legacy dataset reproduced as-published), so the choice rests on independent evidence rather than citation forensics: (i) at the 1987 reading the result is $724/kW, which makes induction 2.8x a resistance heater and 6x an electric boiler — beyond the 1.5-3x range typical of engineering comparisons; (ii) it also exceeds the ~$400/kW ceiling implied by current market quotes (see A104); (iii) real-terms induction cost has fallen materially since 1987 as solid-state IGBT supplies replaced motor-generator and thyristor sets, so even a genuine 1987 figure should be haircut for present-day use. The 2011 reading gives $365/kW, which lands at the top of the independent market range — two lines of evidence converging. Upper bound (1987 reading) retained at B105.</t>
        </r>
      </text>
    </comment>
    <comment ref="B103" authorId="0" shapeId="0" xr:uid="{F2C54FA4-D9A8-4EDF-8979-C1B9032C556E}">
      <text>
        <r>
          <rPr>
            <b/>
            <sz val="9"/>
            <color indexed="81"/>
            <rFont val="Tahoma"/>
            <charset val="1"/>
          </rPr>
          <t>Dan O'Brien:</t>
        </r>
        <r>
          <rPr>
            <sz val="9"/>
            <color indexed="81"/>
            <rFont val="Tahoma"/>
            <charset val="1"/>
          </rPr>
          <t xml:space="preserve">
× annual full-load hours (F74 = 5,240) to express on the same $/kW-electric basis as rows 84-87. The hours cancel again when the blend converts back to $/(BTU/yr) in rows 93-94, so this round-trip adds no assumption.</t>
        </r>
      </text>
    </comment>
    <comment ref="B105" authorId="0" shapeId="0" xr:uid="{3DE889A6-F48F-47B5-8A8B-C015C2DE3316}">
      <text>
        <r>
          <rPr>
            <b/>
            <sz val="9"/>
            <color indexed="81"/>
            <rFont val="Tahoma"/>
            <charset val="1"/>
          </rPr>
          <t>Dan O'Brien:</t>
        </r>
        <r>
          <rPr>
            <sz val="9"/>
            <color indexed="81"/>
            <rFont val="Tahoma"/>
            <charset val="1"/>
          </rPr>
          <t xml:space="preserve">
$/kW-electric if the EPRI figure is read as 1987 USD instead of 2011 USD. Retained as the documented upper bound of the dollar-year ambiguity. Suggested range for induction CAPEX: ~$150/kW (modern Western low end) to ~$724/kW (1987 reading), central $365/kW.</t>
        </r>
      </text>
    </comment>
    <comment ref="B109" authorId="0" shapeId="0" xr:uid="{84BD592D-FD71-49A2-93C0-9E87FE4CF77D}">
      <text>
        <r>
          <rPr>
            <b/>
            <sz val="9"/>
            <color indexed="81"/>
            <rFont val="Tahoma"/>
            <charset val="1"/>
          </rPr>
          <t>Dan O'Brien:</t>
        </r>
        <r>
          <rPr>
            <sz val="9"/>
            <color indexed="81"/>
            <rFont val="Tahoma"/>
            <charset val="1"/>
          </rPr>
          <t xml:space="preserve">
JUDGMENT: 20 MW. Refinery and petrochemical fired heaters commonly run 10-50 MW. The chart is strongly scale-dependent, so this choice matters: reading the Non-Reactive Fired Heater curve gives ~90 $/kW at 10,000 kW and ~40 $/kW at 100,000 kW, so the plausible range for this input is roughly 40-90 $/kW of duty. Range 10,000-50,000 kW.</t>
        </r>
      </text>
    </comment>
    <comment ref="B110" authorId="0" shapeId="0" xr:uid="{BE2A4B95-6DF9-4E91-8DD4-5B3020368900}">
      <text>
        <r>
          <rPr>
            <b/>
            <sz val="9"/>
            <color indexed="81"/>
            <rFont val="Tahoma"/>
            <charset val="1"/>
          </rPr>
          <t>Dan O'Brien:</t>
        </r>
        <r>
          <rPr>
            <sz val="9"/>
            <color indexed="81"/>
            <rFont val="Tahoma"/>
            <charset val="1"/>
          </rPr>
          <t xml:space="preserve">
Read from the Turton Non-Reactive Fired Heater curve at 20,000 kW by log-log interpolation between the ~90 $/kW point at 10,000 kW and the ~40 $/kW point at 100,000 kW. Chart basis: CEPCI = 397 (September 2001), PURCHASED equipment cost, i.e. excluding installation. Chart-reading uncertainty roughly +/-10%.</t>
        </r>
      </text>
    </comment>
    <comment ref="B111" authorId="0" shapeId="0" xr:uid="{E2DE8B6D-2CE4-43F9-84CF-2F8FE6B4BD5B}">
      <text>
        <r>
          <rPr>
            <b/>
            <sz val="9"/>
            <color indexed="81"/>
            <rFont val="Tahoma"/>
            <charset val="1"/>
          </rPr>
          <t>Chemical Engineering Plant Cost Index. Chart basis CEPCI = 397 (Sept 2001, stated on the chart); 2024 CEPCI = 800, CONFIRMED July 2026. CEPCI is used here rather than the CPI-U applied elsewhere in this workbook because it is the standard escalator for process-plant equipment; CPI-U over the same period would give 1.771 (313.689/177.1), about 12% lower, understating equipment-cost escalation.</t>
        </r>
      </text>
    </comment>
    <comment ref="B112" authorId="0" shapeId="0" xr:uid="{B8E36F8B-CE8D-4204-97FD-527EA1657ED6}">
      <text>
        <r>
          <rPr>
            <b/>
            <sz val="9"/>
            <color indexed="81"/>
            <rFont val="Tahoma"/>
            <charset val="1"/>
          </rPr>
          <t>Dan O'Brien:</t>
        </r>
        <r>
          <rPr>
            <sz val="9"/>
            <color indexed="81"/>
            <rFont val="Tahoma"/>
            <charset val="1"/>
          </rPr>
          <t xml:space="preserve">
JUDGMENT: Turton's bare-module factor for fired heaters is approximately 2.2 for carbon steel at near-atmospheric pressure. Applied because the chart gives PURCHASED cost while every other exemplar in this workbook is an installed/total capital figure (the glass furnace applies a 1.25 factor, the cement kiln is whole-kiln capital, and the DEA and IRENA figures include installation). Omitting it would understate this band by more than half. Range 2.0-2.5.</t>
        </r>
      </text>
    </comment>
    <comment ref="B113" authorId="0" shapeId="0" xr:uid="{8CC81133-477F-4518-BD7C-82ECE81303DC}">
      <text>
        <r>
          <rPr>
            <b/>
            <sz val="9"/>
            <color indexed="81"/>
            <rFont val="Tahoma"/>
            <charset val="1"/>
          </rPr>
          <t>Dan O'Brien:</t>
        </r>
        <r>
          <rPr>
            <sz val="9"/>
            <color indexed="81"/>
            <rFont val="Tahoma"/>
            <charset val="1"/>
          </rPr>
          <t xml:space="preserve">
= purchased $/kW-duty × CEPCI escalation × bare-module factor.</t>
        </r>
      </text>
    </comment>
    <comment ref="B114" authorId="0" shapeId="0" xr:uid="{5E255ABD-30AF-4CD5-88D6-41F73AE59BF8}">
      <text>
        <r>
          <rPr>
            <b/>
            <sz val="9"/>
            <color indexed="81"/>
            <rFont val="Tahoma"/>
            <charset val="1"/>
          </rPr>
          <t>Coal delivered efficiency, 500-1000 °C, from the start-year efficiency workbook 'Combustion Efficiency'!B108 after the T1/T6/T7 revisions. Static copy — re-sync if that file changes.</t>
        </r>
      </text>
    </comment>
    <comment ref="C114" authorId="0" shapeId="0" xr:uid="{147155B3-3E22-4FC1-BED0-1DB79F82ABF4}">
      <text>
        <r>
          <rPr>
            <b/>
            <sz val="9"/>
            <color indexed="81"/>
            <rFont val="Tahoma"/>
            <family val="2"/>
          </rPr>
          <t>Dan O'Brien:</t>
        </r>
        <r>
          <rPr>
            <sz val="9"/>
            <color indexed="81"/>
            <rFont val="Tahoma"/>
            <family val="2"/>
          </rPr>
          <t xml:space="preserve">
Petroleum, 'Combustion Efficiency'!C108 = 55.3%.</t>
        </r>
      </text>
    </comment>
    <comment ref="D114" authorId="0" shapeId="0" xr:uid="{0EE8265A-C665-4501-A838-39CD3C4EF17D}">
      <text>
        <r>
          <rPr>
            <b/>
            <sz val="9"/>
            <color indexed="81"/>
            <rFont val="Tahoma"/>
            <family val="2"/>
          </rPr>
          <t>Dan O'Brien:</t>
        </r>
        <r>
          <rPr>
            <sz val="9"/>
            <color indexed="81"/>
            <rFont val="Tahoma"/>
            <family val="2"/>
          </rPr>
          <t xml:space="preserve">
Natural gas, 'Combustion Efficiency'!D108 = 57.8%.</t>
        </r>
      </text>
    </comment>
    <comment ref="B115" authorId="0" shapeId="0" xr:uid="{04BDF07A-274D-4877-A45C-BDB6F83E337D}">
      <text>
        <r>
          <rPr>
            <b/>
            <sz val="9"/>
            <color indexed="81"/>
            <rFont val="Tahoma"/>
            <charset val="1"/>
          </rPr>
          <t>Dan O'Brien:</t>
        </r>
        <r>
          <rPr>
            <sz val="9"/>
            <color indexed="81"/>
            <rFont val="Tahoma"/>
            <charset val="1"/>
          </rPr>
          <t xml:space="preserve">
= installed $/kW-duty ÷ combustion efficiency.</t>
        </r>
      </text>
    </comment>
    <comment ref="B116" authorId="0" shapeId="0" xr:uid="{76B1E35A-91C5-41E6-BFAA-38E9DC5E0784}">
      <text>
        <r>
          <rPr>
            <b/>
            <sz val="9"/>
            <color indexed="81"/>
            <rFont val="Tahoma"/>
            <charset val="1"/>
          </rPr>
          <t>Dan O'Brien:</t>
        </r>
        <r>
          <rPr>
            <sz val="9"/>
            <color indexed="81"/>
            <rFont val="Tahoma"/>
            <charset val="1"/>
          </rPr>
          <t xml:space="preserve">
Continuous operation, consistent with this workbook's treatment of other continuously-operated process equipment (the glass melting furnace at row 51 and the hydrogen-DR plant both use 8,760). Refinery and petrochemical fired heaters run continuously between turnarounds. Note the boiler and oven exemplars instead use 5,280 hrs/yr, which is appropriate to their batch/intermittent duty.</t>
        </r>
      </text>
    </comment>
    <comment ref="B117" authorId="0" shapeId="0" xr:uid="{83284BEC-22D9-4FE0-AF1C-EA4F3D105C59}">
      <text>
        <r>
          <rPr>
            <b/>
            <sz val="9"/>
            <color indexed="81"/>
            <rFont val="Tahoma"/>
            <charset val="1"/>
          </rPr>
          <t>Coal. Same fired-heater exemplar and installed cost as gas (row 113), divided by coal's own 500-1000 °C delivered efficiency. Replaces the previous coal figure for this band, which used the CEMENT KILN exemplar (F45) — a &gt;1000 °C technology.</t>
        </r>
      </text>
    </comment>
    <comment ref="C117" authorId="0" shapeId="0" xr:uid="{90485F5E-D79C-4A62-887A-0FAB7A5FAFF4}">
      <text>
        <r>
          <rPr>
            <b/>
            <sz val="9"/>
            <color indexed="81"/>
            <rFont val="Tahoma"/>
            <family val="2"/>
          </rPr>
          <t>Petroleum. Same fired-heater exemplar, divided by petroleum's own 500-1000 °C delivered efficiency. Replaces the previous treatment, which scaled the gas figure by the petroleum/gas BOILER cost ratio — an unrelated quantity.</t>
        </r>
      </text>
    </comment>
    <comment ref="D117" authorId="0" shapeId="0" xr:uid="{C0DF0ACA-35BA-4274-A925-CD64E986794D}">
      <text>
        <r>
          <rPr>
            <b/>
            <sz val="9"/>
            <color indexed="81"/>
            <rFont val="Tahoma"/>
            <family val="2"/>
          </rPr>
          <t>Dan O'Brien:</t>
        </r>
        <r>
          <rPr>
            <sz val="9"/>
            <color indexed="81"/>
            <rFont val="Tahoma"/>
            <family val="2"/>
          </rPr>
          <t xml:space="preserve">
Natural gas. Replaces the glass melting furnace (F56), a &gt;1000 °C technology, with the non-reactive fired heater appropriate to a band dominated by chemicals and refining.</t>
        </r>
      </text>
    </comment>
    <comment ref="B118" authorId="0" shapeId="0" xr:uid="{F49A7F81-481B-4421-9592-95369F92D46D}">
      <text>
        <r>
          <rPr>
            <b/>
            <sz val="9"/>
            <color indexed="81"/>
            <rFont val="Tahoma"/>
            <charset val="1"/>
          </rPr>
          <t>Dan O'Brien:</t>
        </r>
        <r>
          <rPr>
            <sz val="9"/>
            <color indexed="81"/>
            <rFont val="Tahoma"/>
            <charset val="1"/>
          </rPr>
          <t xml:space="preserve">
Versus the glass melting furnace currently used for gas at 500-1000 °C. A modest difference is reassuring: it suggests the old proxy was not far off in magnitude even though it was the wrong technology for the band (glass melting is a &gt;1000 °C duty). The fired heater is the defensible exemplar for a band dominated by chemicals and refining.</t>
        </r>
      </text>
    </comment>
    <comment ref="B122" authorId="0" shapeId="0" xr:uid="{25DACE23-516B-44DF-BE74-958A3996CB68}">
      <text>
        <r>
          <rPr>
            <b/>
            <sz val="9"/>
            <color indexed="81"/>
            <rFont val="Tahoma"/>
            <charset val="1"/>
          </rPr>
          <t>Dan O'Brien:</t>
        </r>
        <r>
          <rPr>
            <sz val="9"/>
            <color indexed="81"/>
            <rFont val="Tahoma"/>
            <charset val="1"/>
          </rPr>
          <t xml:space="preserve">
JUDGMENT: 50 MW. Steel slab/bloom reheat furnaces typically run 20-100 MW, larger than the 20 MW used for the 500-1000 °C fired heater. Range 20,000-100,000 kW, which on this curve spans roughly 40-75 $/kW of duty.</t>
        </r>
      </text>
    </comment>
    <comment ref="B123" authorId="0" shapeId="0" xr:uid="{2FBED612-35F2-498D-AC7F-A3B77EFE5823}">
      <text>
        <r>
          <rPr>
            <b/>
            <sz val="9"/>
            <color indexed="81"/>
            <rFont val="Tahoma"/>
            <charset val="1"/>
          </rPr>
          <t>Dan O'Brien:</t>
        </r>
        <r>
          <rPr>
            <sz val="9"/>
            <color indexed="81"/>
            <rFont val="Tahoma"/>
            <charset val="1"/>
          </rPr>
          <t xml:space="preserve">
Read from the Turton Non-Reactive Fired Heater curve at 50,000 kW by log-log interpolation between ~90 $/kW at 10,000 kW and ~40 $/kW at 100,000 kW. Chart basis CEPCI = 397 (September 2001), purchased cost excluding installation.</t>
        </r>
      </text>
    </comment>
    <comment ref="B124" authorId="0" shapeId="0" xr:uid="{E49DD671-57E2-4D1A-9700-B04A8EC67EDD}">
      <text>
        <r>
          <rPr>
            <b/>
            <sz val="9"/>
            <color indexed="81"/>
            <rFont val="Tahoma"/>
            <charset val="1"/>
          </rPr>
          <t>Dan O'Brien:</t>
        </r>
        <r>
          <rPr>
            <sz val="9"/>
            <color indexed="81"/>
            <rFont val="Tahoma"/>
            <charset val="1"/>
          </rPr>
          <t xml:space="preserve">
× CEPCI escalation (B111) × bare-module factor (B112), same treatment as the 500-1000 °C fired heater above.</t>
        </r>
      </text>
    </comment>
    <comment ref="B125" authorId="0" shapeId="0" xr:uid="{7C25056C-297C-459C-8315-7999C13FB3EA}">
      <text>
        <r>
          <rPr>
            <b/>
            <sz val="9"/>
            <color indexed="81"/>
            <rFont val="Tahoma"/>
            <charset val="1"/>
          </rPr>
          <t>Dan O'Brien:</t>
        </r>
        <r>
          <rPr>
            <sz val="9"/>
            <color indexed="81"/>
            <rFont val="Tahoma"/>
            <charset val="1"/>
          </rPr>
          <t xml:space="preserve">
Coal delivered efficiency, &gt;1000 °C band, from the start-year efficiency workbook 'Combustion Efficiency'!B109 after the T8 addressability revision. Static copy — re-sync if that file changes.</t>
        </r>
      </text>
    </comment>
    <comment ref="C125" authorId="0" shapeId="0" xr:uid="{3DB42FFE-03E3-4099-8F76-C0AC45AF2C01}">
      <text>
        <r>
          <rPr>
            <b/>
            <sz val="9"/>
            <color indexed="81"/>
            <rFont val="Tahoma"/>
            <charset val="1"/>
          </rPr>
          <t>Dan O'Brien:</t>
        </r>
        <r>
          <rPr>
            <sz val="9"/>
            <color indexed="81"/>
            <rFont val="Tahoma"/>
            <charset val="1"/>
          </rPr>
          <t xml:space="preserve">
Petroleum, 'Combustion Efficiency'!C109 = 50.1%.</t>
        </r>
      </text>
    </comment>
    <comment ref="D125" authorId="0" shapeId="0" xr:uid="{EEEABE1D-E3A6-4C3F-BCD3-33CB2CD98F47}">
      <text>
        <r>
          <rPr>
            <b/>
            <sz val="9"/>
            <color indexed="81"/>
            <rFont val="Tahoma"/>
            <charset val="1"/>
          </rPr>
          <t>Dan O'Brien:</t>
        </r>
        <r>
          <rPr>
            <sz val="9"/>
            <color indexed="81"/>
            <rFont val="Tahoma"/>
            <charset val="1"/>
          </rPr>
          <t xml:space="preserve">
Natural gas, 'Combustion Efficiency'!D109 = 48.9%.</t>
        </r>
      </text>
    </comment>
    <comment ref="B137" authorId="0" shapeId="0" xr:uid="{FAF2493B-4065-472B-9182-39A7711BB2CC}">
      <text>
        <r>
          <rPr>
            <b/>
            <sz val="9"/>
            <color indexed="81"/>
            <rFont val="Tahoma"/>
            <charset val="1"/>
          </rPr>
          <t>Dan O'Brien:</t>
        </r>
        <r>
          <rPr>
            <sz val="9"/>
            <color indexed="81"/>
            <rFont val="Tahoma"/>
            <charset val="1"/>
          </rPr>
          <t xml:space="preserve">
JUDGMENT, identical to the burner-addressable share used in both efficiency workbooks ('Combustion Efficiency'!C161 in the start-year file, C146 in the minimum-UEF file). Rationale: iron &amp; steel's &gt;1000 °C heat here includes blast-furnace stove fuel and sinter/lime duty as well as reheat, annealing and forging furnaces — the 38.7% band share is NOT all reheat. Reheat/anneal/forge ≈ 55%; hot stoves (already regenerative) plus lime kilns ≈ 45%, which is assigned the cement-kiln exemplar because it shares the very-high-throughput continuous character that drives a low cost per annual BTU. Range 45-65%.</t>
        </r>
      </text>
    </comment>
    <comment ref="E142" authorId="0" shapeId="0" xr:uid="{87E5A08F-4A8C-4CAB-8461-6888CF6E21F6}">
      <text>
        <r>
          <rPr>
            <b/>
            <sz val="9"/>
            <color indexed="81"/>
            <rFont val="Tahoma"/>
            <charset val="1"/>
          </rPr>
          <t>Dan O'Brien:</t>
        </r>
        <r>
          <rPr>
            <sz val="9"/>
            <color indexed="81"/>
            <rFont val="Tahoma"/>
            <charset val="1"/>
          </rPr>
          <t xml:space="preserve">
Petroleum has essentially NO &gt;1000 °C heat in the MECS-derived data (total weight ≈ 0.7 versus 130 for coal and 832 for gas), so its own weights would be a 0/0 division. The natural-gas technology weights are borrowed instead — defensible because an oil-fired furnace serves the same duty population as a gas-fired one — with petroleum's own &gt;1000 °C delivered efficiency applied to the reheat exemplar. This replaces the previous treatment, which scaled the gas figure by the petroleum/gas BOILER cost ratio, an unrelated quantity.</t>
        </r>
      </text>
    </comment>
    <comment ref="B146" authorId="0" shapeId="0" xr:uid="{D579812A-F758-40CF-AA37-BE15D03FB294}">
      <text>
        <r>
          <rPr>
            <b/>
            <sz val="9"/>
            <color indexed="81"/>
            <rFont val="Tahoma"/>
            <family val="2"/>
          </rPr>
          <t>Dan O'Brien:</t>
        </r>
        <r>
          <rPr>
            <sz val="9"/>
            <color indexed="81"/>
            <rFont val="Tahoma"/>
            <family val="2"/>
          </rPr>
          <t xml:space="preserve">
The glass melting furnace exemplar (F56) is 2004-vintage (the output tab previously deflated it with About!C122, the 2004 multiplier). The cement-kiln exemplar (F45) is already 2024 USD and the reheat exemplar is escalated to 2024 USD via CEPCI, so the glass term is escalated here to put the &gt;1000 °C blend on one dollar basis. CPI-U annual averages, linked to the 'cpi'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tc={D998E602-6977-404A-8516-5F3163F500FA}</author>
  </authors>
  <commentList>
    <comment ref="B18" authorId="0" shapeId="0" xr:uid="{D998E602-6977-404A-8516-5F3163F500FA}">
      <text>
        <t>[Threaded comment]
Your version of Excel allows you to read this threaded comment; however, any edits to it will get removed if the file is opened in a newer version of Excel. Learn more: https://go.microsoft.com/fwlink/?linkid=870924
Comment:
    Left as original database, but I think it should be (small) not large, otherwise no difference in this and the next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A2" authorId="0" shapeId="0" xr:uid="{8D6F8DEF-BC01-49C9-948F-F783D0DF4F82}">
      <text>
        <r>
          <rPr>
            <b/>
            <sz val="9"/>
            <color indexed="81"/>
            <rFont val="Tahoma"/>
            <family val="2"/>
          </rPr>
          <t>Dan O'Brien:</t>
        </r>
        <r>
          <rPr>
            <sz val="9"/>
            <color indexed="81"/>
            <rFont val="Tahoma"/>
            <family val="2"/>
          </rPr>
          <t xml:space="preserve">
Below 100 C: electricity uses an industrial heat pump (well-suited to &lt;100 C). Combustion fuels use steam-boiler capex as a proxy (steam is ~150-200 C); a dedicated hot-water boiler would be somewhat cheaper. Currently a copy of the 100-200 C boiler band.</t>
        </r>
      </text>
    </comment>
    <comment ref="B4" authorId="0" shapeId="0" xr:uid="{D4249FBA-D049-4799-B96B-01D6F2C8A836}">
      <text>
        <r>
          <rPr>
            <b/>
            <sz val="9"/>
            <color indexed="81"/>
            <rFont val="Tahoma"/>
            <family val="2"/>
          </rPr>
          <t>WIRED July 2026. Technology-mix blend for 200-500 °C electric process heat: electric boiler 55% / resistance oven 30% / induction 5% / infrared 10%, matching the duty-matched mix in the efficiency workbooks. Replaces the single flat resistance-heater figure ('NB High Temp'!F77 = 1.440E-05). Component costs and sources at 'NB High Temp' rows 83-94.</t>
        </r>
      </text>
    </comment>
    <comment ref="C4" authorId="0" shapeId="0" xr:uid="{4C4A2D5D-8D47-4F3F-9193-719107D253EA}">
      <text>
        <r>
          <rPr>
            <b/>
            <sz val="9"/>
            <color indexed="81"/>
            <rFont val="Tahoma"/>
            <family val="2"/>
          </rPr>
          <t>Dan O'Brien:</t>
        </r>
        <r>
          <rPr>
            <sz val="9"/>
            <color indexed="81"/>
            <rFont val="Tahoma"/>
            <family val="2"/>
          </rPr>
          <t xml:space="preserve">
WIRED July 2026. Coal, 200-500 °C: 55% boiler-served / 45% direct-fired duty blend, matching the T1 split in the efficiency workbooks. Previously this cell simply equalled the gas figure (=D4), so all fossil fuels shared one number in this band despite very different boiler costs.</t>
        </r>
      </text>
    </comment>
    <comment ref="D4" authorId="0" shapeId="0" xr:uid="{DB4ED6E9-EC96-4DD9-8D03-B70C5ED3EBAC}">
      <text>
        <r>
          <rPr>
            <b/>
            <sz val="9"/>
            <color indexed="81"/>
            <rFont val="Tahoma"/>
            <family val="2"/>
          </rPr>
          <t>Dan O'Brien:</t>
        </r>
        <r>
          <rPr>
            <sz val="9"/>
            <color indexed="81"/>
            <rFont val="Tahoma"/>
            <family val="2"/>
          </rPr>
          <t xml:space="preserve">
WIRED July 2026. Natural gas, 200-500 °C: 55/45 boiler/direct-fired blend. Replaces the single commercial-oven figure ('NB Medium Temp'!D41 = 3.178E-05).</t>
        </r>
      </text>
    </comment>
    <comment ref="F4" authorId="0" shapeId="0" xr:uid="{E6698196-53BC-40C3-9E8B-76AB69AAB16B}">
      <text>
        <r>
          <rPr>
            <b/>
            <sz val="9"/>
            <color indexed="81"/>
            <rFont val="Tahoma"/>
            <family val="2"/>
          </rPr>
          <t>Dan O'Brien:</t>
        </r>
        <r>
          <rPr>
            <sz val="9"/>
            <color indexed="81"/>
            <rFont val="Tahoma"/>
            <family val="2"/>
          </rPr>
          <t xml:space="preserve">
WIRED July 2026. Petroleum, 200-500 °C: 55/45 boiler/direct-fired blend. Previously equalled the gas figure.</t>
        </r>
      </text>
    </comment>
    <comment ref="J4" authorId="0" shapeId="0" xr:uid="{D55BBD15-DB27-4218-BB12-4AB5DD08A008}">
      <text>
        <r>
          <rPr>
            <b/>
            <sz val="9"/>
            <color indexed="81"/>
            <rFont val="Tahoma"/>
            <family val="2"/>
          </rPr>
          <t>Dan O'Brien:</t>
        </r>
        <r>
          <rPr>
            <sz val="9"/>
            <color indexed="81"/>
            <rFont val="Tahoma"/>
            <family val="2"/>
          </rPr>
          <t xml:space="preserve">
CHANGED July 2026: was =F4 (petroleum). LPG (propane/butane) is a gaseous fuel burned in gas-type equipment, and both efficiency workbooks treat LPG as following natural gas. The previous pointer to petroleum was invisible while every fossil fuel shared one figure in this band; now that the boiler/direct-fired blend differentiates fuels, it would have been a visible inconsistency.</t>
        </r>
      </text>
    </comment>
    <comment ref="K4" authorId="0" shapeId="0" xr:uid="{DC32AE16-A952-41B4-BD1A-EDF3E837FBA8}">
      <text>
        <r>
          <rPr>
            <b/>
            <sz val="9"/>
            <color indexed="81"/>
            <rFont val="Tahoma"/>
            <family val="2"/>
          </rPr>
          <t>Dan O'Brien:</t>
        </r>
        <r>
          <rPr>
            <sz val="9"/>
            <color indexed="81"/>
            <rFont val="Tahoma"/>
            <family val="2"/>
          </rPr>
          <t xml:space="preserve">
Hydrogen = gas oven cost x hydrogen/gas boiler premium (K3/D3 = 1.5x, per ARB 2020), consistent with the cooling and other-processes hydrogen treatment. No dedicated hydrogen oven source exists.</t>
        </r>
      </text>
    </comment>
    <comment ref="B5" authorId="0" shapeId="0" xr:uid="{2A8211A2-5C8D-4821-AF77-470E884BA66E}">
      <text>
        <r>
          <rPr>
            <b/>
            <sz val="9"/>
            <color indexed="81"/>
            <rFont val="Tahoma"/>
            <family val="2"/>
          </rPr>
          <t>WIRED July 2026. Technology-mix blend for 500-1000 °C electric process heat: resistance furnace 55% / induction 40% / infrared 5%. Higher than the previous flat resistance-heater figure because induction, the most capital-intensive of the group, carries 40% of this band. Replaces 'NB High Temp'!F77 = 1.440E-05.</t>
        </r>
      </text>
    </comment>
    <comment ref="C5" authorId="0" shapeId="0" xr:uid="{587FCCA2-EEA7-4D18-89DB-1F8D1C530CA4}">
      <text>
        <r>
          <rPr>
            <b/>
            <sz val="9"/>
            <color indexed="81"/>
            <rFont val="Tahoma"/>
            <family val="2"/>
          </rPr>
          <t>WIRED July 2026. Coal, 500-1000 °C: non-reactive fired heater (Turton) at coal's own delivered efficiency. Replaces the CEMENT KILN exemplar ('NB High Temp'!F45), which is a &gt;1000 °C technology and was being reused here.</t>
        </r>
      </text>
    </comment>
    <comment ref="D5" authorId="0" shapeId="0" xr:uid="{23D87FD8-CBF8-470C-9020-EC05B9604886}">
      <text>
        <r>
          <rPr>
            <b/>
            <sz val="9"/>
            <color indexed="81"/>
            <rFont val="Tahoma"/>
            <family val="2"/>
          </rPr>
          <t>Dan O'Brien:</t>
        </r>
        <r>
          <rPr>
            <sz val="9"/>
            <color indexed="81"/>
            <rFont val="Tahoma"/>
            <family val="2"/>
          </rPr>
          <t xml:space="preserve">
WIRED July 2026. Natural gas, 500-1000 °C: non-reactive fired heater (Turton). Replaces the GLASS MELTING FURNACE ('NB High Temp'!F56), also a &gt;1000 °C technology. This band is dominated by chemicals and refining fired heaters, which is what the new exemplar represents.</t>
        </r>
      </text>
    </comment>
    <comment ref="F5" authorId="0" shapeId="0" xr:uid="{21F932E0-6B4F-43E5-B19D-A6DBA70D0462}">
      <text>
        <r>
          <rPr>
            <b/>
            <sz val="9"/>
            <color indexed="81"/>
            <rFont val="Tahoma"/>
            <family val="2"/>
          </rPr>
          <t>Dan O'Brien:</t>
        </r>
        <r>
          <rPr>
            <sz val="9"/>
            <color indexed="81"/>
            <rFont val="Tahoma"/>
            <family val="2"/>
          </rPr>
          <t xml:space="preserve">
WIRED July 2026. Petroleum, 500-1000 °C: same fired heater at petroleum's delivered efficiency. Replaces a scaling of the gas figure by the petroleum/gas boiler cost ratio.</t>
        </r>
      </text>
    </comment>
    <comment ref="J5" authorId="0" shapeId="0" xr:uid="{D0C8692A-5BC5-480E-892D-DA571CC1628B}">
      <text>
        <r>
          <rPr>
            <b/>
            <sz val="9"/>
            <color indexed="81"/>
            <rFont val="Tahoma"/>
            <family val="2"/>
          </rPr>
          <t>Dan O'Brien:</t>
        </r>
        <r>
          <rPr>
            <sz val="9"/>
            <color indexed="81"/>
            <rFont val="Tahoma"/>
            <family val="2"/>
          </rPr>
          <t xml:space="preserve">
CHANGED July 2026: was =F5 (petroleum). LPG follows natural gas — see J4 note.</t>
        </r>
      </text>
    </comment>
    <comment ref="C6" authorId="0" shapeId="0" xr:uid="{9509D1FE-8A97-4C99-863C-54047988F934}">
      <text>
        <r>
          <rPr>
            <b/>
            <sz val="9"/>
            <color indexed="81"/>
            <rFont val="Tahoma"/>
            <family val="2"/>
          </rPr>
          <t>WIRED July 2026. Coal, &gt;1000 °C: exemplar blend weighted by coal's own industry usage in this band (97% cement-kiln group, 3% reheat furnace) — derived from 'indst-BPFUbIP' fuel × industry heat × &gt;1000 °C fraction. Barely moves from the previous pure cement-kiln figure, confirming that exemplar was right for coal.</t>
        </r>
      </text>
    </comment>
    <comment ref="D6" authorId="0" shapeId="0" xr:uid="{082BA413-D0E1-40A4-87AA-4C7519FE5DA3}">
      <text>
        <r>
          <rPr>
            <b/>
            <sz val="9"/>
            <color indexed="81"/>
            <rFont val="Tahoma"/>
            <family val="2"/>
          </rPr>
          <t>Dan O'Brien:</t>
        </r>
        <r>
          <rPr>
            <sz val="9"/>
            <color indexed="81"/>
            <rFont val="Tahoma"/>
            <family val="2"/>
          </rPr>
          <t xml:space="preserve">
WIRED July 2026. Natural gas, &gt;1000 °C: exemplar blend weighted by gas's own usage (51% reheat furnace, 36% cement-kiln group incl. blast-furnace stoves, 13% glass furnace). Large reduction from the previous figure, which costed ALL gas in this band as a glass melting furnace.</t>
        </r>
      </text>
    </comment>
    <comment ref="F6" authorId="0" shapeId="0" xr:uid="{982A5DFC-0B39-4547-A40C-B26A2EAC80CD}">
      <text>
        <r>
          <rPr>
            <b/>
            <sz val="9"/>
            <color indexed="81"/>
            <rFont val="Tahoma"/>
            <family val="2"/>
          </rPr>
          <t>Dan O'Brien:</t>
        </r>
        <r>
          <rPr>
            <sz val="9"/>
            <color indexed="81"/>
            <rFont val="Tahoma"/>
            <family val="2"/>
          </rPr>
          <t xml:space="preserve">
WIRED July 2026. Petroleum, &gt;1000 °C: petroleum has essentially no &gt;1000 °C heat in the MECS-derived data, so it borrows the natural-gas technology weights with its own delivered efficiency. Replaces a scaling of the gas figure by the petroleum/gas boiler cost ratio.</t>
        </r>
      </text>
    </comment>
    <comment ref="J6" authorId="0" shapeId="0" xr:uid="{1A5CCF01-C3FE-4BDB-AEEB-F4B763940F96}">
      <text>
        <r>
          <rPr>
            <b/>
            <sz val="9"/>
            <color indexed="81"/>
            <rFont val="Tahoma"/>
            <family val="2"/>
          </rPr>
          <t>Dan O'Brien:</t>
        </r>
        <r>
          <rPr>
            <sz val="9"/>
            <color indexed="81"/>
            <rFont val="Tahoma"/>
            <family val="2"/>
          </rPr>
          <t xml:space="preserve">
CHANGED July 2026: was =F6 (petroleum). LPG follows natural gas — see J4 note.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tc={5E978FEE-3A4F-4D76-BD00-3F86040CCADB}</author>
    <author>Alexander  Jülich</author>
    <author>tc={C3F9CBD2-8364-4F75-BCA9-724CEFE14729}</author>
  </authors>
  <commentList>
    <comment ref="I179" authorId="0" shapeId="0" xr:uid="{5E978FEE-3A4F-4D76-BD00-3F86040CCADB}">
      <text>
        <t>[Threaded comment]
Your version of Excel allows you to read this threaded comment; however, any edits to it will get removed if the file is opened in a newer version of Excel. Learn more: https://go.microsoft.com/fwlink/?linkid=870924
Comment:
    waste heat flow?</t>
      </text>
    </comment>
    <comment ref="F190" authorId="1" shapeId="0" xr:uid="{2F714FF7-9D7A-4562-980F-561F89D22634}">
      <text>
        <r>
          <rPr>
            <sz val="9"/>
            <color indexed="81"/>
            <rFont val="Calibri"/>
            <family val="2"/>
          </rPr>
          <t xml:space="preserve">at 20 bar
</t>
        </r>
      </text>
    </comment>
    <comment ref="G190" authorId="1" shapeId="0" xr:uid="{422FC470-D77B-4DC2-84A6-96BB270D656C}">
      <text>
        <r>
          <rPr>
            <sz val="9"/>
            <color indexed="81"/>
            <rFont val="Calibri"/>
            <family val="2"/>
          </rPr>
          <t xml:space="preserve">at ambient pressure
</t>
        </r>
      </text>
    </comment>
    <comment ref="C191" authorId="2" shapeId="0" xr:uid="{C3F9CBD2-8364-4F75-BCA9-724CEFE14729}">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C4" authorId="0" shapeId="0" xr:uid="{ECBB484C-7778-4AB4-AA79-5776D03E254C}">
      <text>
        <r>
          <rPr>
            <b/>
            <sz val="9"/>
            <color indexed="81"/>
            <rFont val="Tahoma"/>
            <family val="2"/>
          </rPr>
          <t>Dan O'Brien:</t>
        </r>
        <r>
          <rPr>
            <sz val="9"/>
            <color indexed="81"/>
            <rFont val="Tahoma"/>
            <family val="2"/>
          </rPr>
          <t xml:space="preserve">
added to enable financial policies driving boiler electrification</t>
        </r>
      </text>
    </comment>
    <comment ref="J4" authorId="0" shapeId="0" xr:uid="{4A251B7B-CB2C-4DE1-B8BD-E73183A8DF13}">
      <text>
        <r>
          <rPr>
            <b/>
            <sz val="9"/>
            <color indexed="81"/>
            <rFont val="Tahoma"/>
            <family val="2"/>
          </rPr>
          <t>Dan O'Brien:</t>
        </r>
        <r>
          <rPr>
            <sz val="9"/>
            <color indexed="81"/>
            <rFont val="Tahoma"/>
            <family val="2"/>
          </rPr>
          <t xml:space="preserve">
added to enable financial policies driving boiler electrification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N3" authorId="0" shapeId="0" xr:uid="{E2882D71-6770-4F5E-A10C-01846BEB84E2}">
      <text>
        <r>
          <rPr>
            <b/>
            <sz val="9"/>
            <color indexed="81"/>
            <rFont val="Tahoma"/>
            <family val="2"/>
          </rPr>
          <t>Dan O'Brien:</t>
        </r>
        <r>
          <rPr>
            <sz val="9"/>
            <color indexed="81"/>
            <rFont val="Tahoma"/>
            <family val="2"/>
          </rPr>
          <t xml:space="preserve">
T6: Process-heating energy losses within sector, US DOE QTR 2015 Table 6.I.1 (Ref 36), mapped to this file's industry rows. Direct matches: food&amp;bev 56%, textiles 56%, forest products 72% (wood + pulp/paper), refining 18%, chemicals 23%, plastics/rubber 23%, glass 55%, cement 39%, iron&amp;steel 46%, alumina/aluminum 45% (other metals), fabricated metals 36% (metal products), computers/electronics 35%, machinery 34%, transport equipment 35%, Other Mfg 39%. Proxies flagged in individual cell notes. Used by the delivered-efficiency benchmark on 'Combustion Efficiency' rows 142-148.</t>
        </r>
      </text>
    </comment>
    <comment ref="N4" authorId="0" shapeId="0" xr:uid="{AE63C563-54D7-4D91-A736-9065E9A18811}">
      <text>
        <r>
          <rPr>
            <b/>
            <sz val="9"/>
            <color indexed="81"/>
            <rFont val="Tahoma"/>
            <family val="2"/>
          </rPr>
          <t>Dan O'Brien:</t>
        </r>
        <r>
          <rPr>
            <sz val="9"/>
            <color indexed="81"/>
            <rFont val="Tahoma"/>
            <family val="2"/>
          </rPr>
          <t xml:space="preserve">
Non-manufacturing (agriculture/forestry): QTR 'Other Mfg' 39% used as proxy.</t>
        </r>
      </text>
    </comment>
    <comment ref="N5" authorId="0" shapeId="0" xr:uid="{65CC98E7-48F8-473B-BEFF-54301BAEB2A1}">
      <text>
        <r>
          <rPr>
            <b/>
            <sz val="9"/>
            <color indexed="81"/>
            <rFont val="Tahoma"/>
            <family val="2"/>
          </rPr>
          <t>Dan O'Brien:</t>
        </r>
        <r>
          <rPr>
            <sz val="9"/>
            <color indexed="81"/>
            <rFont val="Tahoma"/>
            <family val="2"/>
          </rPr>
          <t xml:space="preserve">
Non-manufacturing (coal mining): 'Other Mfg' proxy; zero heat share, no effect.</t>
        </r>
      </text>
    </comment>
    <comment ref="N6" authorId="0" shapeId="0" xr:uid="{CE4C8EF6-70D2-4B7C-BFB2-2D36DBD11121}">
      <text>
        <r>
          <rPr>
            <b/>
            <sz val="9"/>
            <color indexed="81"/>
            <rFont val="Tahoma"/>
            <family val="2"/>
          </rPr>
          <t>Dan O'Brien:</t>
        </r>
        <r>
          <rPr>
            <sz val="9"/>
            <color indexed="81"/>
            <rFont val="Tahoma"/>
            <family val="2"/>
          </rPr>
          <t xml:space="preserve">
Oil &amp; gas extraction: petroleum refining (18%) used as proxy — same fired-heater equipment class.</t>
        </r>
      </text>
    </comment>
    <comment ref="N7" authorId="0" shapeId="0" xr:uid="{936BEE6B-BEB7-4928-9438-EC0E963AD41D}">
      <text>
        <r>
          <rPr>
            <b/>
            <sz val="9"/>
            <color indexed="81"/>
            <rFont val="Tahoma"/>
            <family val="2"/>
          </rPr>
          <t>Dan O'Brien:</t>
        </r>
        <r>
          <rPr>
            <sz val="9"/>
            <color indexed="81"/>
            <rFont val="Tahoma"/>
            <family val="2"/>
          </rPr>
          <t xml:space="preserve">
Non-manufacturing (mining): 'Other Mfg' proxy.</t>
        </r>
      </text>
    </comment>
    <comment ref="N10" authorId="0" shapeId="0" xr:uid="{CD000A03-4766-495B-879D-6DD269A4922A}">
      <text>
        <r>
          <rPr>
            <b/>
            <sz val="9"/>
            <color indexed="81"/>
            <rFont val="Tahoma"/>
            <family val="2"/>
          </rPr>
          <t>Dan O'Brien:</t>
        </r>
        <r>
          <rPr>
            <sz val="9"/>
            <color indexed="81"/>
            <rFont val="Tahoma"/>
            <family val="2"/>
          </rPr>
          <t xml:space="preserve">
Forest products 72%. CAVEAT: dominated by biomass/black-liquor recovery boilers and steam systems, not NG furnace containment — biases the 200-500 C benchmark low. See 'Combustion Efficiency' C146 note.</t>
        </r>
      </text>
    </comment>
    <comment ref="N11" authorId="0" shapeId="0" xr:uid="{7B5A8A42-3556-4D76-8FE2-1E742485B852}">
      <text>
        <r>
          <rPr>
            <b/>
            <sz val="9"/>
            <color indexed="81"/>
            <rFont val="Tahoma"/>
            <family val="2"/>
          </rPr>
          <t>Dan O'Brien:</t>
        </r>
        <r>
          <rPr>
            <sz val="9"/>
            <color indexed="81"/>
            <rFont val="Tahoma"/>
            <family val="2"/>
          </rPr>
          <t xml:space="preserve">
Forest products 72% — same caveat as wood products (N10).</t>
        </r>
      </text>
    </comment>
    <comment ref="N26" authorId="0" shapeId="0" xr:uid="{C35350F5-02A0-4829-9BE9-7978ACF431F6}">
      <text>
        <r>
          <rPr>
            <b/>
            <sz val="9"/>
            <color indexed="81"/>
            <rFont val="Tahoma"/>
            <family val="2"/>
          </rPr>
          <t>Dan O'Brien:</t>
        </r>
        <r>
          <rPr>
            <sz val="9"/>
            <color indexed="81"/>
            <rFont val="Tahoma"/>
            <family val="2"/>
          </rPr>
          <t xml:space="preserve">
Non-manufacturing: 'Other Mfg' proxy; zero heat share.</t>
        </r>
      </text>
    </comment>
    <comment ref="N27" authorId="0" shapeId="0" xr:uid="{8B0F2069-A1F3-4576-859F-AB90704D1051}">
      <text>
        <r>
          <rPr>
            <b/>
            <sz val="9"/>
            <color indexed="81"/>
            <rFont val="Tahoma"/>
            <family val="2"/>
          </rPr>
          <t>Dan O'Brien:</t>
        </r>
        <r>
          <rPr>
            <sz val="9"/>
            <color indexed="81"/>
            <rFont val="Tahoma"/>
            <family val="2"/>
          </rPr>
          <t xml:space="preserve">
Non-manufacturing: 'Other Mfg' proxy.</t>
        </r>
      </text>
    </comment>
    <comment ref="N28" authorId="0" shapeId="0" xr:uid="{EEB8399B-034B-46AA-9F50-25940F5DC981}">
      <text>
        <r>
          <rPr>
            <b/>
            <sz val="9"/>
            <color indexed="81"/>
            <rFont val="Tahoma"/>
            <family val="2"/>
          </rPr>
          <t>Dan O'Brien:</t>
        </r>
        <r>
          <rPr>
            <sz val="9"/>
            <color indexed="81"/>
            <rFont val="Tahoma"/>
            <family val="2"/>
          </rPr>
          <t xml:space="preserve">
Non-manufacturing (construction): 'Other Mfg' proxy.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<sst xmlns="http://schemas.openxmlformats.org/spreadsheetml/2006/main" count="2889" uniqueCount="1248">
  <si>
    <t>Sources:</t>
  </si>
  <si>
    <t>electricity if</t>
  </si>
  <si>
    <t>hard coal if</t>
  </si>
  <si>
    <t>natural gas if</t>
  </si>
  <si>
    <t>biomass if</t>
  </si>
  <si>
    <t>petroleum diesel if</t>
  </si>
  <si>
    <t>heat if</t>
  </si>
  <si>
    <t>crude oil if</t>
  </si>
  <si>
    <t>heavy or residual fuel oil if</t>
  </si>
  <si>
    <t>LPG propane or butane if</t>
  </si>
  <si>
    <t>hydrogen if</t>
  </si>
  <si>
    <t>cooling</t>
  </si>
  <si>
    <t>machine drive</t>
  </si>
  <si>
    <t>other processes</t>
  </si>
  <si>
    <t>Capital Cost (USD)</t>
  </si>
  <si>
    <t>Industrial heat pumps</t>
  </si>
  <si>
    <t>Industrial Heat Pumps</t>
  </si>
  <si>
    <t>Industrial heat pumps cost per unit heat delivered</t>
  </si>
  <si>
    <t>BTU</t>
  </si>
  <si>
    <t>$/(BTU/yr)</t>
  </si>
  <si>
    <t>Unit:  $/(BTU/yr) - dollars of capital cost for equipment per BTU consumed annually by that equipment</t>
  </si>
  <si>
    <t>Industrial fossil fuel boilers</t>
  </si>
  <si>
    <t>coal (steam boiler)</t>
  </si>
  <si>
    <t>petroleum products (steam boiler)</t>
  </si>
  <si>
    <t>natural gas (steam boiler)</t>
  </si>
  <si>
    <t>Reference capacity (kW)</t>
  </si>
  <si>
    <t>Conversion factor</t>
  </si>
  <si>
    <t>Annual operating hours:</t>
  </si>
  <si>
    <t>kWh</t>
  </si>
  <si>
    <t>Unit</t>
  </si>
  <si>
    <t>BTU/kWh</t>
  </si>
  <si>
    <t>Value</t>
  </si>
  <si>
    <t>Boiler cost ($)</t>
  </si>
  <si>
    <t>IRENA</t>
  </si>
  <si>
    <t>https://www.irena.org/-/media/Irena/Files/REmap/IRENA_REmap_2030_technology_cost.xlsx</t>
  </si>
  <si>
    <t>Remap Technology and Performance Assumptions (for year 2030)</t>
  </si>
  <si>
    <t>Annual heat output</t>
  </si>
  <si>
    <t>Conversion efficiency</t>
  </si>
  <si>
    <t>Annual Energy Input (BTU)</t>
  </si>
  <si>
    <t>Hydrogen boiler capital cost price ratio</t>
  </si>
  <si>
    <t>E3</t>
  </si>
  <si>
    <t>"Achieving Carbon Neutrality in California (Revised Report): 2045 Abatement Cost Estimates"</t>
  </si>
  <si>
    <t>https://ww2.arb.ca.gov/sites/default/files/2020-09/e3_cn_draft_report_supp_data_aug2020.xlsx</t>
  </si>
  <si>
    <t>Hydrogen boiler</t>
  </si>
  <si>
    <t>The ARB document suggests that a hydrogen boiler under a "conservative" scenario would cost</t>
  </si>
  <si>
    <t>50% more than a natural gas boiler.</t>
  </si>
  <si>
    <t>For electricity in the "boilers" end use, we use industrial heat pumps rather than electric boilers because industrial heat pumps</t>
  </si>
  <si>
    <t>are more efficient and are therefore recommended over electrical boilers wherever practical.</t>
  </si>
  <si>
    <t>Green cells are known explicitly.  Orange cells are assumptions based on similar fuel types.</t>
  </si>
  <si>
    <t>Natural Gas-Fired Chillers</t>
  </si>
  <si>
    <t>Capital cost</t>
  </si>
  <si>
    <t>Operating hours</t>
  </si>
  <si>
    <t>Natural gas charges</t>
  </si>
  <si>
    <t>Electricity charges (for pumps)</t>
  </si>
  <si>
    <t>$</t>
  </si>
  <si>
    <t>hours/yr</t>
  </si>
  <si>
    <t>Natural gas rate</t>
  </si>
  <si>
    <t>$/therm</t>
  </si>
  <si>
    <t>Electricity rate</t>
  </si>
  <si>
    <t>$/kWh</t>
  </si>
  <si>
    <t>NG use</t>
  </si>
  <si>
    <t>therms</t>
  </si>
  <si>
    <t>Electricity use</t>
  </si>
  <si>
    <t>BTU/therm</t>
  </si>
  <si>
    <t>The vast majority of the energy use is natural gas.  But we don't want to disregard the</t>
  </si>
  <si>
    <t>cost of the electricity used to power the pumps.  So we sum it with natural gas.</t>
  </si>
  <si>
    <t>Energy use (over 99% natural gas)</t>
  </si>
  <si>
    <t>Cost per BTU consumed</t>
  </si>
  <si>
    <t>Natural gas-fired chillers</t>
  </si>
  <si>
    <t>EnergistX</t>
  </si>
  <si>
    <t>undated</t>
  </si>
  <si>
    <t>https://enrgistx.com/natural-gas-fired-chillers/</t>
  </si>
  <si>
    <t>500 Ton Natural Gas-Fired Absorption Chiller replacement of Aged Centrifugal Electric Chiller</t>
  </si>
  <si>
    <t>Based on a 500-ton natural gas-fired absorption chiller</t>
  </si>
  <si>
    <t>Electric Chiller</t>
  </si>
  <si>
    <t>Centrifugal chillers &gt;400 tons</t>
  </si>
  <si>
    <t>$/ton</t>
  </si>
  <si>
    <t>Low-end capital cost</t>
  </si>
  <si>
    <t>High-end capital cost</t>
  </si>
  <si>
    <t>Average capital cost</t>
  </si>
  <si>
    <t>Capacity of reference chiller</t>
  </si>
  <si>
    <t>tons</t>
  </si>
  <si>
    <t>Capital cost of electric chiller</t>
  </si>
  <si>
    <t>Energy intensity of centrifugal chiller 300 - 600 tons capacity</t>
  </si>
  <si>
    <t>kW/ton</t>
  </si>
  <si>
    <t>kW</t>
  </si>
  <si>
    <t>Assumed to be the same as the NG-fired chiller above</t>
  </si>
  <si>
    <t>Power of centrifugal chiller 300 - 600 tons capacity</t>
  </si>
  <si>
    <t>Electric chillers</t>
  </si>
  <si>
    <t>Water-Cooled Chillers</t>
  </si>
  <si>
    <t>https://www.fpl.com/content/dam/fplgp/us/en/business/save/programs/pdf/water-cooled-chillers-primer.pdf</t>
  </si>
  <si>
    <t>Florida Power &amp; Light</t>
  </si>
  <si>
    <t>Electric motor: induction, squirrel cage, 3 phase, AC, TEFC, 1800 rpm excluding starter, gearing</t>
  </si>
  <si>
    <t>Electric motor: induction, wound rotor, 3 phase, AC, open drip proof, 1800 rpm, excluding starter</t>
  </si>
  <si>
    <t>Electric motor: synchronous, AC open drip proof, 1800 rpm excluding gears</t>
  </si>
  <si>
    <t>Electric motor: synchronous, open drip proof, AC, 1200 rpm excluding gears</t>
  </si>
  <si>
    <t>Electric motor: gear reduced TEFC, 1800 rpm plus gear reducer to give fixed output rpm</t>
  </si>
  <si>
    <t>Electric motor: variable speed TEFC, 1800 rpm plus V-belt unit for speed control 2/1 to 5/1 at 3480, 520 and 30 rpm</t>
  </si>
  <si>
    <t>kW (at 1800 rpm)</t>
  </si>
  <si>
    <t>Drive: gear unit, general, single, double, triple reduction on concentric, offset or vertical right angle drives, excluding lubrication system and motor</t>
  </si>
  <si>
    <t>kW (w/ reduction ratio)</t>
  </si>
  <si>
    <t>Drive: gear unit, general, single, double, triple reduction on concentric, offset or vertical right angle drives, excluding lubrication system and motor (large)</t>
  </si>
  <si>
    <t>Drive: gear unit, medium duty, single reduction 20/1 to 50/1 excluding lubrication system and motor (large)</t>
  </si>
  <si>
    <t>Equipment Name</t>
  </si>
  <si>
    <t>Scaling Unit</t>
  </si>
  <si>
    <t>Min Scale</t>
  </si>
  <si>
    <t>Max Scale</t>
  </si>
  <si>
    <t>Min Cost</t>
  </si>
  <si>
    <t>Max Cost</t>
  </si>
  <si>
    <t>Scaling Factor</t>
  </si>
  <si>
    <t>CEPCI</t>
  </si>
  <si>
    <t>Equipment CapEx cost derived from the AssessCCUS's Capital Equipment Cost Database's equation, based on data from Woods 2007 (see sources in About):</t>
  </si>
  <si>
    <t>$/BTU</t>
  </si>
  <si>
    <t>Simple Average for electric motors/drive units:</t>
  </si>
  <si>
    <t>Global CO2 Initiative at Uniiversity of Michigan</t>
  </si>
  <si>
    <t>Assess CCUS Capital Equipment Cost Database</t>
  </si>
  <si>
    <t>with additional data derived from their primary source:</t>
  </si>
  <si>
    <t>Donald R. Woods</t>
  </si>
  <si>
    <t>Appendix D of Rules of Thumb in Engineering</t>
  </si>
  <si>
    <t>Information on a diesel engine and various electric motors and drives (Rows 144-155)</t>
  </si>
  <si>
    <t>kW (scale average)</t>
  </si>
  <si>
    <t>equiv. HP</t>
  </si>
  <si>
    <t>The recent assessment did not have data disaggregated in the appropriate way to provide more recent values.</t>
  </si>
  <si>
    <t>were obtained from the U.S. Industrial Electric Motor Systems Market Opportunities Assessment (2002).</t>
  </si>
  <si>
    <t>U.S. Industrial Electric Motor Systems Market Opportunities Assessment (2002)</t>
  </si>
  <si>
    <t>Annual Operating Hrs</t>
  </si>
  <si>
    <t>The example gas diesel engine is assumed to be in operation the simple average annual operating hours (5267) of other motors/machine drives.</t>
  </si>
  <si>
    <t>To derive Annual BTU, motor operating hours are based on the equivalent horsepower (HP) bin from the U.S. Industrial Electric Motor Systems Market Opportunities Assessment (2002).  kWh are converted to mmBTU with a conversion factor of 0.003412, then multiplied by annual operating hours.</t>
  </si>
  <si>
    <t>Hydrogen Electrolyzers</t>
  </si>
  <si>
    <t>Based on DoE "Pathways to Commercial Liftoff: Clean Hydrogen" p.13 CAPEX costs</t>
  </si>
  <si>
    <t>Alkaline Water Electrolysis</t>
  </si>
  <si>
    <t>$/kW</t>
  </si>
  <si>
    <t>Proton Exchange Membrane Electrolyzer</t>
  </si>
  <si>
    <t>DOE report cites potential penetrance of PEM of 25% of the U.S. market by 2030</t>
  </si>
  <si>
    <t>U.S. Weighted CapEx/BTU/yr:</t>
  </si>
  <si>
    <t>DOE Electrolyzer Capacity Example Case (p.88):</t>
  </si>
  <si>
    <t>GW/yr</t>
  </si>
  <si>
    <t>Average size</t>
  </si>
  <si>
    <t>%</t>
  </si>
  <si>
    <t>Average total operating capacity (first 3 years)</t>
  </si>
  <si>
    <t>DOE projected capex cost reduction by 2030:</t>
  </si>
  <si>
    <t>Capital expenditures  (U.S./Western markets)</t>
  </si>
  <si>
    <t>Capital expenditures (U.S./Western markets):</t>
  </si>
  <si>
    <t>Capital expenditures  (China):</t>
  </si>
  <si>
    <t>$/BTU/yr (US)</t>
  </si>
  <si>
    <t>Capex for AWE electrolyzer at 1.5 GW capacity (US):</t>
  </si>
  <si>
    <t>Capex for PEM electrolyzer at 1.5 GW capacity (US):</t>
  </si>
  <si>
    <t>$/BTU/yr (China)</t>
  </si>
  <si>
    <t>China Data with US Weighted CapEx/BTU/yr:</t>
  </si>
  <si>
    <t>Electrochemical</t>
  </si>
  <si>
    <t>Data from the DOE's Pathways to Commercial Liftoff: Clean Hydrogen , 2023, p.13, p.88</t>
  </si>
  <si>
    <t>Wang et al., 2023. "The multi-scenario projection of cost reduction in hydrogen production by proton exchange membrane (PEM) water electrolysis in the near future (2020–2060) of China." Fuel, Vol. 354</t>
  </si>
  <si>
    <t>China capex numbers provided by:</t>
  </si>
  <si>
    <t>China capex costs based on Wang et al. 2023</t>
  </si>
  <si>
    <t>Electric Arc Furnace (Electric nonboiler high temp example)</t>
  </si>
  <si>
    <t xml:space="preserve">CapEx costs: </t>
  </si>
  <si>
    <t>$/tonne</t>
  </si>
  <si>
    <t>Energy expenditure/output:</t>
  </si>
  <si>
    <t>kWh/tonne</t>
  </si>
  <si>
    <t>Annual production capacity:</t>
  </si>
  <si>
    <t>tonnes/year</t>
  </si>
  <si>
    <t>kWh/year</t>
  </si>
  <si>
    <t>mmBTU/year</t>
  </si>
  <si>
    <t>CapEx costs per annual yield:</t>
  </si>
  <si>
    <t>$/year</t>
  </si>
  <si>
    <t>$/BTU/year</t>
  </si>
  <si>
    <t>Source</t>
  </si>
  <si>
    <t>Paeng &amp; Azimi</t>
  </si>
  <si>
    <t>Paeng &amp; Azimi 2024</t>
  </si>
  <si>
    <t>130-180 tonnes per hour essentially means</t>
  </si>
  <si>
    <t>Energy Transitions Commission</t>
  </si>
  <si>
    <t>tonnes/year.</t>
  </si>
  <si>
    <t>DIW Berlin 2024</t>
  </si>
  <si>
    <t>Natural Gas-fueled Glass Melting Furnace (NG nonboiler high temp example)</t>
  </si>
  <si>
    <t>Furnace capital cost</t>
  </si>
  <si>
    <t>₤</t>
  </si>
  <si>
    <t>Output rate</t>
  </si>
  <si>
    <t>tonnes glass/day</t>
  </si>
  <si>
    <t>Annual hours of operation (operates continuously):</t>
  </si>
  <si>
    <t>hrs/year</t>
  </si>
  <si>
    <t>Energy expenditure/output</t>
  </si>
  <si>
    <t>Nonboiler High Temp</t>
  </si>
  <si>
    <t>Capex costs per ton:</t>
  </si>
  <si>
    <t>Deutsches Institut für Wirtschaftsforschung</t>
  </si>
  <si>
    <t>"Revisiting Investment Costs for Green Steel: Capital Expenditures, Firm Level Impacts, and Policy Implications"</t>
  </si>
  <si>
    <t>https://www.diw.de/documents/publikationen/73/diw_01.c.901039.de/dp2082.pdf</t>
  </si>
  <si>
    <t>"Technoeconomic Analysis of the Electrorefining Process for Copper and Carbon Removal from Scrap Steel for Green Steelmaking"</t>
  </si>
  <si>
    <t>Industrial &amp; Chemical Engineering Research</t>
  </si>
  <si>
    <t>https://pubs.acs.org/doi/10.1021/acs.iecr.4c02665</t>
  </si>
  <si>
    <t xml:space="preserve">Annual production capacity: </t>
  </si>
  <si>
    <t>"Unlocking the first wave of breakthrough steel investments in France"</t>
  </si>
  <si>
    <t>https://www.energy-transitions.org/wp-content/uploads/2023/03/Unlocking-the-First-Wave-of-Breakthrough-Steel-Investments-in-France-March-2022.pdf</t>
  </si>
  <si>
    <t>Electric Example (EAF) References:</t>
  </si>
  <si>
    <t>Natural Gas Example (NG Glass Melting Furnace) References:</t>
  </si>
  <si>
    <t>Glass Technology Services Ltd.</t>
  </si>
  <si>
    <t>"A Study of the Balance Between Furnace Operating Parameters and Recycled Glass in Melting Furnaces."</t>
  </si>
  <si>
    <t>https:/www.glass-ts.com/site/assets/files/1015/2004_-_a_study_of_the_balance_between_furnace_operating_parameters_and_recycled_glass_in_glass_melting_furnaces.pdf</t>
  </si>
  <si>
    <t>CapEx costs:</t>
  </si>
  <si>
    <t>€/ton</t>
  </si>
  <si>
    <t>Rechberger et al. 2020</t>
  </si>
  <si>
    <t>Hydrogen-DR Plant (does not include EAF) (hydrogen high temp example)</t>
  </si>
  <si>
    <t>kWh/ton</t>
  </si>
  <si>
    <t>Vogl et al. 2018</t>
  </si>
  <si>
    <t>tons/year</t>
  </si>
  <si>
    <t>Kiln capital cost</t>
  </si>
  <si>
    <t>GJ/tonne</t>
  </si>
  <si>
    <t>Coal Example (Cement Kiln) References:</t>
  </si>
  <si>
    <t>Vattenfall &amp; Cementa (Heidelberg Cement Group)</t>
  </si>
  <si>
    <t>CemZero</t>
  </si>
  <si>
    <t>Annual hours of operation:</t>
  </si>
  <si>
    <t>hours/year</t>
  </si>
  <si>
    <t>CemZero study</t>
  </si>
  <si>
    <t>Average for rotary kiln, CemZero study</t>
  </si>
  <si>
    <t>China Ruibin Information Network article</t>
  </si>
  <si>
    <t>RMB</t>
  </si>
  <si>
    <t>tons/day</t>
  </si>
  <si>
    <t>Daily production capacity</t>
  </si>
  <si>
    <t>includes conversion factor for GJ to kWh (1:277.778)</t>
  </si>
  <si>
    <t>includes RMB to USD conversion (1:0.14)</t>
  </si>
  <si>
    <t>$/Btu/year</t>
  </si>
  <si>
    <t>Btu/year</t>
  </si>
  <si>
    <t>Annual fuel use</t>
  </si>
  <si>
    <t>Btu/hour</t>
  </si>
  <si>
    <t>Capacity</t>
  </si>
  <si>
    <t>Capital cost - mean</t>
  </si>
  <si>
    <t>Capital cost - high</t>
  </si>
  <si>
    <t>Capital cost - low</t>
  </si>
  <si>
    <t>Natural Gas-Fired Distillation Columns</t>
  </si>
  <si>
    <t>BTU/year</t>
  </si>
  <si>
    <t>China Ruibin Information Network</t>
  </si>
  <si>
    <t>"How much does it cost to build a rotary kiln with a daily output of 600 tons"</t>
  </si>
  <si>
    <t>http://www.jixiemuye.com/en/business-2/article-364.html</t>
  </si>
  <si>
    <t>DOE (EERE)</t>
  </si>
  <si>
    <t>Energy Savings Potential and RD&amp;D Opportunities for Commercial Building Appliances (2015 Update)</t>
  </si>
  <si>
    <t>https://www.energy.gov/sites/prod/files/2016/06/f32/DOE-BTO%20Comml%20Appl%20Report%20-%20Full%20Report_0.pdf</t>
  </si>
  <si>
    <t>Natural gas-fired distillation columns</t>
  </si>
  <si>
    <t>DOE (OSTI)</t>
  </si>
  <si>
    <t>Distributive Distillation Enabled by Microchannel Process Technology</t>
  </si>
  <si>
    <t>https://www.osti.gov/servlets/purl/1077001</t>
  </si>
  <si>
    <t>Electric example (Infrared Heater for Processed Foods)</t>
  </si>
  <si>
    <t>USD</t>
  </si>
  <si>
    <t>Based on 16-20 hour operation of food processing plants</t>
  </si>
  <si>
    <t>Shadow Industrial Infrared model</t>
  </si>
  <si>
    <t>Industrial infrared heater vendor</t>
  </si>
  <si>
    <t>Gray cells are not applicable, either because the energy is already in the form of heat or because the equipmen type cannot use that fuel type.</t>
  </si>
  <si>
    <t>Electric and gas-fired ovens</t>
  </si>
  <si>
    <t>Based on a methanol/water separation column.</t>
  </si>
  <si>
    <t>Gas Diesel Engine</t>
  </si>
  <si>
    <t>Capital expenditures</t>
  </si>
  <si>
    <t>Rockefeller Foundation: Electrifying Economies: Detailed Cost Models and Benchmarks</t>
  </si>
  <si>
    <t>Representative engine bhp</t>
  </si>
  <si>
    <t>bhp</t>
  </si>
  <si>
    <t>EPA General Conformity Training Modules: Appendix A Sample Emissions Calculations</t>
  </si>
  <si>
    <t>Representative engine kW</t>
  </si>
  <si>
    <t>Representative annual operating hours</t>
  </si>
  <si>
    <t>Mmbtu</t>
  </si>
  <si>
    <t>Electric Motors</t>
  </si>
  <si>
    <t>Remaining "Other Processes" cells use natural gas distillation column values modified by the ratios of capital costs for</t>
  </si>
  <si>
    <t>boilers using each fuel type to boilers using natural gas.</t>
  </si>
  <si>
    <t>Using a 400-horsepower boiler as our example:</t>
  </si>
  <si>
    <t>water tube boiler</t>
  </si>
  <si>
    <t>fire tube boiler</t>
  </si>
  <si>
    <t>annual energy consumption</t>
  </si>
  <si>
    <t>State of Michigan</t>
  </si>
  <si>
    <t>Miscellaneous Industrial Costs</t>
  </si>
  <si>
    <t>https://www.michigan.gov/-/media/Project/Websites/treasury/VOL/Vol236UIP12MiscellaneousIndustrialCosts.pdf?rev=b2a14a143c11493e8d0a30587afaa282</t>
  </si>
  <si>
    <t>Page 1</t>
  </si>
  <si>
    <t>Cement plant (whole plant) capital cost per unit capacity</t>
  </si>
  <si>
    <t>$/ton cement annual production capacity</t>
  </si>
  <si>
    <t>GJ/day</t>
  </si>
  <si>
    <t>GJ/year</t>
  </si>
  <si>
    <t>$/(GJ/yr)</t>
  </si>
  <si>
    <t>$/(kWh/yr)</t>
  </si>
  <si>
    <t>Since these are Chinese prices, we double-checked using prices from Europe.  They come out about the same:</t>
  </si>
  <si>
    <t>CapEx of cement kiln witout CCS</t>
  </si>
  <si>
    <t>2014 euros / ton clinker (annual capacity)</t>
  </si>
  <si>
    <t>Average share of clinker in cement (global average)</t>
  </si>
  <si>
    <t>2014 euros / ton cement (annual capacity)</t>
  </si>
  <si>
    <t>https://www.wri.org/insights/lower-carbon-blended-cement#:~:text=U.S.%20cement%20produces%20more%20emissions,is%20between%200.64%20and%200.76.</t>
  </si>
  <si>
    <t>2014 USD / 2014 euro</t>
  </si>
  <si>
    <t>2014 USD / ton cement (annual capacity)</t>
  </si>
  <si>
    <t>2024 USD / 2014 USD</t>
  </si>
  <si>
    <t>2024 USD / ton cement (annual capacity)</t>
  </si>
  <si>
    <t>2024 USD / (GJ/yr)</t>
  </si>
  <si>
    <t>kWh / GJ</t>
  </si>
  <si>
    <t>USD / (kWh/yr)</t>
  </si>
  <si>
    <t>https://www.researchgate.net/publication/330875028_Techno-economic_analysis_of_calcium_looping_processes_for_low_CO_2_emission_cement_plants</t>
  </si>
  <si>
    <t>BTU / kWh</t>
  </si>
  <si>
    <t>USD / (BTU/yr)</t>
  </si>
  <si>
    <t>Europe cement kiln reference:</t>
  </si>
  <si>
    <t>Edoardo De Lena et al.</t>
  </si>
  <si>
    <t>Techno-economic analysis of calcium looping processes for low CO2 emission cement plants</t>
  </si>
  <si>
    <t>Table 8, "Capex, Europ/ton clinker" row</t>
  </si>
  <si>
    <t>Coal-fueled cement kiln</t>
  </si>
  <si>
    <t>Machine Drive</t>
  </si>
  <si>
    <t>Oven Type</t>
  </si>
  <si>
    <t>Fuel Type</t>
  </si>
  <si>
    <t>deck</t>
  </si>
  <si>
    <t>electric</t>
  </si>
  <si>
    <t>gas</t>
  </si>
  <si>
    <t>convection</t>
  </si>
  <si>
    <t>conveyor</t>
  </si>
  <si>
    <t>Commercial Oven Installed Base by Equipment Type</t>
  </si>
  <si>
    <t>Installed Base</t>
  </si>
  <si>
    <t>convection (1/2)</t>
  </si>
  <si>
    <t>convection (full)</t>
  </si>
  <si>
    <t>combiantion</t>
  </si>
  <si>
    <t>rotary rack</t>
  </si>
  <si>
    <t>rorary</t>
  </si>
  <si>
    <t>cook &amp; hold</t>
  </si>
  <si>
    <t>dough proofer</t>
  </si>
  <si>
    <t>p. 42, table 2-8</t>
  </si>
  <si>
    <t>Commercial oven installed base by fuel type</t>
  </si>
  <si>
    <t>Fuel type</t>
  </si>
  <si>
    <t>installed base</t>
  </si>
  <si>
    <t>Percent</t>
  </si>
  <si>
    <t>Commercial oven capital cost breakdown by oven type</t>
  </si>
  <si>
    <t>Average Cost</t>
  </si>
  <si>
    <t>proofer</t>
  </si>
  <si>
    <t>p. 44, table 2-10</t>
  </si>
  <si>
    <t>p. 43, table 2-9</t>
  </si>
  <si>
    <t>Commercial oven use characteristics</t>
  </si>
  <si>
    <t>Operating Hrs/Yr</t>
  </si>
  <si>
    <t>Capacity (btu/hr)</t>
  </si>
  <si>
    <t>Capacity (kW)</t>
  </si>
  <si>
    <t>p. 45, table 2-11</t>
  </si>
  <si>
    <t>Calculated energy use by fuel type</t>
  </si>
  <si>
    <t>Energy Use (btu/yr)</t>
  </si>
  <si>
    <t>Weighted avg CapEx</t>
  </si>
  <si>
    <t>CapEx/(BTU/yr)</t>
  </si>
  <si>
    <t>For reference, not used in calculations above:</t>
  </si>
  <si>
    <t>Commercial Ovens (used as our model for medium-temperature, non-boiler industrial heating equipment)</t>
  </si>
  <si>
    <t>The operating hours per year reported in the table above are for commercial ovens.</t>
  </si>
  <si>
    <t>We would expect an industrial facility to operate more hours per year than a commercial bakery.</t>
  </si>
  <si>
    <t>For this reason, and for consistency across different industrial equipment categories in this spreadsheet,</t>
  </si>
  <si>
    <t>we use the number of operating hours per year from the "Boilers" tab to also represent the operating hours</t>
  </si>
  <si>
    <t>per year for medium-temperature industrial heating equipment.</t>
  </si>
  <si>
    <t>Operating hours per year:</t>
  </si>
  <si>
    <t>Adjustment to Operating Hours per Year</t>
  </si>
  <si>
    <t>fully commercialized, electrified, high-temperature heating equipment.  For instance, cement kilns burn coal and steam crackers use natural gas.  Other electrical furnaces</t>
  </si>
  <si>
    <t>The data on electric arc furnaces (our model for electric high-temp heat) has been double-checked and seem solid, and there are few other good examples of</t>
  </si>
  <si>
    <t>exist (like induction furnaces), but electric arc furnaces are likely the most common type and are likely the best choice to use as our model equipment type for high-temp</t>
  </si>
  <si>
    <t>Note: since the CapEx here scales with tonnes capacity, the final cost per unit capacity isn't affected by the annual production capacity figure above.</t>
  </si>
  <si>
    <r>
      <rPr>
        <b/>
        <i/>
        <sz val="11"/>
        <color theme="1"/>
        <rFont val="Aptos Narrow"/>
        <family val="2"/>
        <scheme val="minor"/>
      </rPr>
      <t>Not used</t>
    </r>
    <r>
      <rPr>
        <i/>
        <sz val="11"/>
        <color theme="1"/>
        <rFont val="Aptos Narrow"/>
        <family val="2"/>
        <scheme val="minor"/>
      </rPr>
      <t xml:space="preserve"> because it is the whole plant, not just the kiln.  Kiln-only data are just below.</t>
    </r>
  </si>
  <si>
    <t xml:space="preserve">% Distr. by Energy Use of Motor HP Category </t>
  </si>
  <si>
    <t>Operating hours, and percentage of motors in a given horsepower bin for calculating weighted averages based on energy distribution,</t>
  </si>
  <si>
    <t>Representative Horsepower Bin</t>
  </si>
  <si>
    <t>101-200</t>
  </si>
  <si>
    <t>21-50</t>
  </si>
  <si>
    <t>1-5</t>
  </si>
  <si>
    <t>6-20</t>
  </si>
  <si>
    <t>1000+</t>
  </si>
  <si>
    <t>$/BTU/yr</t>
  </si>
  <si>
    <t>Weighted Average (by distribution of energy use) for electric motors/drive units (see below for breakdown):</t>
  </si>
  <si>
    <t>Bins represented in the data by horsepower (HP) are 1-5, 6-20, 21-50,101-200,1000+. Not represented are 51-100 (12.7% of motor energy use), 201-500 (15.8%), 501-1000 (13.4%). Weighted averages thus take % of motor energy use in a given HP bin and divide by the remaining 58.1%. Weighted averages also average the energy values within a bin (e.g., averaging $/BTU/yr across all equipment in the 101-200 HP bin).</t>
  </si>
  <si>
    <t>% Distr. by Energy Use Per HP Bin</t>
  </si>
  <si>
    <t>electrified industrial heating equipment. So we do not consider them to be an outlier - i.e., the higher cost is justified.</t>
  </si>
  <si>
    <t>IECCpUAEU Industrial Equipment Capital Cost per Unit Annual Energy Use</t>
  </si>
  <si>
    <t>Diesel</t>
  </si>
  <si>
    <t>Ag tractors</t>
  </si>
  <si>
    <t>from https://environmentaldevices.com/wp-content/uploads/2023/09/Impacts-of-electrifying-agricultural-tractors.pdf</t>
  </si>
  <si>
    <t>DT #1</t>
  </si>
  <si>
    <t>DT #2</t>
  </si>
  <si>
    <t>DT #3</t>
  </si>
  <si>
    <t>Capital costs</t>
  </si>
  <si>
    <t>eT</t>
  </si>
  <si>
    <t>Tank capacity (gal)</t>
  </si>
  <si>
    <t>Battery capacity (kWh)</t>
  </si>
  <si>
    <t>Runtime/tank (hr)</t>
  </si>
  <si>
    <t>Energy content/tank</t>
  </si>
  <si>
    <t>Energy content:</t>
  </si>
  <si>
    <t>BTU/gal diesel</t>
  </si>
  <si>
    <t>https://afdc.energy.gov/fuels/properties</t>
  </si>
  <si>
    <t>E Intensity (BTU/hr)</t>
  </si>
  <si>
    <t>from https://www.cadeogroup.com/wp-content/uploads/2022/04/PNW-Tractor-Electrification-Study.pdf</t>
  </si>
  <si>
    <t>Energy reservoir (kWh)</t>
  </si>
  <si>
    <t>diesel</t>
  </si>
  <si>
    <t>battery</t>
  </si>
  <si>
    <t>from https://pub.epsilon.slu.se/id/document/20368600</t>
  </si>
  <si>
    <t>example 1</t>
  </si>
  <si>
    <t>example 2</t>
  </si>
  <si>
    <t>% energy consumption (bev vs diesel)</t>
  </si>
  <si>
    <t>from https://static1.squarespace.com/static/5eab584a296dca09a66e85a6/t/627946f6c12c786debe434c7/1652115191705/TCO_report_May%2B2022.pdf</t>
  </si>
  <si>
    <t>e-tractor</t>
  </si>
  <si>
    <t>IC</t>
  </si>
  <si>
    <t>capital cost</t>
  </si>
  <si>
    <t>operating hours/yr</t>
  </si>
  <si>
    <t>Annual energy (gal)</t>
  </si>
  <si>
    <t>Annual energy (kWh)</t>
  </si>
  <si>
    <t>** costs in table 3</t>
  </si>
  <si>
    <t>price</t>
  </si>
  <si>
    <t>Annual usage (hr)</t>
  </si>
  <si>
    <t>2022 to 2012 USD</t>
  </si>
  <si>
    <t>PIFURfE for ag tractors (other processes)</t>
  </si>
  <si>
    <t>Electric</t>
  </si>
  <si>
    <t>price ($)</t>
  </si>
  <si>
    <t>annual E</t>
  </si>
  <si>
    <t>Assumed annual usage (hours)</t>
  </si>
  <si>
    <t>E intensity (BTU/hr)</t>
  </si>
  <si>
    <t>^assuming equal distribution of tasks</t>
  </si>
  <si>
    <t>Annual BTUs</t>
  </si>
  <si>
    <t>2021 to 2012 USD</t>
  </si>
  <si>
    <t>Annual BTU</t>
  </si>
  <si>
    <t>Diesel tractor price $/BTU</t>
  </si>
  <si>
    <t>Electric tractor price $/BTU</t>
  </si>
  <si>
    <t>Industrial heat pumps capacity factor</t>
  </si>
  <si>
    <t>Zühlsdorf, B., Andersen, M. P., Tammone, C. et.al.</t>
  </si>
  <si>
    <t>Industrial High-Temperature Heat Pumps. Task 1 – Technologies: Yearly Report 2025</t>
  </si>
  <si>
    <t>https://heatpumpingtechnologies.org/project68/task1/</t>
  </si>
  <si>
    <t>Page 16, Figure 1-4</t>
  </si>
  <si>
    <t>Metric</t>
  </si>
  <si>
    <t>Per-kW CAPEX</t>
  </si>
  <si>
    <t>Annual hours</t>
  </si>
  <si>
    <t>hrs/yr</t>
  </si>
  <si>
    <t>Capacity factor</t>
  </si>
  <si>
    <t>Per-kWh/yr CAPEX</t>
  </si>
  <si>
    <t>Per-BTU/yr CAPEX</t>
  </si>
  <si>
    <t>$ / electricity consumption each year</t>
  </si>
  <si>
    <t>$ / electricity consumption (in BTU of electricity) each year</t>
  </si>
  <si>
    <t>Capital cost per BTU energy consumption</t>
  </si>
  <si>
    <t>Annual energy consumption/year (kWh):</t>
  </si>
  <si>
    <t>Annual energy consumption/year (mmBTU):</t>
  </si>
  <si>
    <t>Annual energy consumed (MMbtu)</t>
  </si>
  <si>
    <t>Annual energy use (MMbtu)</t>
  </si>
  <si>
    <t>Average Annual Energy Use by HP Bin (MMbtu)</t>
  </si>
  <si>
    <t xml:space="preserve">Energy use in kWh/year: </t>
  </si>
  <si>
    <t>Energy use in BTU/year</t>
  </si>
  <si>
    <t>Capacity:</t>
  </si>
  <si>
    <t>facility HVAC</t>
  </si>
  <si>
    <t>facility lighting</t>
  </si>
  <si>
    <t>other nonprocess</t>
  </si>
  <si>
    <t>https://www.bulkofficesupply.com/Categories/Janitorial-and-Facility-Supplies/Lighting/Light-Bulbs.aspx?srsltid=AfmBOorWkgJMp4H4zdZKPjbhWJ39KPaQWfcg1JIX1YpF1EunQjEtuY1Z</t>
  </si>
  <si>
    <t>Satco A15 Appliance Light Bulb</t>
  </si>
  <si>
    <t>W</t>
  </si>
  <si>
    <t>lm</t>
  </si>
  <si>
    <t>hr life</t>
  </si>
  <si>
    <t>Satco 6.5W PAR 20/FL 3000K LED Bulb</t>
  </si>
  <si>
    <t>Satco 7.5W BR30 3000K LED Bulb</t>
  </si>
  <si>
    <t>Satco 12W PAR 30/LN/FL 3000K LED Bulb</t>
  </si>
  <si>
    <t>Satco 15W PAR38 3000K LED Bulb</t>
  </si>
  <si>
    <t>Satco 10W A19 LED 5000K Light Bulbs</t>
  </si>
  <si>
    <t>W equiv. incandesc.</t>
  </si>
  <si>
    <t>Satco 40W T8 4000K LED Tube Light</t>
  </si>
  <si>
    <t>bulb</t>
  </si>
  <si>
    <t>parabolic</t>
  </si>
  <si>
    <t>reflector</t>
  </si>
  <si>
    <t>tube</t>
  </si>
  <si>
    <t>Satco 11 Watt LED T8 Bulb</t>
  </si>
  <si>
    <t>?</t>
  </si>
  <si>
    <t>Satco 13W GX23 Pin-Based 2700K Compact Fluorescent Bulb</t>
  </si>
  <si>
    <t>incand</t>
  </si>
  <si>
    <t>LED</t>
  </si>
  <si>
    <t>fluorescent</t>
  </si>
  <si>
    <t>twin tube</t>
  </si>
  <si>
    <t>Satco 54W T5 3500K Fluorescent Tube</t>
  </si>
  <si>
    <t>Satco Flourescent Light Bulbs 32W 6/box</t>
  </si>
  <si>
    <t>CFL</t>
  </si>
  <si>
    <t>Satco 23W T2 2700K Spiral CFL Bulb</t>
  </si>
  <si>
    <t>https://www.mordorintelligence.com/industry-reports/industrial-lighting-market</t>
  </si>
  <si>
    <t>Industrial lighting market</t>
  </si>
  <si>
    <t>Fluorescent</t>
  </si>
  <si>
    <t>HID fixtures</t>
  </si>
  <si>
    <t>OLED</t>
  </si>
  <si>
    <t>lightstoreusa.com</t>
  </si>
  <si>
    <t>HID</t>
  </si>
  <si>
    <t>Plusrite 1035</t>
  </si>
  <si>
    <t>M47 BT37 Mogul</t>
  </si>
  <si>
    <t>Plusrite 1056</t>
  </si>
  <si>
    <t>floodlight</t>
  </si>
  <si>
    <t>Plusrite 1061</t>
  </si>
  <si>
    <t>PLUSRITE Par 38</t>
  </si>
  <si>
    <t>hour life</t>
  </si>
  <si>
    <t>years</t>
  </si>
  <si>
    <t>assumed lighting lifetime (IESD)</t>
  </si>
  <si>
    <t>hours/yr use</t>
  </si>
  <si>
    <t>lifetime</t>
  </si>
  <si>
    <t>BTU/yr</t>
  </si>
  <si>
    <t>Lighting is generally electric. Other fuels can be used to power a generator to power lighting.</t>
  </si>
  <si>
    <t>So we apply an efficiency loss for using a generator to power lighting.</t>
  </si>
  <si>
    <t>generator efficiency</t>
  </si>
  <si>
    <t>And must account for the cost of a generator:</t>
  </si>
  <si>
    <t>Generac</t>
  </si>
  <si>
    <t>Westinghouse Wgen 5300c</t>
  </si>
  <si>
    <t>Westinghouse Wgen7500c</t>
  </si>
  <si>
    <t>Westinghouse WGen9500c</t>
  </si>
  <si>
    <t>WEN DF5600X</t>
  </si>
  <si>
    <t>DuroMax XP13000HX</t>
  </si>
  <si>
    <t>Firman Tri Fuel</t>
  </si>
  <si>
    <t>avg watts</t>
  </si>
  <si>
    <t>avg $</t>
  </si>
  <si>
    <t>generator upfront cost per lightbulb powered</t>
  </si>
  <si>
    <t>lightbulb contribution to cost</t>
  </si>
  <si>
    <t>generator contribution to cost</t>
  </si>
  <si>
    <t>total cost per BTU</t>
  </si>
  <si>
    <t>boiler horsepower</t>
  </si>
  <si>
    <t>kW / boiler horsepower</t>
  </si>
  <si>
    <t>Unit conversion ref:</t>
  </si>
  <si>
    <t>https://www.unitconverters.net/power/horsepower-boiler-to-kilowatt.htm</t>
  </si>
  <si>
    <t>2003 USD</t>
  </si>
  <si>
    <t>2003 to 2024 inflation adj.</t>
  </si>
  <si>
    <t>dmnl</t>
  </si>
  <si>
    <t>average cost</t>
  </si>
  <si>
    <t>average cost (inflation adjusted)</t>
  </si>
  <si>
    <t>2024 USD</t>
  </si>
  <si>
    <t>boiler cost</t>
  </si>
  <si>
    <t>2016 USD</t>
  </si>
  <si>
    <t>2016 to 2024 inflation adj.</t>
  </si>
  <si>
    <t>NREL's report was published in 2017. We assume the currency figures are given in 2016 USD, which would have been the latest year for which inflation data were available when the NREL report was published.</t>
  </si>
  <si>
    <t>2015 to 2024 inflation adj.</t>
  </si>
  <si>
    <t>Cost per annual energy input (2024$/(BTU/yr))</t>
  </si>
  <si>
    <t>Cost per annual energy input (2015$/(BTU/yr))</t>
  </si>
  <si>
    <t>NOT USED - State of Michigan 2003 reference for natural gas boiler costs</t>
  </si>
  <si>
    <t>NOT USED - NREL 2017 reference for natural gas boiler costs</t>
  </si>
  <si>
    <t>2024$/(BTU/yr)</t>
  </si>
  <si>
    <t>Three fossil fuel type industrial boiler costs</t>
  </si>
  <si>
    <t>National Renewable Energy Laboratory</t>
  </si>
  <si>
    <t>Electrification Futures Study</t>
  </si>
  <si>
    <t>https://docs.nrel.gov/docs/fy18osti/70485.pdf</t>
  </si>
  <si>
    <t>Page 64, Table 17</t>
  </si>
  <si>
    <t>NOT USED - Included for reference/comparison - natural gas boiler costs</t>
  </si>
  <si>
    <t>Annual operating hours</t>
  </si>
  <si>
    <t>hours / year</t>
  </si>
  <si>
    <t>Copeland (formerly Emerson Climate Technologies)</t>
  </si>
  <si>
    <t>https://media.copeland.com/1da81099-2c21-4ce5-8096-b16d0037b111/VILTER%20Heat%20Pump%20White%20Paper.pdf</t>
  </si>
  <si>
    <t>Page 6-8. Capacity factor is based on the average annual operating hours across the four examples, assuming each operates at full capacity.</t>
  </si>
  <si>
    <t>2024$/kW</t>
  </si>
  <si>
    <t>2024$/(kWh/yr)</t>
  </si>
  <si>
    <t>2024€/kW</t>
  </si>
  <si>
    <t>Currency adj. EUR to USD 2024</t>
  </si>
  <si>
    <t>2024$/2024€</t>
  </si>
  <si>
    <t>€ / power draw</t>
  </si>
  <si>
    <t>Electric Resistance Heater (electric non-arc example for medium/high-temp process heat, ~200-1000 C)</t>
  </si>
  <si>
    <t>CAPEX</t>
  </si>
  <si>
    <t>k€/MW (= €/kW)</t>
  </si>
  <si>
    <t>arXiv:2503.02008, Suppl. Table (Baumgärtner et al.)</t>
  </si>
  <si>
    <t>EUR to USD 2024</t>
  </si>
  <si>
    <t>Annual full-load hours</t>
  </si>
  <si>
    <t>hrs/yr (8760 × capacity factor)</t>
  </si>
  <si>
    <t>Uses same utilization as other electrified heating in this workbook (Boilers tab)</t>
  </si>
  <si>
    <t>heat below 100 °C</t>
  </si>
  <si>
    <t>heat 100 to 200 °C</t>
  </si>
  <si>
    <t>heat 200 to 500 °C</t>
  </si>
  <si>
    <t>heat 500 to 1000 °C</t>
  </si>
  <si>
    <t>heat above 1000 °C</t>
  </si>
  <si>
    <t>Nonboiler Med/High Temp - Electric Resistance Heater Example References:</t>
  </si>
  <si>
    <t>"Transition pathways to electrified chemical production within sector-coupled national energy systems"</t>
  </si>
  <si>
    <t>https://arxiv.org/pdf/2503.02008</t>
  </si>
  <si>
    <t>Supplementary Table: resistance-heater CAPEX 238 k€/MW (= €238/kW), attributed to Baumgärtner et al. Used for the 200-500 °C and 500-1000 °C electricity cells.</t>
  </si>
  <si>
    <t>Mayer, P., Baader, F.J., et al. (ETH Zürich)</t>
  </si>
  <si>
    <t>Equipment cost = minimum equipment cost * (desired equipment scale value / minimum equipment scale value)scaling factor * (current CEPCI / listed CEPCI); 2024 CEPCI is ~800</t>
  </si>
  <si>
    <t>CPI-U annual average (BLS, 1982-84=100), and multiplier to 2012 USD</t>
  </si>
  <si>
    <t>Year</t>
  </si>
  <si>
    <t>CPI-U</t>
  </si>
  <si>
    <t>Mult to 2012</t>
  </si>
  <si>
    <t>Unit:  $/(BTU/yr) in 2012 USD - capital cost per BTU consumed annually, deflated to 2012 USD via CPI-U (see About)</t>
  </si>
  <si>
    <t>ELECTRIC TECHNOLOGY-BLEND CAPEX, 200-1000 °C (July 2026) — mirrors the technology mix in the efficiency workbooks</t>
  </si>
  <si>
    <t>All CAPEX below is per kW of ELECTRICAL INPUT capacity, consistent with this workbook's construction: $/kW ÷ annual full-load hours ÷ BTU per kWh = $/(BTU of electricity per year). The efficiency revision in the start-year and minimum-UEF files therefore needs NO manual adjustment here — the EPS multiplies this by annual energy use, which already rose with the revised unit energy factors, so total equipment cost scales correctly.</t>
  </si>
  <si>
    <t>Technology</t>
  </si>
  <si>
    <t>Share, 200-500 °C</t>
  </si>
  <si>
    <t>Share, 500-1000 °C</t>
  </si>
  <si>
    <t>Electric boiler (electrode / resistance, steam)</t>
  </si>
  <si>
    <t>2024$/kW-electric</t>
  </si>
  <si>
    <t>Electric resistance heater / oven / furnace</t>
  </si>
  <si>
    <t>Reinert et al. 2025 (arXiv:2503.02008) Suppl. Table, from Baumgärtner et al.: 238 k€/MW — already in row 71 above</t>
  </si>
  <si>
    <t>Induction heating / melting (incl. power supply)</t>
  </si>
  <si>
    <t>Electric infrared (emitters + controls)</t>
  </si>
  <si>
    <t>Share check (must equal 100%)</t>
  </si>
  <si>
    <t>Blended CAPEX, 200-500 °C</t>
  </si>
  <si>
    <t>Blended CAPEX, 500-1000 °C</t>
  </si>
  <si>
    <t>Blended per-BTU/yr CAPEX, 200-500 °C</t>
  </si>
  <si>
    <t>Blended per-BTU/yr CAPEX, 500-1000 °C</t>
  </si>
  <si>
    <t>STATUS: scaffold complete and arithmetic verified; NOT yet wired into the Summary tab. Summary!B4 and B5 still point at the flat resistance-heater figure (F77 = 1.440E-05). Wire B93 and B94 through only after the electric-boiler, induction and infrared CAPEX values are sourced — leaving them blank would silently understate the blend. Note also that Summary!B4 and B5 are currently IDENTICAL, which is no longer consistent with the two different technology mixes.</t>
  </si>
  <si>
    <t>Heat pump, up to 60 °C, Temp lift = 40 K</t>
  </si>
  <si>
    <t>year</t>
  </si>
  <si>
    <t>Note</t>
  </si>
  <si>
    <t>Ref</t>
  </si>
  <si>
    <t>est</t>
  </si>
  <si>
    <t>ctrl</t>
  </si>
  <si>
    <t>lower</t>
  </si>
  <si>
    <t>upper</t>
  </si>
  <si>
    <t>-</t>
  </si>
  <si>
    <t>cat</t>
  </si>
  <si>
    <t>par</t>
  </si>
  <si>
    <t>Energy/technical data</t>
  </si>
  <si>
    <t>Heat generation capacity for one unit [MW]</t>
  </si>
  <si>
    <t>A</t>
  </si>
  <si>
    <t>[1, 2]</t>
  </si>
  <si>
    <t>Total efficiency, net [%], nominel load</t>
  </si>
  <si>
    <t>B</t>
  </si>
  <si>
    <t>[1, 3]</t>
  </si>
  <si>
    <t>Total efficiency, net [%], annual average</t>
  </si>
  <si>
    <t>B,C</t>
  </si>
  <si>
    <t>Auxiliary electricity consumption [% of heat gen]</t>
  </si>
  <si>
    <t>Forced outage [%]</t>
  </si>
  <si>
    <t>D</t>
  </si>
  <si>
    <t>Planned outage [weeks per year]</t>
  </si>
  <si>
    <t>Technical lifetime [years]</t>
  </si>
  <si>
    <t>Construction time [years]</t>
  </si>
  <si>
    <t>Regulation Ability</t>
  </si>
  <si>
    <t>Minimum load [% of full load]</t>
  </si>
  <si>
    <t>Warm start-up time [hours]</t>
  </si>
  <si>
    <t>Cold start-up time [hours]</t>
  </si>
  <si>
    <t xml:space="preserve">Financial data                                 </t>
  </si>
  <si>
    <t>Nominal investment [M€/MW]</t>
  </si>
  <si>
    <t xml:space="preserve"> - of which equipment [%]</t>
  </si>
  <si>
    <t>E</t>
  </si>
  <si>
    <t xml:space="preserve"> - of which installation and other costs [%]</t>
  </si>
  <si>
    <t>F</t>
  </si>
  <si>
    <t>Fixed O&amp;M [€/MJ/s/year]</t>
  </si>
  <si>
    <t>Variable O&amp;M [€/MWh]</t>
  </si>
  <si>
    <t>Technology-specific data</t>
  </si>
  <si>
    <t>Indirect investments cost [M€/MW]</t>
  </si>
  <si>
    <t>H</t>
  </si>
  <si>
    <t>Non energy gains [M€/MW]</t>
  </si>
  <si>
    <t>Startup cost [€/MW/startup]</t>
  </si>
  <si>
    <t>Temperature heat source supply [°C]</t>
  </si>
  <si>
    <t>I</t>
  </si>
  <si>
    <t>Temperature heat source return [°C]</t>
  </si>
  <si>
    <t xml:space="preserve"> - Total efficiency, net [%], nominel load. Based on a temperature lift of 50 K, 70°C max</t>
  </si>
  <si>
    <t>G</t>
  </si>
  <si>
    <t xml:space="preserve"> - Total efficiency, net [%], nominel load. Based on a temperature lift of 60 K, 80°C max</t>
  </si>
  <si>
    <t>Cooling generation capacity for one unit [MW]</t>
  </si>
  <si>
    <t>Notes:</t>
  </si>
  <si>
    <t>0,5-5 MW</t>
  </si>
  <si>
    <t>Estimated based on cases presented in [3]</t>
  </si>
  <si>
    <t>C</t>
  </si>
  <si>
    <t>Based on lost produktion during startup/shutdown</t>
  </si>
  <si>
    <t xml:space="preserve">May vary depending on heat source availability </t>
  </si>
  <si>
    <t>Very individual, can vary ÷ 20 %</t>
  </si>
  <si>
    <t>Very individual, can vary + 20 %</t>
  </si>
  <si>
    <t xml:space="preserve">Based on the old technology catalogue on process heat from 2020. </t>
  </si>
  <si>
    <t>Going from current implementation to potential</t>
  </si>
  <si>
    <t>Uses waste heat</t>
  </si>
  <si>
    <t>References:</t>
  </si>
  <si>
    <t>Viegand Maagøe, 2019.</t>
  </si>
  <si>
    <t>Danish Enegy Agency, Technology Data - Energy Plants for Electricity and District heating generation, 2025</t>
  </si>
  <si>
    <t xml:space="preserve"> EHPA, Large Scale heat pumps in Europe, 2019</t>
  </si>
  <si>
    <t>Combined heating and cooling heat pump, up to 80 °C, Temp lift = 75 K</t>
  </si>
  <si>
    <t>References</t>
  </si>
  <si>
    <t>High-temperature heat pumps up to 125 °C</t>
  </si>
  <si>
    <t>Total efficiency, net [%], nominel load. Based on a temperature lift of 65 K</t>
  </si>
  <si>
    <t>C, H</t>
  </si>
  <si>
    <t>Forced outage [days]</t>
  </si>
  <si>
    <t>Space requirement [1000 m2/MW_e]</t>
  </si>
  <si>
    <t>Regulation ability</t>
  </si>
  <si>
    <t>Primary regulation (of full load, per 30 seconds) []</t>
  </si>
  <si>
    <t>Secondary regulation (of full load, per minute) []</t>
  </si>
  <si>
    <t>Minimum load (of full load) []</t>
  </si>
  <si>
    <t>Financial data</t>
  </si>
  <si>
    <t>Nominal investment (*total) [MEUR/MW]</t>
  </si>
  <si>
    <t>[1, 4]</t>
  </si>
  <si>
    <t xml:space="preserve"> - of which installation [%]</t>
  </si>
  <si>
    <t>Fixed O&amp;M  [EUR/MW_y]</t>
  </si>
  <si>
    <t>Variable O&amp;M [EUR/MWh]</t>
  </si>
  <si>
    <t>Technology dependent</t>
  </si>
  <si>
    <t xml:space="preserve">Indirect investment cost [M€/MW] </t>
  </si>
  <si>
    <t xml:space="preserve"> - Steam generation decreases COP [%-point]</t>
  </si>
  <si>
    <t xml:space="preserve"> - Steam generation increases equipment cost by [MEUR/MW]</t>
  </si>
  <si>
    <t xml:space="preserve"> - Additional equipment cost for temperature lift above 75 K [MEUR/MW]</t>
  </si>
  <si>
    <t xml:space="preserve"> - Total efficiency, net [%], nominel load. Based on a temperature lift of 40 K</t>
  </si>
  <si>
    <t xml:space="preserve"> - Total efficiency, net [%], nominel load. Based on a temperature lift of 80 K</t>
  </si>
  <si>
    <t xml:space="preserve"> - Total efficiency, net [%], nominel load. Based on a temperature lift of 100 K</t>
  </si>
  <si>
    <t>Depends on production infrastructure. If HTHP replaces another HTHP, there will be lower investment in new installation</t>
  </si>
  <si>
    <t>Unit sizes vary a lot and depends on production infrastructure. Lower capacities for specific production processes and higher capacities for central hot water supply</t>
  </si>
  <si>
    <t>Efficiency depends on temperature lift of HTHP. High temperature lift reduces COP.</t>
  </si>
  <si>
    <t>Both depends on lifetime of parts and new technology with higher efficiencies leading to replacement of existing systems</t>
  </si>
  <si>
    <t>Expected to be lower in future when serial production is gaining traction</t>
  </si>
  <si>
    <t>HTHPs are frequency controlled but typically a higher minimum load means smaller losses in COP</t>
  </si>
  <si>
    <t>Expected to be lower in future due to serial production and better integration knowledge</t>
  </si>
  <si>
    <t>Efficiency depends on technology of HTHP and production processes</t>
  </si>
  <si>
    <t xml:space="preserve">Relevant when needing to install new hot water piping instead of existing steam piping.  Assumed similar to gas boiler. </t>
  </si>
  <si>
    <t>Danish Technological Institute</t>
  </si>
  <si>
    <t>Viegand Maagøe</t>
  </si>
  <si>
    <t>Annex 58</t>
  </si>
  <si>
    <t>Fraunhofer ISI, "Direct electrification of industrial process heat. An assessment of technologies,
potentials and future prospects for the EU. Study on behalf of Agora Industry", 2024</t>
  </si>
  <si>
    <t>High-temperature heat pumps up to 150 °C</t>
  </si>
  <si>
    <t>Fixed O&amp;M  [EUR/MW_y], from last update in 2019</t>
  </si>
  <si>
    <t>Variable O&amp;M [EUR/MWh], from last update in 2019</t>
  </si>
  <si>
    <t>Jensen, J., Elmegaard, B., and Markussen, W. Industrial heat pumps for high temperature process applications.: A numerical study of the ammonia-water hybrid absorption-compression heat pump. PhD thesis. ,2016</t>
  </si>
  <si>
    <t>Mechanical vapor recompression</t>
  </si>
  <si>
    <t xml:space="preserve">Nominal investment [M€/MW] </t>
  </si>
  <si>
    <t>[1, 5]</t>
  </si>
  <si>
    <t>5-50 MW</t>
  </si>
  <si>
    <t>Assumed temperature lift of 5 K (saturation temperatur)</t>
  </si>
  <si>
    <t>Viegand Maagøe, MVR, 2018</t>
  </si>
  <si>
    <t>Technological data for energi plants (Compressions Heat Pumps for DH), Energistyrelsen, 2017</t>
  </si>
  <si>
    <t>Viegand Maagøe, 2019</t>
  </si>
  <si>
    <t>EPCON, EVAPORATION TECHNOLOGY, 2019</t>
  </si>
  <si>
    <t>EPCON investment cost offer, 2017.</t>
  </si>
  <si>
    <t>Electric boiler, 0,4-0,69 kV, steam, 1-12 bar</t>
  </si>
  <si>
    <t>[1, 2, 4]</t>
  </si>
  <si>
    <t>[2, 4]</t>
  </si>
  <si>
    <t>[2, 3, 4]</t>
  </si>
  <si>
    <t>Additional investments cost for 12-16 bar boilers [M€/MW]</t>
  </si>
  <si>
    <t>1-5 MW</t>
  </si>
  <si>
    <t>Electrode boilers at low voltage typically needs a transformer from distribution grid. Costs for the transformer are included
in the equipment costs.</t>
  </si>
  <si>
    <t>Investment cost is slightly higher than for a hot water boiler.</t>
  </si>
  <si>
    <t>Danish Enegy Agency, Technology Data - Energy Plants for Electricity and District heating generation, 2022</t>
  </si>
  <si>
    <t>AS:scan, Personal communication, 2022</t>
  </si>
  <si>
    <t>Tjæreborg Industri, Personal communication, 2022</t>
  </si>
  <si>
    <t>Nordheat, Personal communication, 2022</t>
  </si>
  <si>
    <t>Electric boiler, 10 kV, steam, 1-12 bar</t>
  </si>
  <si>
    <t>5-60 MW</t>
  </si>
  <si>
    <t>Electrode boilers at medium-high voltage are directly connected to the distribution grid. Costs for the distribution board are included
in the equipment costs.</t>
  </si>
  <si>
    <t>Electric boiler, 0,4-0,69 kV, hot water, 1-12 bar</t>
  </si>
  <si>
    <t>Investment cost is slightly lower than for a steam boiler.</t>
  </si>
  <si>
    <t>Tjæreborg Industri, Personal communication, 2019</t>
  </si>
  <si>
    <t>Electric boiler,10 kV, hot water, 1-12 bar</t>
  </si>
  <si>
    <t>Boiler, gas and oil</t>
  </si>
  <si>
    <t>[1, 2, 3, 6]</t>
  </si>
  <si>
    <t>A, B, E</t>
  </si>
  <si>
    <t>[1, 4, 6]</t>
  </si>
  <si>
    <t>A, B, D</t>
  </si>
  <si>
    <t>[2, 3]</t>
  </si>
  <si>
    <t>Primary regulation (of full load, per 30 seconds) [%]</t>
  </si>
  <si>
    <t>[1, 2, 6]</t>
  </si>
  <si>
    <t>Secondary regulation (of full load, per minute) [%]</t>
  </si>
  <si>
    <t>Minimum load (of full load) [%]</t>
  </si>
  <si>
    <t xml:space="preserve">C, B </t>
  </si>
  <si>
    <t>J</t>
  </si>
  <si>
    <t xml:space="preserve"> - Adding flue gas condenser (after economiser) increases efficiency by [%-point] (gas only)</t>
  </si>
  <si>
    <t>I, E</t>
  </si>
  <si>
    <t>[1, 2, 5]</t>
  </si>
  <si>
    <t xml:space="preserve"> - Adding flue gas condenser (after economiser) increases nominal investment by [%] (gas only)</t>
  </si>
  <si>
    <t xml:space="preserve"> - Hot water boiler instead of steam boiler increases efficiency by [%-point]</t>
  </si>
  <si>
    <t xml:space="preserve"> - Hot water boiler instead of steam boiler reduces nominal investment by [%]</t>
  </si>
  <si>
    <t xml:space="preserve">Effeciency for unit with economiser (but not flue gas condenser) installed. </t>
  </si>
  <si>
    <t>Values for steam boiler (see technology-specific data for differences with hot water boiler)</t>
  </si>
  <si>
    <t xml:space="preserve">Prices include boiler, firing equipment, pumps, economiser, water-treatment system, chimney and installation. </t>
  </si>
  <si>
    <t xml:space="preserve">Assuming 10 starts a year. </t>
  </si>
  <si>
    <t xml:space="preserve">For condensing boilers, efficiencies above 100% are possible, since the standard efficiency calculation using the lower heating value (LHV) as denominator. </t>
  </si>
  <si>
    <t xml:space="preserve">1 %-point higher for hot water boiler, due to assumed lower flue gas temperature. If no flue gas condenser and economiser is used, the increase will be higher. </t>
  </si>
  <si>
    <t xml:space="preserve">Hot water boiler is generally operating at lower pressure levels, so pressure vessel is cheaper. Water treatment system not necessary for hot water boiler. </t>
  </si>
  <si>
    <t xml:space="preserve">Assumes warm operation. </t>
  </si>
  <si>
    <t xml:space="preserve">Flue gas condenser not possible for oil boilers as its combustion products contain pollutants which would heavily corrode the heat exchanger surfaces if condensed. </t>
  </si>
  <si>
    <t xml:space="preserve">Relevant for hot water boiler when needing to install new hot water piping instead of existing steam piping.  </t>
  </si>
  <si>
    <t xml:space="preserve">Danish Energy Agency, Energy Plants for Electricity and District heating generation, 2016 (updated 2025) ."44 Natural Gas DH Only" </t>
  </si>
  <si>
    <t>Bosch Industrial, Personal correspondence &amp; product catalogue, 2025</t>
  </si>
  <si>
    <t>Viessmann, Personal correspondence &amp; product catalogue, 2025</t>
  </si>
  <si>
    <t>Vakklianainen, Esa. Steam Generation from Biomass. 2017. (Chapter 3, Boiler processes)</t>
  </si>
  <si>
    <t>Chen, Q., Finney, K., Li, H., Zhang, X., Zhou, J., Sharifi, V., Swithenbank, J. Condensing boiler applications in the process industry. Applied Energy, 89, 30-36, 2012</t>
  </si>
  <si>
    <t>Danstoker, Personal correspondence &amp; product catalogue, 2025</t>
  </si>
  <si>
    <t>Boiler, biomass</t>
  </si>
  <si>
    <t>[1, 4, 5]</t>
  </si>
  <si>
    <t>A, B</t>
  </si>
  <si>
    <t>A, B,  D</t>
  </si>
  <si>
    <t>K, J</t>
  </si>
  <si>
    <t xml:space="preserve"> - Using wood chips, and adding flue gas condenser (after economiser) increases efficiency by [%-point]</t>
  </si>
  <si>
    <t>F, E</t>
  </si>
  <si>
    <t xml:space="preserve"> - Using wood pellets, and adding flue gas condenser (after economiser) increases efficiency by [%-point]</t>
  </si>
  <si>
    <t>E, I</t>
  </si>
  <si>
    <t xml:space="preserve"> - Wood pellets (instead of wood chips) reduces Variable O&amp;M by [%]</t>
  </si>
  <si>
    <t>Values for wood chips (see technology-specific data for differences with wood pellets)</t>
  </si>
  <si>
    <t>Large increase in efficiency using flue gas condensen because of large water content in wood chips.</t>
  </si>
  <si>
    <t>1 %-point higher for hot water boiler, due to assumed lower flue gas temperature</t>
  </si>
  <si>
    <t>Variable O&amp;M cost includes consumables (for FGT etc.), disposal of residues, small share of staff-cost and maintenance cost</t>
  </si>
  <si>
    <t xml:space="preserve">Wood pellets have lower water content than wood chips, and therefore the advantage of using flue gas condensation is smaller. </t>
  </si>
  <si>
    <t xml:space="preserve">Assumed similar to gas and oil boiler. </t>
  </si>
  <si>
    <t>K</t>
  </si>
  <si>
    <t xml:space="preserve">Relevant for hot water boiler when needing to install new hot water piping instead of existing steam piping. </t>
  </si>
  <si>
    <t>Danish Energy Agency, Energy Plants for Electricity and District heating generation, 2016 (updated 2025) ." 09a Wood Chips HOP (heat-only plant), small"  and "09b Wood Pellets HOP"</t>
  </si>
  <si>
    <t>Tjæreborg Industri, Referenceliste for fasbrændselsanlæg (Reference list for solid fuel plants), 2024</t>
  </si>
  <si>
    <t>Danstoker product catalogue, 2025</t>
  </si>
  <si>
    <t>Boiler, coal</t>
  </si>
  <si>
    <t>[3, 4]</t>
  </si>
  <si>
    <t>A, B, C</t>
  </si>
  <si>
    <t>A, B, C,  D</t>
  </si>
  <si>
    <t>E, F</t>
  </si>
  <si>
    <t>F, H</t>
  </si>
  <si>
    <t>I, J</t>
  </si>
  <si>
    <t xml:space="preserve">Flue gas condenser not possible for coal boiler, since no water vapor is present in flue gas. </t>
  </si>
  <si>
    <t xml:space="preserve">Values estimated based on "01 Coal CHP" from ref. 1. </t>
  </si>
  <si>
    <t>Values estimated based on "09b Wood Pellets HOP"/"09a Wood Chips HOP, small" from ref. 1 (since they are solid fuels, and often the same boiler can used either biomass or coal)</t>
  </si>
  <si>
    <t xml:space="preserve">Viegand Maagøe A/S experience </t>
  </si>
  <si>
    <t xml:space="preserve">Danish Energy Agency, Energy Plants for Electricity and District heating generation, 2016 (updated 2025).  </t>
  </si>
  <si>
    <t>Direct firing, Natural gas</t>
  </si>
  <si>
    <t>[8, 9]</t>
  </si>
  <si>
    <t>Environment</t>
  </si>
  <si>
    <t>SO2 [g per GJ fuel]</t>
  </si>
  <si>
    <t>PM2.5 [g per GJ fuel]</t>
  </si>
  <si>
    <t>NOX [g per GJ fuel]</t>
  </si>
  <si>
    <t>CH4 [g per GJ fuel]</t>
  </si>
  <si>
    <t>N2O [g per GJ fuel]</t>
  </si>
  <si>
    <t>[4, 7]</t>
  </si>
  <si>
    <t xml:space="preserve"> - of which installation  [%]</t>
  </si>
  <si>
    <t>[2, 1]</t>
  </si>
  <si>
    <t>The efficiency of the burner is set equal to the lower heating value, the process will determine how well the flue gas is utilised, and thus the final efficiency.</t>
  </si>
  <si>
    <t>Unit price is based on Miton Megatherms 2.5 MW burner, installed price assessed by Viegand Maagøe.  The assessment is an experience based guess as no concrete data was retrieved.</t>
  </si>
  <si>
    <t>Assumed to be equal to 10% of the boiler O&amp;M from [1].</t>
  </si>
  <si>
    <t>The cost of auxiliary electricity consumption is calculated using the following electricity prices in €/MWh: 2020: 73, 2030: 75, 2040: 76, 2050: 76. Includes transport tarif</t>
  </si>
  <si>
    <t>The indirect costs will be too strong a function of the process to put into a single value across all industries.</t>
  </si>
  <si>
    <t>Danish Energy Agency, Technology Data Generation of Electricity and District Heating, August 2016 - Updated November 2019</t>
  </si>
  <si>
    <t>Viegand Maagøe, Direct Firing, 2018</t>
  </si>
  <si>
    <t>Danish Energy Agency, Forudsætninger for samfundsøkonomiske analyser på energiområdet, 2016</t>
  </si>
  <si>
    <t>Milton Megatherm, Correspondance 2019</t>
  </si>
  <si>
    <t>IOGP, The potential for CCS and CCU in Europe, REPORT TO THE THIRTY SECOND MEETING OF THE EUROPEAN GAS REGULATORY FORUM 5-6 JUNE 2019</t>
  </si>
  <si>
    <t>Eclipse, Vortometric Burner Series Datasheet 128-3, 20/2/2015</t>
  </si>
  <si>
    <t>Viegand Maagøe assessment, 2019</t>
  </si>
  <si>
    <t>Eclipse, Eclipse AirHeat Burners Datasheet 115-11, 30/9/2010</t>
  </si>
  <si>
    <t>Eclipse, Eclipse RatioAir Burners Datasheet 135, 21/10/2010</t>
  </si>
  <si>
    <t>Direct firing, Solid fuels</t>
  </si>
  <si>
    <t>E, G, H</t>
  </si>
  <si>
    <t>[2, 7]</t>
  </si>
  <si>
    <t>Auxilliary consumption based on gas burner as the fan power is comparable. Electricity for fuel feed systems are not included.</t>
  </si>
  <si>
    <t>Assumed to be equal to 10% of the coal boiler O&amp;M from [1]. With gaseous or liquid fuels the O&amp;M will be lower.</t>
  </si>
  <si>
    <t>Depends on the solid fuel mix used</t>
  </si>
  <si>
    <t>Unit price from FLSmidth, installed price and auxilliary equipment assessed by Viegand Maagøe.  The assessment is an experience based guess as no concrete data was retrieved.</t>
  </si>
  <si>
    <t>The burner itself can start up quickly. However, in e.g. Cement industry the process equipment will limit the startup time to between 8 (warm) and 72 (cold) hours.</t>
  </si>
  <si>
    <t>Capacity increase in multifuel burners comes with an attractive economy of scale. Going up 10 times in size will correspond toa  150% increase in pricing .</t>
  </si>
  <si>
    <t>Auxilliary systems for solid fuels has been included, these correspond to a large part of the investment and will be a function of the chosen fuel.</t>
  </si>
  <si>
    <t>Corresponds to a burner change, establishing a feed system has a longer construction period.</t>
  </si>
  <si>
    <t>FLSmidth - Burner &amp; PLM for HOTDISC, Correspondance 2019</t>
  </si>
  <si>
    <t>FCT International Burners, Correspondance 2019.</t>
  </si>
  <si>
    <t>Direct electric heating</t>
  </si>
  <si>
    <t>[6, 7]</t>
  </si>
  <si>
    <t>[5, 9]</t>
  </si>
  <si>
    <t>Nominal investment (*total) [MEUR/MW] , from last update in 2019</t>
  </si>
  <si>
    <t>E, H</t>
  </si>
  <si>
    <t>[9, 10]</t>
  </si>
  <si>
    <t>Indirect investments cost [M€ per MW]</t>
  </si>
  <si>
    <t>Non energy gains [M€ per MW]</t>
  </si>
  <si>
    <t>Temperature heat  supply, maximum [°C]</t>
  </si>
  <si>
    <t>[4, 5]</t>
  </si>
  <si>
    <t>Transformer electricity losses are not included, and the efficiency will thus be 100%.</t>
  </si>
  <si>
    <t xml:space="preserve">Auxilliary consumption estimation based on conventional industrial systems like gas burner/boilers as the fan power is comparable. </t>
  </si>
  <si>
    <t>Units are composed of multiple heating elements, each unit is installed with backup elements that can be enabled if some of the elements fail, resulting in minimal downtime and O&amp;M during the lifetime of the equipment.</t>
  </si>
  <si>
    <t>The regulation is dependant on the flow conditions and the subsequent surface temperature, the chosen value is an average.</t>
  </si>
  <si>
    <t>Unit price from San Electro Heat, installed price assessed by Viegand Maagøe. The assessment is an experience based guess as no concrete data was retrieved.</t>
  </si>
  <si>
    <t xml:space="preserve">The indirect costs will be too strong a function of the process to put into a single value across all industries. This includes site updgrades to facilitate the installation of direct firing systems. </t>
  </si>
  <si>
    <t>The electric heating element is able to adjust capacity almost instantly. The surrounding process equipment will be the limiting factor.</t>
  </si>
  <si>
    <t>The cost has been corrected for inflation.</t>
  </si>
  <si>
    <t>SAN Electro Heat A/S , Correspondance 2019</t>
  </si>
  <si>
    <t>DTU, "Electrification of processes and technologies for Danish Industry: Elforsk project 350-038", 2021</t>
  </si>
  <si>
    <t>Renewable Thermal Collaborative, "Electrification Action Plan", 2024</t>
  </si>
  <si>
    <r>
      <t xml:space="preserve">Ashabi </t>
    </r>
    <r>
      <rPr>
        <i/>
        <sz val="8"/>
        <rFont val="Calibri"/>
        <family val="2"/>
      </rPr>
      <t>et al.</t>
    </r>
    <r>
      <rPr>
        <sz val="8"/>
        <rFont val="Calibri"/>
        <family val="2"/>
      </rPr>
      <t>, "Assessing power-to-heat technologies for industrial electrification: A multi-criteria decision analysis approach", 2025</t>
    </r>
  </si>
  <si>
    <t>TNO, Technology factsheet Electric Industrial Boiler, 2018</t>
  </si>
  <si>
    <t>Energy Efficiency and Conservation Authority - New Zealand government, "Electrode and ElectricResistance Steam Generatorsand Hot Water Heaters for low carbon process heating", 2019</t>
  </si>
  <si>
    <t>Existing workbook figure — 'Other'!E3/E4 (industrial IR vendor quote)</t>
  </si>
  <si>
    <t>Cross-check — DEA direct electric firing (alternative to the resistance-heater figure in B85)</t>
  </si>
  <si>
    <t>2024$/kW-electric (low-end bound)</t>
  </si>
  <si>
    <t>Added for EPRI 1987 induction furnace cost ('NB High Temp' row 86)</t>
  </si>
  <si>
    <t>Induction heating/melting CAPEX derivation (EPRI 1987, deflated) — feeds B86</t>
  </si>
  <si>
    <t>Capital cost per furnace (1987 USD)</t>
  </si>
  <si>
    <t>Annual electricity consumption per furnace (kWh/yr)</t>
  </si>
  <si>
    <t>CAPEX per annual kWh (1987 USD)</t>
  </si>
  <si>
    <t>Equivalent CAPEX per kW-electric (2024 USD, at this workbook's full-load hours)</t>
  </si>
  <si>
    <t>Modern market cross-check (not used): new 1-tonne induction melters quote roughly $25,000-50,000 from Chinese manufacturers, typically paired with a 500-750 kW supply — very roughly $40-100/kW. Western OEM systems (Inductotherm, Ajax Tocco, Pillar) are commonly cited at 2-4x that once installation, cooling and harmonics mitigation are included, i.e. ~$80-400/kW, but that multiplier is anecdotal rather than published. This suggests the EPRI-derived figure sits at or above the top of today's market — unsurprising, since 1987 induction supplies were motor-generator/thyristor sets, whereas modern solid-state IGBT supplies are substantially cheaper in real terms. EPRI is retained as central because it is the only published, citable US figure and matches this workbook's sourcing standard; treat the modern range as the low-end sensitivity.</t>
  </si>
  <si>
    <t>EPRI 1987 (and EPRI Table B-46) — derivation at rows 98-104</t>
  </si>
  <si>
    <t>Publication year of the Electrotechnologies Reference Guide (EPRI induction cost) — used as the central dollar-year</t>
  </si>
  <si>
    <t>CAPEX per annual kWh (2024 USD) — CENTRAL, treating the figure as 2011 USD</t>
  </si>
  <si>
    <t>Upper bound — same figure read as 1987 USD (not used)</t>
  </si>
  <si>
    <t>2024$/kW-electric (upper bound)</t>
  </si>
  <si>
    <t>FOSSIL 200-500 °C: BOILER / DIRECT-FIRED DUTY BLEND (July 2026)</t>
  </si>
  <si>
    <t>Mirrors the T1 duty split in the efficiency workbooks: 55% of 200-500 °C heat is boiler-served steam, 45% direct-fired. Previously this band used a single direct-fired (oven) figure for every fossil fuel, so coal, petroleum and gas were all identical in Summary row 4 despite very different boiler costs. Boiler share source: McMillan et al. 2016 (NREL/TP-6A50-66743 / INL/EXT-16-39680) — steam boilers + CHP ≈ 70% of heat loads across the 14 most energy-intensive industries, chemicals ~40% via steam loops, pulp &amp; paper ~70% steam; offset because ~45% of US process heat is below 200 °C and steam systems top out near 250-300 °C. Suggested range 45-65%.</t>
  </si>
  <si>
    <t>Fuel</t>
  </si>
  <si>
    <t>Boiler CAPEX $/(BTU/yr)</t>
  </si>
  <si>
    <t>Direct-fired CAPEX $/(BTU/yr)</t>
  </si>
  <si>
    <t>Blended $/(BTU/yr)</t>
  </si>
  <si>
    <t>vs current flat figure</t>
  </si>
  <si>
    <t>hard coal</t>
  </si>
  <si>
    <t>petroleum products</t>
  </si>
  <si>
    <t>natural gas</t>
  </si>
  <si>
    <t>Boiler-served share of 200-500 °C heat</t>
  </si>
  <si>
    <t>SOURCE VIABILITY — read before relying on the blend above</t>
  </si>
  <si>
    <t>FLAG 2 — the direct-fired component is a COMMERCIAL BAKERY OVEN. D41 is built from installed-base-weighted commercial oven costs (deck, convection, proofer) at 4,380 operating hours — rows 1-26 above. Note that the ELECTRIC side of this band was already migrated off this same proxy (Summary!B4's note: 'Replaces the commercial-oven figure', now an industrial resistance heater), so the fossil side is the only place the commercial-oven proxy still survives. It very likely understates industrial direct-fired equipment at 200-500 °C (fired heaters, process dryers, kilns). DEA sheet '7.1 Direct firing Natural Gas' (0.0176 M€/MW ≈ 19 2024$/kW) is NOT a substitute: DEA's direct-firing sheets cover the firing system only, excluding the process vessel (see their note F on sheet 7.3), so using it would understate by roughly an order of magnitude. A genuine industrial oven/dryer or fired-heater CAPEX is still needed.</t>
  </si>
  <si>
    <t>NOTE 1 (resolved) — the boiler CAPEX inputs ARE sourced: IRENA, REmap Technology and Performance Assumptions for 2030 (2016), https://www.irena.org/-/media/Irena/Files/REmap/IRENA_REmap_2030_technology_cost.xlsx — recorded on the About tab rows 17-21, which is where this workbook keeps its references. Overnight costs 300 / 200 / 100 USD per kW for coal / petroleum / gas ('Boilers &amp; Heat Pumps' C21:C23, 2015 USD). Viable and appropriate: a published international-agency dataset on the same vintage as the file's 2015 dollar basis. Danish Energy Agency cross-check (tabs now in this workbook) broadly supports it but is not identical: '6.1 Boiler, gas and oil' = 0.09 M€/MW ≈ 97 2024$/kW against the file's ~132 2024$/kW for gas (good agreement); '6.3 Boiler, coal' = 0.565 M€/MW ≈ 611 2024$/kW against the file's ~397 (DEA ~55% higher); and DEA prices oil the same as gas whereas IRENA prices oil at twice gas. Read the IRENA values as central with DEA marking the upper end for coal — a Danish-versus-global cost-basis difference, not an error in either.</t>
  </si>
  <si>
    <t>STATUS: blend built and arithmetic verified, NOT yet wired into Summary. Summary!C4, D4, E4, F4 (and the crude/HFO/LPG rows that copy them) still all point at the single flat figure D41 = 3.178E-05. Wiring D59:D61 through would differentiate the fuels correctly and reduce this band's fossil CAPEX by 21% (coal), 32% (petroleum) and 44% (natural gas). The boiler side is now confirmed sourced (NOTE 1); the remaining weakness is the commercial-oven direct-fired proxy (FLAG 2), which affects 45% of the blend.</t>
  </si>
  <si>
    <t>Overnight capital cost (USD/kW) — IRENA REmap 2030 (see About rows 17-21)</t>
  </si>
  <si>
    <t>Plant-specific data</t>
  </si>
  <si>
    <r>
      <rPr>
        <b/>
        <sz val="10"/>
        <rFont val="Arial"/>
        <family val="2"/>
      </rPr>
      <t xml:space="preserve">Note: </t>
    </r>
    <r>
      <rPr>
        <sz val="10"/>
        <rFont val="Arial"/>
        <family val="2"/>
      </rPr>
      <t>This sheet lists the central sources for deriving the default values for the specific quantities used for the technologies under consideration. The reference value is the thermal production of one MWh.</t>
    </r>
  </si>
  <si>
    <t>Natural gas steam boiler</t>
  </si>
  <si>
    <t>Default calculated value</t>
  </si>
  <si>
    <t>Comment</t>
  </si>
  <si>
    <t>Energy usage</t>
  </si>
  <si>
    <t>Natural gas</t>
  </si>
  <si>
    <t>Calculation based on MHPS (2019)</t>
  </si>
  <si>
    <t>MWh/MWhth</t>
  </si>
  <si>
    <t>Perfomance</t>
  </si>
  <si>
    <t>Heat output</t>
  </si>
  <si>
    <t>MHPS</t>
  </si>
  <si>
    <t>MWth</t>
  </si>
  <si>
    <t>Fuel consumption</t>
  </si>
  <si>
    <t>Efficiency</t>
  </si>
  <si>
    <t>Costs</t>
  </si>
  <si>
    <t>Full load hours</t>
  </si>
  <si>
    <t>h</t>
  </si>
  <si>
    <t>Capex</t>
  </si>
  <si>
    <t>MHPS (2019)</t>
  </si>
  <si>
    <t>€/a</t>
  </si>
  <si>
    <t>15% Capex</t>
  </si>
  <si>
    <t>€/kW</t>
  </si>
  <si>
    <t xml:space="preserve">Opex </t>
  </si>
  <si>
    <t>fix</t>
  </si>
  <si>
    <t>maintenance costs</t>
  </si>
  <si>
    <t>€/MWhth (3% CAPEX)</t>
  </si>
  <si>
    <t>staff</t>
  </si>
  <si>
    <t>€/a (2% CAPEX)</t>
  </si>
  <si>
    <t>maintenance costs and stuff</t>
  </si>
  <si>
    <t>€/MWhth</t>
  </si>
  <si>
    <t>Natural gas CHP</t>
  </si>
  <si>
    <t xml:space="preserve">Konstantin P. (2017) </t>
  </si>
  <si>
    <t>Calculation based on Ramboll (2020)</t>
  </si>
  <si>
    <t>Electricity output</t>
  </si>
  <si>
    <t>Ramboll (2020)</t>
  </si>
  <si>
    <t>MW</t>
  </si>
  <si>
    <t>Specific natural gas consumption</t>
  </si>
  <si>
    <t>Performance indicators</t>
  </si>
  <si>
    <t>CHP total</t>
  </si>
  <si>
    <t>Thermal</t>
  </si>
  <si>
    <t>Electricity ratio</t>
  </si>
  <si>
    <t>kWel/kWth</t>
  </si>
  <si>
    <t>Ratio of the electricity generated by extracted heat in relation to the amount of extracted heat</t>
  </si>
  <si>
    <t>Full usage hours</t>
  </si>
  <si>
    <t>FOB 400MW</t>
  </si>
  <si>
    <t>Konstantin P.(2017)</t>
  </si>
  <si>
    <t>€/KW</t>
  </si>
  <si>
    <t>FOB 200MW</t>
  </si>
  <si>
    <t>FOB 100MW</t>
  </si>
  <si>
    <t>Transport</t>
  </si>
  <si>
    <t>Surcharge on FOB</t>
  </si>
  <si>
    <t>Component</t>
  </si>
  <si>
    <t>Miscellaneous</t>
  </si>
  <si>
    <t>specific total</t>
  </si>
  <si>
    <t>€/MWh or €/MW</t>
  </si>
  <si>
    <t>approx. 2% of the total investment sum</t>
  </si>
  <si>
    <t>Electric boiler</t>
  </si>
  <si>
    <t>Range - low</t>
  </si>
  <si>
    <t>Range - high</t>
  </si>
  <si>
    <t xml:space="preserve">Default calculated value </t>
  </si>
  <si>
    <t>comment</t>
  </si>
  <si>
    <t xml:space="preserve">Electricity </t>
  </si>
  <si>
    <t>Agora (2019)</t>
  </si>
  <si>
    <t>MWhel/MWhth</t>
  </si>
  <si>
    <t>Utilization extent</t>
  </si>
  <si>
    <t>AGFW (2020)</t>
  </si>
  <si>
    <t>Steam parameters</t>
  </si>
  <si>
    <t>Pressure</t>
  </si>
  <si>
    <t>bar</t>
  </si>
  <si>
    <t>FFE</t>
  </si>
  <si>
    <t>without super heater</t>
  </si>
  <si>
    <t>Temperature</t>
  </si>
  <si>
    <t>°C</t>
  </si>
  <si>
    <t>&gt;230</t>
  </si>
  <si>
    <t>can be reached by downstream electric flow heaters</t>
  </si>
  <si>
    <t xml:space="preserve">Capex </t>
  </si>
  <si>
    <t>Average range</t>
  </si>
  <si>
    <t>Integration factor for system integration costs</t>
  </si>
  <si>
    <t>Estimated surcharge to take the additional costs into account for system integration and grid connection</t>
  </si>
  <si>
    <t xml:space="preserve">resulting CAPEX taking the integration factor into account </t>
  </si>
  <si>
    <t>Default value times integration factor for system integration</t>
  </si>
  <si>
    <t>€/kWel</t>
  </si>
  <si>
    <t>additional grid connection for new systems</t>
  </si>
  <si>
    <t>Agora (2019)/AGFW (2020)</t>
  </si>
  <si>
    <t>2% Capex/year</t>
  </si>
  <si>
    <t>High temperature heat pump (HT-WP) 80-100°C</t>
  </si>
  <si>
    <t>Pieper et al (2018)</t>
  </si>
  <si>
    <t>EHPA (2019)</t>
  </si>
  <si>
    <r>
      <t>Heat output Q</t>
    </r>
    <r>
      <rPr>
        <sz val="8"/>
        <color theme="1"/>
        <rFont val="Aptos Narrow"/>
        <family val="2"/>
        <scheme val="minor"/>
      </rPr>
      <t>ab</t>
    </r>
  </si>
  <si>
    <r>
      <t>MW</t>
    </r>
    <r>
      <rPr>
        <sz val="8"/>
        <color theme="1"/>
        <rFont val="Aptos Narrow"/>
        <family val="2"/>
        <scheme val="minor"/>
      </rPr>
      <t>th</t>
    </r>
  </si>
  <si>
    <r>
      <t>MW</t>
    </r>
    <r>
      <rPr>
        <sz val="8"/>
        <color theme="0" tint="-0.249977111117893"/>
        <rFont val="Aptos Narrow"/>
        <family val="2"/>
        <scheme val="minor"/>
      </rPr>
      <t>th</t>
    </r>
  </si>
  <si>
    <t>2 x 4510kw</t>
  </si>
  <si>
    <t>Electrical input power Pel</t>
  </si>
  <si>
    <r>
      <t>MW</t>
    </r>
    <r>
      <rPr>
        <sz val="8"/>
        <color theme="1"/>
        <rFont val="Aptos Narrow"/>
        <family val="2"/>
        <scheme val="minor"/>
      </rPr>
      <t>el</t>
    </r>
  </si>
  <si>
    <t>(Compressor)</t>
  </si>
  <si>
    <r>
      <t>MW</t>
    </r>
    <r>
      <rPr>
        <sz val="8"/>
        <color theme="0" tint="-0.249977111117893"/>
        <rFont val="Aptos Narrow"/>
        <family val="2"/>
        <scheme val="minor"/>
      </rPr>
      <t>el</t>
    </r>
  </si>
  <si>
    <t>Process parameters</t>
  </si>
  <si>
    <t>Source temperature</t>
  </si>
  <si>
    <t>Arpagaus (2019)</t>
  </si>
  <si>
    <t>Practical example Ochsner</t>
  </si>
  <si>
    <t>typical range industrial waste heat</t>
  </si>
  <si>
    <t>Sink temperature</t>
  </si>
  <si>
    <t>Dehli (2020)/IER 2017</t>
  </si>
  <si>
    <t>max for new synthetic refrigerants and high-pressure compressors -&gt; prospectively 130 °C/ 160 supercritical</t>
  </si>
  <si>
    <t>COP</t>
  </si>
  <si>
    <t>=Qab/Pel</t>
  </si>
  <si>
    <t>EPHA (2019)</t>
  </si>
  <si>
    <t>VDE (2015)</t>
  </si>
  <si>
    <t>Range dependent on temperature lift</t>
  </si>
  <si>
    <t>Dehli (2020)</t>
  </si>
  <si>
    <t>0,5 - 1 MW</t>
  </si>
  <si>
    <t>AGFW (2020)a</t>
  </si>
  <si>
    <t>million €/MWth</t>
  </si>
  <si>
    <t>1 - 4 MW</t>
  </si>
  <si>
    <t>4 - 10 MW</t>
  </si>
  <si>
    <t>Mean range as default value calculator, multiplied by integration factor for system integration</t>
  </si>
  <si>
    <t>0,5 MW</t>
  </si>
  <si>
    <t>IER 2017</t>
  </si>
  <si>
    <t>€/kWth</t>
  </si>
  <si>
    <t>including installation</t>
  </si>
  <si>
    <t>10 MW</t>
  </si>
  <si>
    <t>Additional costs for system integration.</t>
  </si>
  <si>
    <t>Average range 4-10 MW heat pump times integration factor for system integration.</t>
  </si>
  <si>
    <t>Capex differentiated</t>
  </si>
  <si>
    <t>HP and installation</t>
  </si>
  <si>
    <t>development of heat source</t>
  </si>
  <si>
    <t>heavily dependent on the type of source</t>
  </si>
  <si>
    <t>construction</t>
  </si>
  <si>
    <t>electrical conectivity</t>
  </si>
  <si>
    <t>10kV medium voltage</t>
  </si>
  <si>
    <t>planning</t>
  </si>
  <si>
    <t xml:space="preserve">%/a </t>
  </si>
  <si>
    <t>Servicing, maintenance, personnel, lease costs</t>
  </si>
  <si>
    <t>Calculation</t>
  </si>
  <si>
    <t>Average range as default value</t>
  </si>
  <si>
    <t>Very high temperature heat pump (VHT-WP) 100-180°C</t>
  </si>
  <si>
    <t>VI-SGW</t>
  </si>
  <si>
    <t>MWhel/t</t>
  </si>
  <si>
    <t>only HP, not vapor compressor</t>
  </si>
  <si>
    <t>ECN 2019</t>
  </si>
  <si>
    <t>Available on the market</t>
  </si>
  <si>
    <t>MW el</t>
  </si>
  <si>
    <t>Advance exhaust heat</t>
  </si>
  <si>
    <t>ECN (2019)</t>
  </si>
  <si>
    <t>with vapor compressor</t>
  </si>
  <si>
    <t>Vapor pressure</t>
  </si>
  <si>
    <t>Overall efficiency of the system including vapor compressor</t>
  </si>
  <si>
    <t>Range</t>
  </si>
  <si>
    <t>dependent on temperature rise</t>
  </si>
  <si>
    <t>Eta</t>
  </si>
  <si>
    <t>Partial efficiency of the HP</t>
  </si>
  <si>
    <t>mio €</t>
  </si>
  <si>
    <t>+-20%</t>
  </si>
  <si>
    <t>mio€/MW</t>
  </si>
  <si>
    <t>Default value calculator, times integration factor 1.5 for system integration</t>
  </si>
  <si>
    <t>Estimated surcharge to take into account the additional costs for system integration</t>
  </si>
  <si>
    <t>&lt;200</t>
  </si>
  <si>
    <t>excluding integration</t>
  </si>
  <si>
    <t>maintenance (LTSA)</t>
  </si>
  <si>
    <t>GAS FIRED HEATER, 500-1000 °C (Turton et al.) — replaces the glass-furnace proxy for this band</t>
  </si>
  <si>
    <t>Exemplar selected: NON-REACTIVE FIRED HEATER from the Turton purchased-cost chart (see 'Turton' tab). This is the correct duty for the 500-1000 °C band, which the efficiency workbooks show is dominated by chemicals and refining fired heaters (process fluid heated without reaction) plus metal reheat. The chart's Reformer and Pyrolysis Furnace curves are reactive high-temperature units (steam reforming ~800-900 °C, steam cracking ~850 °C) and sit in the &gt;1000 °C population instead; its Steam Boiler and Hot Water Heater curves are boiler duty already covered on the 'Boilers &amp; Heat Pumps' tab.</t>
  </si>
  <si>
    <t>Representative duty</t>
  </si>
  <si>
    <t>kW duty</t>
  </si>
  <si>
    <t>Purchased cost per unit duty, read from chart at that duty</t>
  </si>
  <si>
    <t>2001$/kW duty (purchased)</t>
  </si>
  <si>
    <t>CEPCI escalation, Sept 2001 to 2024</t>
  </si>
  <si>
    <t>Bare-module (installation) factor</t>
  </si>
  <si>
    <t>Installed cost per unit duty</t>
  </si>
  <si>
    <t>2024$/kW duty (installed)</t>
  </si>
  <si>
    <t>MECS Row Adder</t>
  </si>
  <si>
    <t>MECS/Non-MECS</t>
  </si>
  <si>
    <t>Industry Category</t>
  </si>
  <si>
    <t>Boilers</t>
  </si>
  <si>
    <t>Nonboiler heat</t>
  </si>
  <si>
    <t>Cooling</t>
  </si>
  <si>
    <t>Other process</t>
  </si>
  <si>
    <t>Facility HVAC</t>
  </si>
  <si>
    <t>Facility Lighting</t>
  </si>
  <si>
    <t>Other Nonprocess</t>
  </si>
  <si>
    <t>Notes</t>
  </si>
  <si>
    <t>uses non-MECS EIA table</t>
  </si>
  <si>
    <t>agriculture and forestry 01T03</t>
  </si>
  <si>
    <t>Buildings is assumed to be heating for barns and greenhouses, which is process heating, not non-process heating, when it is for animals or plants in agriculture.  IRR = irrigation, which is assumed to be machine drive (for pumps). Also, we count municipal solid waste (which is not broken out as an industrial fuel in the EPS) as biomass.</t>
  </si>
  <si>
    <t>coal mining 05</t>
  </si>
  <si>
    <t>Electricity and diesel use are assumed to be machine drive (mining equipment, elevators, pumps, etc.)  Natural gas is assumed to provide process heat.</t>
  </si>
  <si>
    <t>oil and gas extraction 06</t>
  </si>
  <si>
    <t>Electricity and diesel use are assumed to be machine drive (mining equipment, elevators, pumps, etc.)  Other fuels are assumed to provide process heat.</t>
  </si>
  <si>
    <t>other mining and quarrying 07T08</t>
  </si>
  <si>
    <t>MECS</t>
  </si>
  <si>
    <t>food beverage and tobacco 10T12</t>
  </si>
  <si>
    <t>textiles apparel and leather 13T15</t>
  </si>
  <si>
    <t>wood products 16</t>
  </si>
  <si>
    <t>pulp paper and printing 17T18</t>
  </si>
  <si>
    <t>For biomass, we assume energy use is split evenly between boilers and non-boiler process heating (such as drying).</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</si>
  <si>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</si>
  <si>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</si>
  <si>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</si>
  <si>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</si>
  <si>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</si>
  <si>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</si>
  <si>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</si>
  <si>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</si>
  <si>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</si>
  <si>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</si>
  <si>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</si>
  <si>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</si>
  <si>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</si>
  <si>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</si>
  <si>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see notes below</t>
  </si>
  <si>
    <t>energy pipelines and gas processing 352T353</t>
  </si>
  <si>
    <t>The energy here is assumed to be largely pipelines, not natural gas processing.  Energy use is dominated by pumps to move fluid, which is machine drive.</t>
  </si>
  <si>
    <t>water and waste 36T39</t>
  </si>
  <si>
    <t>See notes below on this sheet.</t>
  </si>
  <si>
    <t>construction 41T43</t>
  </si>
  <si>
    <t>Electricity and diesel use are assumed to be machine drive (construction equipment).  Other fuels are assumed to provide process heat.</t>
  </si>
  <si>
    <t>Note on MECS Rows / Categories</t>
  </si>
  <si>
    <t>In cases where the EPS industry category is the sum of several MECS categories, we just take the most representative and/or largest MECS category,</t>
  </si>
  <si>
    <t xml:space="preserve">Note: "other nonprocess" covers several categories, as you can see in Table 5.2: in MECS, it sums </t>
  </si>
  <si>
    <t>which simplifies the formulas greatly and shouldn't meaningfully affect the results, as all we care about here are the percentages of energy use by industrial process,</t>
  </si>
  <si>
    <t>onsite transportation, facility support, and onsite electricity generation (e.g., generators).</t>
  </si>
  <si>
    <t>not the total quantities of energy use.</t>
  </si>
  <si>
    <t>For non-manufacturing industries, the biggest contributor is mobile equipment like agricultural</t>
  </si>
  <si>
    <t>Note on Excluded Energy Uses</t>
  </si>
  <si>
    <t>tractors, offroad construction equipment and mobile mining equipment. The file indst/PoONEUTiMEbIC</t>
  </si>
  <si>
    <t>Nonprocess uses (building HVAC, on-site vehicles like farm vehicles and forklifts) are omitted.</t>
  </si>
  <si>
    <t>defines the share of other nonprocess equipment is mobile equipment. This is important because</t>
  </si>
  <si>
    <t>Heating barns and greenhouses to grow animals and plants is considered a process use, not a non-process use, even though it is heating of buildings.</t>
  </si>
  <si>
    <t>both the technologies and policies for decarbonizing as well as the costs of these sources are quite</t>
  </si>
  <si>
    <t>different from stationary equipment.</t>
  </si>
  <si>
    <t>Note on Water and Waste Industry</t>
  </si>
  <si>
    <t>Solid waste is dominated by vehicles (waste hauling trucks), which are considered nonprocess uses and are excluded.</t>
  </si>
  <si>
    <t>Water treatment is mostly electricity, but fossil fuels are sometimes used for multi-effect distillation and flash distillation,</t>
  </si>
  <si>
    <t>both of which involve boiling water.  Since the fuel is being used to boil water, we categorize it as "boilers," even if the</t>
  </si>
  <si>
    <t>equipment involved may not techically be a "boiler."</t>
  </si>
  <si>
    <t>See Figure 8 on page 28 of the IEA Water-Energy Nexus report (2016) and the "Thermal" explanation on page 36, at:</t>
  </si>
  <si>
    <t>https://iea.blob.core.windows.net/assets/e4a7e1a5-b6ed-4f36-911f-b0111e49aab9/WorldEnergyOutlook2016ExcerptWaterEnergyNexus.pdf</t>
  </si>
  <si>
    <t>We arbitrarily assign "1" to boilers and "0" to other rows to achieve a 100% value for boilers.</t>
  </si>
  <si>
    <t>For electricity, energy use is dominated by pumping and water transfer, which is machine drive, and even treatment steps use electricity for machine drive.</t>
  </si>
  <si>
    <t>Temperature mapping</t>
  </si>
  <si>
    <t>Share of all energy for heat at various temp bands</t>
  </si>
  <si>
    <t>Share of all industry boiler/nonboiler heat</t>
  </si>
  <si>
    <t>&lt; 100°C</t>
  </si>
  <si>
    <t>100-200°C</t>
  </si>
  <si>
    <t>200-500°C</t>
  </si>
  <si>
    <t>500-1000°C</t>
  </si>
  <si>
    <t>&gt; 1000°C</t>
  </si>
  <si>
    <t>QTR PH loss share (Ref 36)</t>
  </si>
  <si>
    <t>* from indst/BPFUbIP file</t>
  </si>
  <si>
    <t>REHEAT / METAL-HEATING FURNACE, &gt;1000 °C (Turton, non-reactive fired heater read at reheat scale)</t>
  </si>
  <si>
    <t>Purchased cost per unit duty at that duty</t>
  </si>
  <si>
    <t>Fossil delivered efficiency, &gt;1000 °C — coal / petroleum / natural gas</t>
  </si>
  <si>
    <t>Reheat furnace CAPEX per annual fuel BTU — coal / petroleum / natural gas</t>
  </si>
  <si>
    <t>&gt;1000 °C EXEMPLAR WEIGHTS BY FUEL (from 'indst-BPFUbIP' fuel × industry heat × &gt;1000 °C fraction)</t>
  </si>
  <si>
    <t>Method: for each fuel, industry &gt;1000 °C heat = (Boilers + Nonboiler heat) from 'indst-BPFUbIP' × that industry's &gt;1000 °C temperature fraction from 'indst heat consumption' column H. Weights are then normalised within each fuel, so each fuel is represented by the technologies that actually consume it in this band rather than by a single exemplar.</t>
  </si>
  <si>
    <t>Industry</t>
  </si>
  <si>
    <t>&gt;1000 frac</t>
  </si>
  <si>
    <t>Coal &gt;1000 heat</t>
  </si>
  <si>
    <t>Petro &gt;1000 heat</t>
  </si>
  <si>
    <t>Gas &gt;1000 heat</t>
  </si>
  <si>
    <t>Exemplar group</t>
  </si>
  <si>
    <t>glass</t>
  </si>
  <si>
    <t>glass furnace</t>
  </si>
  <si>
    <t>cement &amp; other nonmetallic minerals</t>
  </si>
  <si>
    <t>cement kiln</t>
  </si>
  <si>
    <t>iron &amp; steel — reheat / anneal / forge portion</t>
  </si>
  <si>
    <t>reheat furnace</t>
  </si>
  <si>
    <t>iron &amp; steel — blast furnace stoves, sinter &amp; lime portion</t>
  </si>
  <si>
    <t>cement kiln (proxy for large continuous process)</t>
  </si>
  <si>
    <t>other metals + metal products + misc manufacturing</t>
  </si>
  <si>
    <t>Iron &amp; steel reheat share of its &gt;1000 °C heat</t>
  </si>
  <si>
    <t>glass furnace wt</t>
  </si>
  <si>
    <t>cement-kiln group wt</t>
  </si>
  <si>
    <t>reheat furnace wt</t>
  </si>
  <si>
    <t>Current figure</t>
  </si>
  <si>
    <t>Change</t>
  </si>
  <si>
    <t>NOTE on exemplar dollar bases: the glass-furnace (F56) and cement-kiln (F45) exemplars are used as their existing $/(BTU/yr) values, which embed the fuel efficiency of the plant each was costed from (gas-fired glass furnace, coal-fired cement kiln). Only the reheat-furnace exemplar is recomputed per fuel (row 126). This is a minor inconsistency — strictly, each exemplar should be carried as $/kW of duty and divided by the consuming fuel's own efficiency — but it is small relative to the weighting correction this block delivers, and both exemplars are already applied to the fuel they were costed for in the dominant cases (coal→cement, gas→glass).</t>
  </si>
  <si>
    <t>Agora 2019 electric boiler CAPEX ('NB High Temp' B84)</t>
  </si>
  <si>
    <t>Agora Energiewende (2019) mean €175/kW — 'Agora' tab row 95; DEA '5.1b' retained as low bound</t>
  </si>
  <si>
    <t>Check the heat pump capex against other sources (kWth vs kWheat?)</t>
  </si>
  <si>
    <t>Historical Consumer Price Index for All Urban Consumers (CPI-U): U.S. city average, all items, index</t>
  </si>
  <si>
    <t>averages — Continued</t>
  </si>
  <si>
    <t>[1982-84=100, unless otherwise noted]</t>
  </si>
  <si>
    <t>Semiannual averages</t>
  </si>
  <si>
    <t>Annual avg.</t>
  </si>
  <si>
    <t>Percent change from previous</t>
  </si>
  <si>
    <t>Multiply by to get 2012 Dollars</t>
  </si>
  <si>
    <t>1st half</t>
  </si>
  <si>
    <t>2nd half</t>
  </si>
  <si>
    <t>Dec.</t>
  </si>
  <si>
    <t>1968............................................................................. .</t>
  </si>
  <si>
    <t>–</t>
  </si>
  <si>
    <t>1969............................................................................. .</t>
  </si>
  <si>
    <t>1970............................................................................. .</t>
  </si>
  <si>
    <t>1971............................................................................. .</t>
  </si>
  <si>
    <t>1972............................................................................. .</t>
  </si>
  <si>
    <t>1973............................................................................. .</t>
  </si>
  <si>
    <t>1974............................................................................. .</t>
  </si>
  <si>
    <t>1975............................................................................. .</t>
  </si>
  <si>
    <t>1976............................................................................. .</t>
  </si>
  <si>
    <t>1977............................................................................. .</t>
  </si>
  <si>
    <t>1978............................................................................. .</t>
  </si>
  <si>
    <t>1979............................................................................. .</t>
  </si>
  <si>
    <t>1980............................................................................. .</t>
  </si>
  <si>
    <t>1981............................................................................. .</t>
  </si>
  <si>
    <t>1982............................................................................. .</t>
  </si>
  <si>
    <t>1983............................................................................. .</t>
  </si>
  <si>
    <t>1984............................................................................. .</t>
  </si>
  <si>
    <t>1985............................................................................. .</t>
  </si>
  <si>
    <t>1986............................................................................. .</t>
  </si>
  <si>
    <t>1987............................................................................. .</t>
  </si>
  <si>
    <t>1988............................................................................. .</t>
  </si>
  <si>
    <t>1989............................................................................. .</t>
  </si>
  <si>
    <t>1990............................................................................. .</t>
  </si>
  <si>
    <t>1991............................................................................. .</t>
  </si>
  <si>
    <t>1992............................................................................. .</t>
  </si>
  <si>
    <t>1993............................................................................. .</t>
  </si>
  <si>
    <t>1994............................................................................. .</t>
  </si>
  <si>
    <t>1995............................................................................. .</t>
  </si>
  <si>
    <t>1996............................................................................. .</t>
  </si>
  <si>
    <t>1997............................................................................. .</t>
  </si>
  <si>
    <t>1998............................................................................. .</t>
  </si>
  <si>
    <t>1999............................................................................. .</t>
  </si>
  <si>
    <t>2000............................................................................. .</t>
  </si>
  <si>
    <t>2001............................................................................. .</t>
  </si>
  <si>
    <t>2002............................................................................. .</t>
  </si>
  <si>
    <t>2003............................................................................. .</t>
  </si>
  <si>
    <t>2004............................................................................. .</t>
  </si>
  <si>
    <t>2005............................................................................. .</t>
  </si>
  <si>
    <t>2006............................................................................. .</t>
  </si>
  <si>
    <t>2007............................................................................. .</t>
  </si>
  <si>
    <t>2008............................................................................. .</t>
  </si>
  <si>
    <t>2009............................................................................. .</t>
  </si>
  <si>
    <t>2010............................................................................. .</t>
  </si>
  <si>
    <t>2011............................................................................. .</t>
  </si>
  <si>
    <t>2012............................................................................. .</t>
  </si>
  <si>
    <t>2013............................................................................. .</t>
  </si>
  <si>
    <t>2014............................................................................. .</t>
  </si>
  <si>
    <t>2015............................................................................. .</t>
  </si>
  <si>
    <t>2016............................................................................. .</t>
  </si>
  <si>
    <t>2017............................................................................. .</t>
  </si>
  <si>
    <t>2018............................................................................. .</t>
  </si>
  <si>
    <t>2019............................................................................. .</t>
  </si>
  <si>
    <t>2020............................................................................. .</t>
  </si>
  <si>
    <t>2021............................................................................. .</t>
  </si>
  <si>
    <t>2022............................................................................. .</t>
  </si>
  <si>
    <t>2023............................................................................. .</t>
  </si>
  <si>
    <t>2024............................................................................. .</t>
  </si>
  <si>
    <t>2025............................................................................. .</t>
  </si>
  <si>
    <t>SCALE AND INSTALLATION JUDGMENTS (decided July 2026, analyst's call): representative duties of 20 MW for the 500-1000 °C fired heater and 50 MW for the &gt;1000 °C reheat furnace, and a bare-module factor of 2.2 throughout. Rationale — refinery and petrochemical fired heaters commonly run 10-50 MW and the 500-1000 °C band also contains smaller chemical, food and dryer duty, so 20 MW is a fair central; steel reheat furnaces run 20-100 MW, so 50 MW is central for that band and correctly places reheat at a lower unit cost than the smaller fired heater. The 2.2 bare-module factor is Turton's own value for fired heaters in carbon steel at near-atmospheric pressure, and is required because every other exemplar in this workbook is an installed rather than purchased cost. SENSITIVITY: duty spans roughly 2x on these curves and the bare-module factor spans 2.0-2.5, so the combined uncertainty on both Turton-derived exemplars is roughly 3x. They drive the 500-1000 °C gas figure and about two-thirds of the &gt;1000 °C blend.</t>
  </si>
  <si>
    <t>PROXY, documented: the Turton chart's lower panel is titled 'Furnace' and its Non-Reactive Fired Heater curve is therefore a fired-furnace cost, not a fluid-heater-only cost. Read at steel reheat scale it stands in for reheat, annealing and metal-melting furnaces. Its Reformer and Pyrolysis Furnace curves are NOT used: in this model's temperature profile, chemicals and refining have zero heat above 1000 °C, so reactive chemical furnaces do not appear in this band. SOURCE SEARCH CLOSED (July 2026): LBNL-4779E, 'Energy Efficiency Improvement and Cost Saving Opportunities for the U.S. Iron and Steel Industry' (Worrell et al.), was checked and does NOT contain a whole-furnace capital cost — it reports retrofit measure costs only (turbulators $10-15 per boiler tube, ladle heaters $70,000, Tundish heater-dryer $45,000, EAF transformer retrofit $1.1M) and discusses walking-beam furnaces only qualitatively. Retrofit measure costs are not substitutable for equipment capital cost, so the Turton proxy is retained.</t>
  </si>
  <si>
    <t>Delivered efficiency, 500-1000 °C — coal / petroleum / natural gas</t>
  </si>
  <si>
    <t>Installed cost per unit fuel input — coal / petroleum / natural gas</t>
  </si>
  <si>
    <t>Fired heater CAPEX per annual fuel BTU, 500-1000 °C — coal / petroleum / natural gas</t>
  </si>
  <si>
    <t>Cross-check: gas value versus the glass-furnace figure it replaces</t>
  </si>
  <si>
    <t>Commercial-oven escalation, 2016 → 2024 USD</t>
  </si>
  <si>
    <t>Glass-furnace escalation, 2004 → 2024 USD</t>
  </si>
  <si>
    <t>REVISION LOG — July 2026: technology blends and efficiency alignment</t>
  </si>
  <si>
    <t>Purpose. Two companion workbooks (start-year and minimum industrial equipment unit energy factors) were revised to move electric process heat off a flat 99% conversion efficiency onto technology-mix-weighted DELIVERED efficiencies. This workbook was updated to match on two fronts: (a) fossil boiler efficiencies aligned to the same HHV basis, and (b) single-technology exemplars replaced by technology blends for every process-heat band.</t>
  </si>
  <si>
    <t>BASIS CONFIRMED — no efficiency adjustment needed to electric CAPEX. This workbook expresses cost per unit of annual INPUT energy throughout (the heat-pump block states this explicitly; the resistance heater divides $/kW by full-load hours; the fossil boilers divide heat output by conversion efficiency). Because the EPS multiplies these figures by annual energy use, and the revised unit energy factors already raised that energy use, total equipment cost scales correctly on its own. Only the technology MIX needed changing.</t>
  </si>
  <si>
    <t>R1 — Fossil boiler efficiencies ('Boilers &amp; Heat Pumps' E21:E23) changed from 90% / 85% / 95% (coal / petroleum / gas) to 90.3% / 89.2% / 85.7%, per US DOE AMO Steam Tip Sheet #15 Table 2 (HHV, boiler with economizer or air preheater, 3% O2). The previous set produced the wrong fuel ordering: on an HHV basis coal beats oil beats gas, because hydrogen-rich fuels lose more unrecoverable latent heat up the stack. Same correction was made in both efficiency workbooks. Effect: gas boiler CAPEX per unit annual input energy falls ~10%, petroleum ~5%.</t>
  </si>
  <si>
    <t>R2 — Electric process heat 200-1000 °C is now a technology blend rather than a single resistance heater ('NB High Temp' rows 80-105). Mix matches the efficiency workbooks: 200-500 °C = electric boiler 55% / resistance oven 30% / induction 5% / infrared 10%; 500-1000 °C = resistance furnace 55% / induction 40% / infrared 5%. Component CAPEX per kW of electrical input: electric boiler $232 (Agora Energiewende 2019 mean €175/kW, escalated); resistance heater $258 (Reinert et al. 2025, 238 €/kW); induction $365 (EPRI, $600,000 per furnace consuming 12 million kWh/yr); infrared $158 (existing vendor quote on the 'Other' tab). Net effect: 200-500 °C −7%, 500-1000 °C +15% — opposite directions, because the lower band is boiler-heavy and the upper band is induction-heavy.</t>
  </si>
  <si>
    <t>R3 — Fossil 200-500 °C is now a 55% boiler-served / 45% direct-fired duty blend per fuel ('NB Medium Temp' rows 56-68), matching the duty split in the efficiency workbooks. Previously every fossil fuel in this band shared one commercial-oven figure, so coal, petroleum and gas were identical despite very different boiler costs. They now differ correctly.</t>
  </si>
  <si>
    <t>R4 — Fossil 500-1000 °C now uses a NON-REACTIVE FIRED HEATER ('NB High Temp' rows 107-118), read from the Turton purchased-cost chart at 20 MW, escalated by CEPCI 397 (Sept 2001) to 800 (2024) and multiplied by a 2.2 bare-module factor, then divided by each fuel's own delivered efficiency. Replaces the glass melting furnace for gas and the cement kiln for coal — both &gt;1000 °C technologies that were being reused in a band actually dominated by chemicals and refining fired heaters.</t>
  </si>
  <si>
    <t>R5 — Fossil &gt;1000 °C is now an exemplar blend weighted by each fuel's OWN industry usage ('NB High Temp' rows 120-146), derived from 'indst-BPFUbIP' fuel × industry heat × the &gt;1000 °C temperature fraction on 'indst heat consumption'. Previously each fuel was assigned a single exemplar, which made coal appear 4.5x cheaper than gas purely because coal was costed as a cement kiln and gas as a glass furnace. Resulting weights: coal 97% cement-kiln group / 3% reheat; gas 51% reheat / 36% cement-kiln group / 13% glass. Iron &amp; steel's band heat is split 55% reheat-furnace duty and 45% blast-furnace stoves, sinter and lime (the latter assigned the cement-kiln exemplar for its very high continuous throughput) — the 38.7% steel share is NOT all reheat. Petroleum has essentially no &gt;1000 °C heat and borrows the gas weights with its own efficiency.</t>
  </si>
  <si>
    <t>R6 — Dollar-year consistency. The output tab (IECCpUAEU) applies a per-cell CPI-U deflator matched to each source's dollar year. Because the sources changed, the commercial-oven component was escalated 2016→2024 ('NB Medium Temp' B64) and the glass-furnace exemplar 2004→2024 ('NB High Temp' B146), putting every revised blend on a 2024 USD basis; the deflator on all revised output cells was then switched to About!C130 (2024→2012). A full CPI-U series was added on the 'cpi' tab and the 1987 / 2011 / 2019 rows used here are linked to it. Note CEPCI, not CPI-U, is used for the Turton equipment escalation, as it is the standard index for process-plant equipment.</t>
  </si>
  <si>
    <t>R7 — LPG rows in the Summary tab (J4:J6) were repointed from petroleum to natural gas. LPG is a gaseous fuel burned in gas-type equipment and both efficiency workbooks treat it as following natural gas; the previous pointer was invisible while all fossil fuels shared one figure per band.</t>
  </si>
  <si>
    <t>SOURCES ADDED THIS REVISION</t>
  </si>
  <si>
    <t>Agora Energiewende (2019) — electric/electrode steam boiler CAPEX €100-250/kW, mean €175/kW. Pasted on the 'Agora' tab, row 95. Used for the electric-boiler component of the 200-500 °C electric blend.</t>
  </si>
  <si>
    <t>Danish Energy Agency, Technology Data for Industrial Process Heat — tabs 1.1 to 7.3 in this workbook. Used as cross-checks: '5.1b Electric boiler steam' 0.11 M€/MW (low bound for the electric boiler); '6.1 Boiler, gas and oil' 0.09 M€/MW and '6.3 Boiler, coal' 0.565 M€/MW (cross-check on the IRENA boiler costs); '7.3 Direct electric firing' 0.07 M€/MW (low bound for resistance heating). Note DEA's direct-firing sheets (7.1-7.3) price the FIRING SYSTEM only and exclude the process vessel, so they cannot substitute for whole-furnace exemplars.</t>
  </si>
  <si>
    <t>Turton et al., Analysis, Synthesis and Design of Chemical Processes — purchased-cost charts for fired heaters and furnaces, $/kW of duty versus duty, CEPCI = 397 (Sept 2001). Chart image on the 'Turton' tab. Used for the 500-1000 °C fired heater and the &gt;1000 °C reheat furnace.</t>
  </si>
  <si>
    <t>EPRI (1987), via the Electrotechnologies Energy Efficiency Reference Guide (2011) Table B-46 — induction furnace $600,000 for 12 million kWh/yr. Treated as 2011 USD (publication year) rather than 1987; see 'NB High Temp' B102 for the reasoning and B105 for the 1987 upper bound.</t>
  </si>
  <si>
    <t>US DOE AMO Steam Tip Sheet #15, Benchmark the Fuel Cost of Steam Generation, Table 2 — HHV boiler combustion efficiencies. https://www.energy.gov/sites/prod/files/2014/05/f16/steam15_benchmark.pdf</t>
  </si>
  <si>
    <t>US BLS CPI-U full annual series — 'cpi' tab. https://www.bls.gov/cpi/</t>
  </si>
  <si>
    <t>CHECKED AND NOT USED: LBNL-4779E, Energy Efficiency Improvement and Cost Saving Opportunities for the U.S. Iron and Steel Industry (Worrell et al.). Contains retrofit measure costs only (turbulators, ladle heaters, Tundish dryers, transformer retrofits), no whole-furnace capital cost, so it cannot supply a reheat furnace exemplar. The Turton proxy is used instead. Recorded so the search is not repeated.</t>
  </si>
  <si>
    <t>OPEN ITEMS</t>
  </si>
  <si>
    <t>1. Turton scale and installation judgments ('NB High Temp' A106): representative duties of 20 MW (fired heater) and 50 MW (reheat furnace) and a bare-module factor of 2.2. Duty spans roughly 2x on these curves and the factor spans 2.0-2.5, so combined uncertainty on both Turton exemplars is roughly 3x. They drive the 500-1000 °C fossil figures and about two-thirds of the &gt;1000 °C blend.</t>
  </si>
  <si>
    <t>3. Efficiency values copied statically from the start-year workbook ('NB High Temp' B114:D114 and B125:D125) must be re-synced if that file changes. 4. The commercial-oven direct-fired proxy still underlies 45% of the 200-500 °C fossil blend; an industrial oven/dryer or fired-heater cost would be preferable. 5. The 'Agora' tab arrived with two #DIV/0! cells in the pasted source data; nothing references them.</t>
  </si>
  <si>
    <t>FLAGGED — see note on B6: this assertion appears to be incorrect. The source figure is per kW of heat output, so a COP conversion IS required.</t>
  </si>
  <si>
    <t>2. HEAT PUMP CAPEX BASIS — INVESTIGATED, correction identified, NOT yet applied (decision needed). The 600 €/kW figure at 'Boilers &amp; Heat Pumps' B6 comes from the IEA HPT TCP Project 68 report cited at B6-B8 above (page 16, Figure 1-4). That report gives specific investment costs of roughly 300-1000 €/kW, clustering near 500 €/kW below 2 MW and 500-700 €/kW at 25 MW, on capacity axes labelled 'capacity, supply' — HEAT OUTPUT. Industrial heat-pump costs are conventionally per kW of heat delivered. The 600 €/kW sits inside that thermal range; per kW electric it would imply only ~200 €/kW thermal at COP 3, well below the published range. So the figure is per kW THERMAL and the tab's labels ('€ / power draw', 'does not need to be converted using heat pump COP') are wrong. CORRECTION: cost per annual ELECTRICITY = €/kW-thermal × COP ÷ annual hours, i.e. MULTIPLY by COP — which RAISES the &lt;200 °C electric CAPEX roughly threefold, from 3.63E-05 to about 1.09E-04 $/(BTU/yr) at COP 3. Direction is counterintuitive but correct: per unit of electricity consumed, a heat pump is expensive equipment precisely because it delivers ~3 units of heat per unit of electricity. Deciding the COP to use is part of the fix — the efficiency workbooks use 3.7 below 100 °C and 2.23 for 100-200 °C (start-year) and 3.0 best-case, so the two bands should probably no longer share one figure. Also note the IEA costs exclude planning and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</si>
</sst>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8" formatCode="&quot;$&quot;#,##0.00_);[Red]\(&quot;$&quot;#,##0.00\)"/>
    <numFmt numFmtId="164" formatCode="&quot;$&quot;#,##0"/>
    <numFmt numFmtId="165" formatCode="&quot;$&quot;#,##0.00"/>
    <numFmt numFmtId="166" formatCode="0.00000"/>
    <numFmt numFmtId="167" formatCode="0.0000"/>
    <numFmt numFmtId="168" formatCode="0.0"/>
    <numFmt numFmtId="169" formatCode="0.000E+00"/>
    <numFmt numFmtId="170" formatCode="0.0%"/>
    <numFmt numFmtId="171" formatCode="0.000"/>
    <numFmt numFmtId="172" formatCode="#,##0.0"/>
    <numFmt numFmtId="173" formatCode="_-* #,##0.00_-;\-* #,##0.00_-;_-* &quot;-&quot;??_-;_-@_-"/>
    <numFmt numFmtId="174" formatCode="_-* #,##0_-;\-* #,##0_-;_-* &quot;-&quot;??_-;_-@_-"/>
    <numFmt numFmtId="175" formatCode="#0.0"/>
    <numFmt numFmtId="176" formatCode="#0.000"/>
  </numFmts>
  <fonts count="73">
    <font>
      <sz val="11"/>
      <color theme="1"/>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
      <u/>
      <sz val="11"/>
      <color theme="10"/>
      <name val="Aptos Narrow"/>
      <family val="2"/>
      <scheme val="minor"/>
    </font>
    <font>
      <b/>
      <sz val="12"/>
      <color theme="1"/>
      <name val="Aptos Narrow"/>
      <family val="2"/>
      <scheme val="minor"/>
    </font>
    <font>
      <sz val="11"/>
      <color theme="1"/>
      <name val="Aptos Narrow"/>
      <family val="2"/>
    </font>
    <font>
      <sz val="11"/>
      <color theme="1"/>
      <name val="Aptos Narrow"/>
      <family val="2"/>
      <scheme val="minor"/>
    </font>
    <font>
      <sz val="11"/>
      <color rgb="FF3F3F76"/>
      <name val="Aptos Narrow"/>
      <family val="2"/>
      <scheme val="minor"/>
    </font>
    <font>
      <b/>
      <sz val="11"/>
      <color rgb="FF3F3F76"/>
      <name val="Aptos Narrow"/>
      <family val="2"/>
      <scheme val="minor"/>
    </font>
    <font>
      <sz val="8"/>
      <name val="Aptos Narrow"/>
      <family val="2"/>
      <scheme val="minor"/>
    </font>
    <font>
      <sz val="9"/>
      <color indexed="81"/>
      <name val="Tahoma"/>
      <family val="2"/>
    </font>
    <font>
      <b/>
      <sz val="9"/>
      <color indexed="81"/>
      <name val="Tahoma"/>
      <family val="2"/>
    </font>
    <font>
      <sz val="11"/>
      <color rgb="FF0000FF"/>
      <name val="Aptos Narrow"/>
      <family val="2"/>
      <scheme val="minor"/>
    </font>
    <font>
      <sz val="11"/>
      <color rgb="FFFF0000"/>
      <name val="Aptos Narrow"/>
      <family val="2"/>
      <scheme val="minor"/>
    </font>
    <font>
      <sz val="9"/>
      <color indexed="81"/>
      <name val="Tahoma"/>
      <charset val="1"/>
    </font>
    <font>
      <b/>
      <sz val="9"/>
      <color indexed="81"/>
      <name val="Tahoma"/>
      <charset val="1"/>
    </font>
    <font>
      <sz val="8"/>
      <color rgb="FF000000"/>
      <name val="Calibri"/>
      <family val="2"/>
    </font>
    <font>
      <b/>
      <sz val="8"/>
      <color rgb="FF000000"/>
      <name val="Calibri"/>
      <family val="2"/>
    </font>
    <font>
      <b/>
      <sz val="9"/>
      <color theme="1"/>
      <name val="Aptos Narrow"/>
      <family val="2"/>
      <scheme val="minor"/>
    </font>
    <font>
      <sz val="8"/>
      <color theme="1"/>
      <name val="Calibri"/>
      <family val="2"/>
    </font>
    <font>
      <b/>
      <sz val="8"/>
      <color rgb="FFBEBEBE"/>
      <name val="Calibri"/>
      <family val="2"/>
    </font>
    <font>
      <b/>
      <sz val="8"/>
      <color theme="1"/>
      <name val="Calibri"/>
      <family val="2"/>
    </font>
    <font>
      <sz val="8"/>
      <name val="Calibri"/>
      <family val="2"/>
    </font>
    <font>
      <b/>
      <sz val="8"/>
      <name val="Calibri"/>
      <family val="2"/>
    </font>
    <font>
      <b/>
      <sz val="8"/>
      <color rgb="FFFF0000"/>
      <name val="Calibri"/>
      <family val="2"/>
    </font>
    <font>
      <sz val="8"/>
      <color rgb="FFFF0000"/>
      <name val="Calibri"/>
      <family val="2"/>
    </font>
    <font>
      <sz val="8"/>
      <color indexed="8"/>
      <name val="Calibri"/>
      <family val="2"/>
    </font>
    <font>
      <b/>
      <sz val="8"/>
      <color indexed="8"/>
      <name val="Calibri"/>
      <family val="2"/>
    </font>
    <font>
      <sz val="8"/>
      <color theme="0"/>
      <name val="Calibri"/>
      <family val="2"/>
    </font>
    <font>
      <sz val="8"/>
      <color rgb="FF333333"/>
      <name val="Calibri"/>
      <family val="2"/>
    </font>
    <font>
      <i/>
      <sz val="8"/>
      <name val="Calibri"/>
      <family val="2"/>
    </font>
    <font>
      <sz val="11"/>
      <color rgb="FF008000"/>
      <name val="Aptos Narrow"/>
      <family val="2"/>
      <scheme val="minor"/>
    </font>
    <font>
      <sz val="10"/>
      <color theme="1"/>
      <name val="Arial"/>
      <family val="2"/>
    </font>
    <font>
      <b/>
      <sz val="14"/>
      <color rgb="FF617494"/>
      <name val="Arial"/>
      <family val="2"/>
    </font>
    <font>
      <sz val="10"/>
      <name val="Arial"/>
      <family val="2"/>
    </font>
    <font>
      <b/>
      <sz val="10"/>
      <name val="Arial"/>
      <family val="2"/>
    </font>
    <font>
      <b/>
      <sz val="12"/>
      <color rgb="FF617494"/>
      <name val="Arial"/>
      <family val="2"/>
    </font>
    <font>
      <b/>
      <i/>
      <sz val="10"/>
      <color theme="1"/>
      <name val="Arial"/>
      <family val="2"/>
    </font>
    <font>
      <b/>
      <sz val="10"/>
      <color theme="1"/>
      <name val="Arial"/>
      <family val="2"/>
    </font>
    <font>
      <i/>
      <sz val="10"/>
      <color theme="1"/>
      <name val="Arial"/>
      <family val="2"/>
    </font>
    <font>
      <sz val="10"/>
      <color rgb="FFC00000"/>
      <name val="Arial"/>
      <family val="2"/>
    </font>
    <font>
      <sz val="10"/>
      <color theme="1"/>
      <name val="Arial (Textkörper)"/>
    </font>
    <font>
      <b/>
      <sz val="10"/>
      <color theme="1"/>
      <name val="Arial (Textkörper)"/>
    </font>
    <font>
      <sz val="10"/>
      <color theme="0" tint="-0.249977111117893"/>
      <name val="Arial (Textkörper)"/>
    </font>
    <font>
      <sz val="10"/>
      <color theme="0" tint="-0.14999847407452621"/>
      <name val="Arial (Textkörper)"/>
    </font>
    <font>
      <i/>
      <sz val="10"/>
      <color theme="1"/>
      <name val="Arial (Textkörper)"/>
    </font>
    <font>
      <sz val="10"/>
      <name val="Arial (Textkörper)"/>
    </font>
    <font>
      <b/>
      <sz val="11"/>
      <color theme="1"/>
      <name val="Arial"/>
      <family val="2"/>
    </font>
    <font>
      <b/>
      <sz val="10"/>
      <name val="Arial (Textkörper)"/>
    </font>
    <font>
      <sz val="10"/>
      <color theme="0" tint="-0.34998626667073579"/>
      <name val="Arial"/>
      <family val="2"/>
    </font>
    <font>
      <sz val="10"/>
      <color theme="0" tint="-0.34998626667073579"/>
      <name val="Arial (Textkörper)"/>
    </font>
    <font>
      <sz val="10"/>
      <color theme="0" tint="-0.249977111117893"/>
      <name val="Arial"/>
      <family val="2"/>
    </font>
    <font>
      <u/>
      <sz val="10"/>
      <color theme="1"/>
      <name val="Arial"/>
      <family val="2"/>
    </font>
    <font>
      <sz val="10"/>
      <color rgb="FFC00000"/>
      <name val="Arial (Textkörper)"/>
    </font>
    <font>
      <sz val="10"/>
      <color theme="1" tint="0.249977111117893"/>
      <name val="Arial"/>
      <family val="2"/>
    </font>
    <font>
      <sz val="10"/>
      <color theme="1"/>
      <name val="Aptos Narrow"/>
      <family val="2"/>
      <scheme val="minor"/>
    </font>
    <font>
      <i/>
      <sz val="10"/>
      <color theme="0" tint="-0.34998626667073579"/>
      <name val="Arial"/>
      <family val="2"/>
    </font>
    <font>
      <i/>
      <sz val="11"/>
      <color theme="1"/>
      <name val="Arial"/>
      <family val="2"/>
    </font>
    <font>
      <sz val="11"/>
      <color theme="0" tint="-0.249977111117893"/>
      <name val="Aptos Narrow"/>
      <family val="2"/>
      <scheme val="minor"/>
    </font>
    <font>
      <sz val="8"/>
      <color theme="1"/>
      <name val="Aptos Narrow"/>
      <family val="2"/>
      <scheme val="minor"/>
    </font>
    <font>
      <sz val="8"/>
      <color theme="0" tint="-0.249977111117893"/>
      <name val="Aptos Narrow"/>
      <family val="2"/>
      <scheme val="minor"/>
    </font>
    <font>
      <sz val="10"/>
      <color theme="0" tint="-0.249977111117893"/>
      <name val="Aptos Narrow"/>
      <family val="2"/>
      <scheme val="minor"/>
    </font>
    <font>
      <i/>
      <sz val="10"/>
      <color theme="0" tint="-0.249977111117893"/>
      <name val="Arial"/>
      <family val="2"/>
    </font>
    <font>
      <sz val="11"/>
      <color theme="0" tint="-0.34998626667073579"/>
      <name val="Aptos Narrow"/>
      <family val="2"/>
      <scheme val="minor"/>
    </font>
    <font>
      <i/>
      <sz val="10"/>
      <color theme="0" tint="-0.249977111117893"/>
      <name val="Arial (Textkörper)"/>
    </font>
    <font>
      <b/>
      <sz val="10"/>
      <color theme="0" tint="-0.249977111117893"/>
      <name val="Arial (Textkörper)"/>
    </font>
    <font>
      <sz val="9"/>
      <color indexed="81"/>
      <name val="Calibri"/>
      <family val="2"/>
    </font>
    <font>
      <b/>
      <sz val="11"/>
      <color rgb="FF000000"/>
      <name val="Calibri"/>
      <family val="2"/>
    </font>
    <font>
      <b/>
      <sz val="11"/>
      <color theme="1"/>
      <name val="Calibri"/>
      <family val="2"/>
    </font>
    <font>
      <sz val="11"/>
      <color theme="1"/>
      <name val="Calibri"/>
      <family val="2"/>
    </font>
    <font>
      <b/>
      <i/>
      <sz val="11"/>
      <name val="Aptos Narrow"/>
      <family val="2"/>
      <scheme val="minor"/>
    </font>
    <font>
      <sz val="10"/>
      <color indexed="8"/>
      <name val="Arial"/>
      <family val="2"/>
    </font>
  </fonts>
  <fills count="2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59999389629810485"/>
        <bgColor indexed="64"/>
      </patternFill>
    </fill>
    <fill>
      <patternFill patternType="solid">
        <fgColor rgb="FFFFCC99"/>
      </patternFill>
    </fill>
    <fill>
      <patternFill patternType="solid">
        <fgColor theme="7"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rgb="FFBFBFBF"/>
        <bgColor indexed="64"/>
      </patternFill>
    </fill>
    <fill>
      <patternFill patternType="solid">
        <fgColor rgb="FFA6C9EC"/>
        <bgColor indexed="64"/>
      </patternFill>
    </fill>
    <fill>
      <patternFill patternType="solid">
        <fgColor theme="0"/>
      </patternFill>
    </fill>
    <fill>
      <patternFill patternType="solid">
        <fgColor theme="0"/>
        <bgColor rgb="FF000000"/>
      </patternFill>
    </fill>
    <fill>
      <patternFill patternType="solid">
        <fgColor rgb="FF617494"/>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92D050"/>
        <bgColor rgb="FF000000"/>
      </patternFill>
    </fill>
    <fill>
      <patternFill patternType="solid">
        <fgColor rgb="FFBFBFBF"/>
        <bgColor rgb="FF000000"/>
      </patternFill>
    </fill>
    <fill>
      <patternFill patternType="solid">
        <fgColor rgb="FFF2F2F2"/>
        <bgColor rgb="FF000000"/>
      </patternFill>
    </fill>
    <fill>
      <patternFill patternType="solid">
        <fgColor rgb="FFFF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auto="1"/>
      </bottom>
      <diagonal/>
    </border>
    <border>
      <left/>
      <right/>
      <top style="thin">
        <color auto="1"/>
      </top>
      <bottom/>
      <diagonal/>
    </border>
    <border>
      <left/>
      <right/>
      <top style="medium">
        <color auto="1"/>
      </top>
      <bottom/>
      <diagonal/>
    </border>
    <border>
      <left/>
      <right/>
      <top style="thin">
        <color auto="1"/>
      </top>
      <bottom style="thin">
        <color auto="1"/>
      </bottom>
      <diagonal/>
    </border>
    <border>
      <left style="medium">
        <color indexed="64"/>
      </left>
      <right/>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medium">
        <color theme="1"/>
      </left>
      <right style="thin">
        <color theme="0" tint="-0.14999847407452621"/>
      </right>
      <top style="thin">
        <color theme="0" tint="-0.14999847407452621"/>
      </top>
      <bottom style="medium">
        <color theme="1"/>
      </bottom>
      <diagonal/>
    </border>
    <border>
      <left style="thin">
        <color theme="0" tint="-0.14999847407452621"/>
      </left>
      <right style="thin">
        <color theme="0" tint="-0.14999847407452621"/>
      </right>
      <top style="thin">
        <color theme="0" tint="-0.14999847407452621"/>
      </top>
      <bottom style="medium">
        <color theme="1"/>
      </bottom>
      <diagonal/>
    </border>
    <border>
      <left style="thin">
        <color theme="0" tint="-0.14999847407452621"/>
      </left>
      <right style="medium">
        <color theme="1"/>
      </right>
      <top style="thin">
        <color theme="0" tint="-0.14999847407452621"/>
      </top>
      <bottom style="medium">
        <color theme="1"/>
      </bottom>
      <diagonal/>
    </border>
  </borders>
  <cellStyleXfs count="6">
    <xf numFmtId="0" fontId="0" fillId="0" borderId="0"/>
    <xf numFmtId="0" fontId="4" fillId="0" borderId="0" applyNumberFormat="0" applyFill="0" applyBorder="0" applyAlignment="0" applyProtection="0"/>
    <xf numFmtId="9" fontId="7" fillId="0" borderId="0" applyFont="0" applyFill="0" applyBorder="0" applyAlignment="0" applyProtection="0"/>
    <xf numFmtId="0" fontId="8" fillId="11" borderId="3" applyNumberFormat="0" applyAlignment="0" applyProtection="0"/>
    <xf numFmtId="0" fontId="17" fillId="0" borderId="0"/>
    <xf numFmtId="173" fontId="7" fillId="0" borderId="0" applyFont="0" applyFill="0" applyBorder="0" applyAlignment="0" applyProtection="0"/>
  </cellStyleXfs>
  <cellXfs count="442">
    <xf numFmtId="0" fontId="0" fillId="0" borderId="0" xfId="0"/>
    <xf numFmtId="0" fontId="1" fillId="0" borderId="0" xfId="0" applyFont="1"/>
    <xf numFmtId="0" fontId="0" fillId="0" borderId="0" xfId="0" applyAlignment="1">
      <alignment horizontal="right" wrapText="1"/>
    </xf>
    <xf numFmtId="0" fontId="0" fillId="0" borderId="0" xfId="0" applyAlignment="1">
      <alignment wrapText="1"/>
    </xf>
    <xf numFmtId="0" fontId="2" fillId="0" borderId="0" xfId="0" applyFont="1" applyAlignment="1">
      <alignment wrapText="1"/>
    </xf>
    <xf numFmtId="0" fontId="0" fillId="0" borderId="0" xfId="0" applyAlignment="1">
      <alignment horizontal="left" wrapText="1"/>
    </xf>
    <xf numFmtId="0" fontId="1" fillId="0" borderId="0" xfId="0" applyFont="1" applyAlignment="1">
      <alignment horizontal="right" wrapText="1"/>
    </xf>
    <xf numFmtId="0" fontId="1" fillId="0" borderId="0" xfId="0" applyFont="1" applyAlignment="1">
      <alignment horizontal="right"/>
    </xf>
    <xf numFmtId="6" fontId="0" fillId="0" borderId="0" xfId="0" applyNumberFormat="1"/>
    <xf numFmtId="11" fontId="0" fillId="0" borderId="0" xfId="0" applyNumberFormat="1"/>
    <xf numFmtId="11" fontId="0" fillId="2" borderId="0" xfId="0" applyNumberFormat="1" applyFill="1"/>
    <xf numFmtId="0" fontId="3" fillId="0" borderId="0" xfId="0" applyFont="1"/>
    <xf numFmtId="11" fontId="0" fillId="3" borderId="0" xfId="0" applyNumberFormat="1" applyFill="1"/>
    <xf numFmtId="0" fontId="0" fillId="0" borderId="0" xfId="0" applyAlignment="1">
      <alignment horizontal="left"/>
    </xf>
    <xf numFmtId="0" fontId="0" fillId="0" borderId="0" xfId="0" quotePrefix="1" applyAlignment="1">
      <alignment horizontal="left"/>
    </xf>
    <xf numFmtId="0" fontId="4" fillId="0" borderId="0" xfId="1"/>
    <xf numFmtId="0" fontId="1" fillId="4" borderId="0" xfId="0" applyFont="1" applyFill="1"/>
    <xf numFmtId="0" fontId="1" fillId="5" borderId="0" xfId="0" applyFont="1" applyFill="1"/>
    <xf numFmtId="0" fontId="0" fillId="5" borderId="0" xfId="0" applyFill="1"/>
    <xf numFmtId="9" fontId="0" fillId="0" borderId="0" xfId="0" applyNumberFormat="1"/>
    <xf numFmtId="164" fontId="0" fillId="0" borderId="0" xfId="0" applyNumberFormat="1"/>
    <xf numFmtId="1" fontId="0" fillId="0" borderId="0" xfId="0" applyNumberFormat="1"/>
    <xf numFmtId="0" fontId="3" fillId="6" borderId="0" xfId="0" applyFont="1" applyFill="1"/>
    <xf numFmtId="0" fontId="1" fillId="6" borderId="0" xfId="0" applyFont="1" applyFill="1" applyAlignment="1">
      <alignment horizontal="right" wrapText="1"/>
    </xf>
    <xf numFmtId="0" fontId="2" fillId="0" borderId="0" xfId="0" applyFont="1"/>
    <xf numFmtId="8" fontId="0" fillId="0" borderId="0" xfId="0" applyNumberFormat="1"/>
    <xf numFmtId="0" fontId="5" fillId="7" borderId="1" xfId="0" applyFont="1" applyFill="1" applyBorder="1" applyAlignment="1">
      <alignment horizontal="center"/>
    </xf>
    <xf numFmtId="0" fontId="0" fillId="8" borderId="0" xfId="0" applyFill="1"/>
    <xf numFmtId="0" fontId="5" fillId="8" borderId="2" xfId="0" applyFont="1" applyFill="1" applyBorder="1" applyAlignment="1">
      <alignment horizontal="center"/>
    </xf>
    <xf numFmtId="0" fontId="1" fillId="8" borderId="0" xfId="0" applyFont="1" applyFill="1"/>
    <xf numFmtId="0" fontId="1" fillId="8" borderId="0" xfId="0" applyFont="1" applyFill="1" applyAlignment="1">
      <alignment horizontal="left"/>
    </xf>
    <xf numFmtId="0" fontId="1" fillId="9" borderId="0" xfId="0" applyFont="1" applyFill="1"/>
    <xf numFmtId="3" fontId="0" fillId="0" borderId="0" xfId="0" applyNumberFormat="1"/>
    <xf numFmtId="0" fontId="6" fillId="0" borderId="0" xfId="0" applyFont="1"/>
    <xf numFmtId="2" fontId="0" fillId="0" borderId="0" xfId="0" applyNumberFormat="1"/>
    <xf numFmtId="0" fontId="4" fillId="0" borderId="0" xfId="1" applyAlignment="1">
      <alignment wrapText="1"/>
    </xf>
    <xf numFmtId="17" fontId="0" fillId="0" borderId="0" xfId="0" applyNumberFormat="1" applyAlignment="1">
      <alignment horizontal="left" wrapText="1"/>
    </xf>
    <xf numFmtId="17" fontId="4" fillId="0" borderId="0" xfId="1" applyNumberFormat="1" applyAlignment="1">
      <alignment horizontal="left" wrapText="1"/>
    </xf>
    <xf numFmtId="49" fontId="0" fillId="0" borderId="0" xfId="0" applyNumberFormat="1"/>
    <xf numFmtId="165" fontId="0" fillId="0" borderId="0" xfId="0" applyNumberFormat="1"/>
    <xf numFmtId="0" fontId="0" fillId="4" borderId="0" xfId="0" applyFill="1"/>
    <xf numFmtId="0" fontId="1" fillId="10" borderId="0" xfId="0" applyFont="1" applyFill="1"/>
    <xf numFmtId="0" fontId="0" fillId="10" borderId="0" xfId="0" applyFill="1"/>
    <xf numFmtId="9" fontId="0" fillId="0" borderId="0" xfId="2" applyFont="1"/>
    <xf numFmtId="0" fontId="0" fillId="6" borderId="0" xfId="0" applyFill="1"/>
    <xf numFmtId="0" fontId="1" fillId="6" borderId="0" xfId="0" applyFont="1" applyFill="1"/>
    <xf numFmtId="3" fontId="0" fillId="4" borderId="0" xfId="0" applyNumberFormat="1" applyFill="1"/>
    <xf numFmtId="1" fontId="1" fillId="0" borderId="0" xfId="0" applyNumberFormat="1" applyFont="1"/>
    <xf numFmtId="11" fontId="1" fillId="3" borderId="0" xfId="0" applyNumberFormat="1" applyFont="1" applyFill="1"/>
    <xf numFmtId="0" fontId="9" fillId="11" borderId="3" xfId="3" applyFont="1"/>
    <xf numFmtId="1" fontId="9" fillId="11" borderId="3" xfId="3" applyNumberFormat="1" applyFont="1"/>
    <xf numFmtId="11" fontId="8" fillId="11" borderId="3" xfId="3" applyNumberFormat="1" applyAlignment="1">
      <alignment horizontal="center"/>
    </xf>
    <xf numFmtId="0" fontId="0" fillId="12" borderId="0" xfId="0" applyFill="1"/>
    <xf numFmtId="0" fontId="1" fillId="12" borderId="0" xfId="0" applyFont="1" applyFill="1"/>
    <xf numFmtId="2" fontId="2" fillId="0" borderId="0" xfId="0" applyNumberFormat="1" applyFont="1"/>
    <xf numFmtId="166" fontId="0" fillId="0" borderId="0" xfId="0" applyNumberFormat="1"/>
    <xf numFmtId="166" fontId="2" fillId="0" borderId="0" xfId="0" applyNumberFormat="1" applyFont="1"/>
    <xf numFmtId="0" fontId="0" fillId="2" borderId="0" xfId="0" applyFill="1"/>
    <xf numFmtId="0" fontId="4" fillId="0" borderId="0" xfId="1" applyFill="1"/>
    <xf numFmtId="0" fontId="1" fillId="7" borderId="2" xfId="0" applyFont="1" applyFill="1" applyBorder="1"/>
    <xf numFmtId="0" fontId="1" fillId="7" borderId="0" xfId="0" applyFont="1" applyFill="1" applyAlignment="1">
      <alignment horizontal="right"/>
    </xf>
    <xf numFmtId="0" fontId="1" fillId="7" borderId="0" xfId="0" applyFont="1" applyFill="1" applyAlignment="1">
      <alignment horizontal="center"/>
    </xf>
    <xf numFmtId="0" fontId="0" fillId="0" borderId="0" xfId="0" applyAlignment="1">
      <alignment horizontal="center"/>
    </xf>
    <xf numFmtId="167" fontId="0" fillId="0" borderId="0" xfId="0" applyNumberFormat="1"/>
    <xf numFmtId="0" fontId="1" fillId="0" borderId="0" xfId="0" applyFont="1" applyAlignment="1">
      <alignment horizontal="center"/>
    </xf>
    <xf numFmtId="0" fontId="0" fillId="0" borderId="0" xfId="0" applyAlignment="1">
      <alignment horizontal="right"/>
    </xf>
    <xf numFmtId="168" fontId="1" fillId="0" borderId="0" xfId="0" applyNumberFormat="1" applyFont="1"/>
    <xf numFmtId="0" fontId="0" fillId="13" borderId="0" xfId="0" applyFill="1"/>
    <xf numFmtId="169" fontId="0" fillId="0" borderId="0" xfId="0" applyNumberFormat="1"/>
    <xf numFmtId="169" fontId="0" fillId="3" borderId="0" xfId="0" applyNumberFormat="1" applyFill="1"/>
    <xf numFmtId="169" fontId="0" fillId="2" borderId="0" xfId="0" applyNumberFormat="1" applyFill="1"/>
    <xf numFmtId="0" fontId="1" fillId="14" borderId="0" xfId="0" applyFont="1" applyFill="1"/>
    <xf numFmtId="0" fontId="0" fillId="14" borderId="0" xfId="0" applyFill="1"/>
    <xf numFmtId="169" fontId="0" fillId="15" borderId="0" xfId="0" applyNumberFormat="1" applyFill="1"/>
    <xf numFmtId="0" fontId="13" fillId="0" borderId="0" xfId="0" applyFont="1"/>
    <xf numFmtId="169" fontId="1" fillId="0" borderId="0" xfId="0" applyNumberFormat="1" applyFont="1"/>
    <xf numFmtId="9" fontId="13" fillId="0" borderId="0" xfId="0" applyNumberFormat="1" applyFont="1"/>
    <xf numFmtId="170" fontId="13" fillId="0" borderId="0" xfId="0" applyNumberFormat="1" applyFont="1"/>
    <xf numFmtId="49" fontId="1" fillId="16" borderId="0" xfId="0" applyNumberFormat="1" applyFont="1" applyFill="1"/>
    <xf numFmtId="49" fontId="1" fillId="0" borderId="0" xfId="0" applyNumberFormat="1" applyFont="1"/>
    <xf numFmtId="49" fontId="0" fillId="6" borderId="0" xfId="0" applyNumberFormat="1" applyFill="1"/>
    <xf numFmtId="168" fontId="0" fillId="0" borderId="0" xfId="0" applyNumberFormat="1"/>
    <xf numFmtId="9" fontId="1" fillId="0" borderId="0" xfId="0" applyNumberFormat="1" applyFont="1"/>
    <xf numFmtId="49" fontId="1" fillId="6" borderId="0" xfId="0" applyNumberFormat="1" applyFont="1" applyFill="1"/>
    <xf numFmtId="0" fontId="18" fillId="17" borderId="0" xfId="4" applyFont="1" applyFill="1" applyAlignment="1">
      <alignment vertical="center"/>
    </xf>
    <xf numFmtId="0" fontId="18" fillId="17" borderId="7" xfId="4" applyFont="1" applyFill="1" applyBorder="1" applyAlignment="1">
      <alignment horizontal="left" vertical="center"/>
    </xf>
    <xf numFmtId="0" fontId="18" fillId="17" borderId="0" xfId="4" applyFont="1" applyFill="1" applyAlignment="1">
      <alignment horizontal="center" vertical="center"/>
    </xf>
    <xf numFmtId="0" fontId="20" fillId="9" borderId="0" xfId="0" applyFont="1" applyFill="1" applyAlignment="1">
      <alignment vertical="center"/>
    </xf>
    <xf numFmtId="0" fontId="21" fillId="9" borderId="0" xfId="4" applyFont="1" applyFill="1" applyAlignment="1">
      <alignment vertical="center"/>
    </xf>
    <xf numFmtId="0" fontId="21" fillId="9" borderId="7" xfId="4" applyFont="1" applyFill="1" applyBorder="1" applyAlignment="1">
      <alignment vertical="center"/>
    </xf>
    <xf numFmtId="0" fontId="21" fillId="17" borderId="8" xfId="4" applyFont="1" applyFill="1" applyBorder="1" applyAlignment="1">
      <alignment vertical="center"/>
    </xf>
    <xf numFmtId="0" fontId="21" fillId="17" borderId="9" xfId="4" applyFont="1" applyFill="1" applyBorder="1" applyAlignment="1">
      <alignment vertical="center"/>
    </xf>
    <xf numFmtId="0" fontId="18" fillId="17" borderId="8" xfId="4" applyFont="1" applyFill="1" applyBorder="1" applyAlignment="1">
      <alignment horizontal="center" vertical="center"/>
    </xf>
    <xf numFmtId="0" fontId="21" fillId="17" borderId="0" xfId="4" applyFont="1" applyFill="1" applyAlignment="1">
      <alignment vertical="center"/>
    </xf>
    <xf numFmtId="0" fontId="21" fillId="17" borderId="7" xfId="4" applyFont="1" applyFill="1" applyBorder="1" applyAlignment="1">
      <alignment vertical="center"/>
    </xf>
    <xf numFmtId="0" fontId="22" fillId="9" borderId="0" xfId="0" applyFont="1" applyFill="1" applyAlignment="1">
      <alignment vertical="center"/>
    </xf>
    <xf numFmtId="0" fontId="23" fillId="9" borderId="7" xfId="0" applyFont="1" applyFill="1" applyBorder="1" applyAlignment="1">
      <alignment vertical="center"/>
    </xf>
    <xf numFmtId="0" fontId="17" fillId="9" borderId="0" xfId="0" applyFont="1" applyFill="1" applyAlignment="1">
      <alignment horizontal="center" vertical="center"/>
    </xf>
    <xf numFmtId="0" fontId="20" fillId="9" borderId="0" xfId="0" applyFont="1" applyFill="1" applyAlignment="1">
      <alignment horizontal="center" vertical="center"/>
    </xf>
    <xf numFmtId="9" fontId="17" fillId="9" borderId="0" xfId="0" applyNumberFormat="1" applyFont="1" applyFill="1" applyAlignment="1">
      <alignment horizontal="center" vertical="center"/>
    </xf>
    <xf numFmtId="0" fontId="24" fillId="9" borderId="0" xfId="0" applyFont="1" applyFill="1" applyAlignment="1">
      <alignment vertical="center"/>
    </xf>
    <xf numFmtId="0" fontId="20" fillId="9" borderId="7" xfId="0" applyFont="1" applyFill="1" applyBorder="1" applyAlignment="1">
      <alignment vertical="center"/>
    </xf>
    <xf numFmtId="0" fontId="18" fillId="9" borderId="0" xfId="0" applyFont="1" applyFill="1" applyAlignment="1">
      <alignment horizontal="center" vertical="center"/>
    </xf>
    <xf numFmtId="0" fontId="23" fillId="9" borderId="0" xfId="0" applyFont="1" applyFill="1" applyAlignment="1">
      <alignment horizontal="center" vertical="center"/>
    </xf>
    <xf numFmtId="9" fontId="20" fillId="9" borderId="0" xfId="0" applyNumberFormat="1" applyFont="1" applyFill="1" applyAlignment="1">
      <alignment horizontal="center" vertical="center"/>
    </xf>
    <xf numFmtId="3" fontId="20" fillId="9" borderId="0" xfId="0" applyNumberFormat="1" applyFont="1" applyFill="1" applyAlignment="1">
      <alignment horizontal="center" vertical="center"/>
    </xf>
    <xf numFmtId="3" fontId="17" fillId="9" borderId="0" xfId="0" applyNumberFormat="1" applyFont="1" applyFill="1" applyAlignment="1">
      <alignment horizontal="center" vertical="center"/>
    </xf>
    <xf numFmtId="3" fontId="20" fillId="9" borderId="0" xfId="0" applyNumberFormat="1" applyFont="1" applyFill="1" applyAlignment="1">
      <alignment vertical="center"/>
    </xf>
    <xf numFmtId="168" fontId="23" fillId="9" borderId="0" xfId="0" applyNumberFormat="1" applyFont="1" applyFill="1" applyAlignment="1">
      <alignment horizontal="center" vertical="center"/>
    </xf>
    <xf numFmtId="2" fontId="23" fillId="9" borderId="0" xfId="0" applyNumberFormat="1" applyFont="1" applyFill="1" applyAlignment="1">
      <alignment horizontal="center" vertical="center"/>
    </xf>
    <xf numFmtId="0" fontId="17" fillId="9" borderId="7" xfId="4" applyFill="1" applyBorder="1" applyAlignment="1">
      <alignment vertical="center"/>
    </xf>
    <xf numFmtId="0" fontId="20" fillId="9" borderId="8" xfId="0" applyFont="1" applyFill="1" applyBorder="1" applyAlignment="1">
      <alignment vertical="center"/>
    </xf>
    <xf numFmtId="0" fontId="23" fillId="9" borderId="0" xfId="0" applyFont="1" applyFill="1" applyAlignment="1">
      <alignment vertical="center"/>
    </xf>
    <xf numFmtId="0" fontId="20" fillId="9" borderId="0" xfId="0" applyFont="1" applyFill="1" applyAlignment="1">
      <alignment horizontal="right" vertical="center"/>
    </xf>
    <xf numFmtId="0" fontId="18" fillId="9" borderId="0" xfId="0" applyFont="1" applyFill="1" applyAlignment="1">
      <alignment vertical="center"/>
    </xf>
    <xf numFmtId="0" fontId="18" fillId="9" borderId="7" xfId="0" applyFont="1" applyFill="1" applyBorder="1" applyAlignment="1">
      <alignment horizontal="center" vertical="center"/>
    </xf>
    <xf numFmtId="168" fontId="20" fillId="9" borderId="0" xfId="0" applyNumberFormat="1" applyFont="1" applyFill="1" applyAlignment="1">
      <alignment horizontal="center" vertical="center"/>
    </xf>
    <xf numFmtId="0" fontId="18" fillId="9" borderId="0" xfId="4" applyFont="1" applyFill="1" applyAlignment="1">
      <alignment vertical="center"/>
    </xf>
    <xf numFmtId="0" fontId="18" fillId="17" borderId="0" xfId="4" applyFont="1" applyFill="1" applyAlignment="1">
      <alignment horizontal="left" vertical="center"/>
    </xf>
    <xf numFmtId="0" fontId="17" fillId="9" borderId="0" xfId="4" applyFill="1" applyAlignment="1">
      <alignment vertical="center"/>
    </xf>
    <xf numFmtId="0" fontId="17" fillId="9" borderId="0" xfId="4" applyFill="1" applyAlignment="1">
      <alignment horizontal="center" vertical="center"/>
    </xf>
    <xf numFmtId="0" fontId="23" fillId="9" borderId="0" xfId="4" applyFont="1" applyFill="1" applyAlignment="1">
      <alignment horizontal="center" vertical="center"/>
    </xf>
    <xf numFmtId="9" fontId="23" fillId="9" borderId="0" xfId="4" applyNumberFormat="1" applyFont="1" applyFill="1" applyAlignment="1">
      <alignment horizontal="center" vertical="center"/>
    </xf>
    <xf numFmtId="9" fontId="17" fillId="9" borderId="0" xfId="4" applyNumberFormat="1" applyFill="1" applyAlignment="1">
      <alignment vertical="center"/>
    </xf>
    <xf numFmtId="1" fontId="23" fillId="9" borderId="0" xfId="4" applyNumberFormat="1" applyFont="1" applyFill="1" applyAlignment="1">
      <alignment horizontal="center" vertical="center"/>
    </xf>
    <xf numFmtId="168" fontId="23" fillId="9" borderId="0" xfId="4" applyNumberFormat="1" applyFont="1" applyFill="1" applyAlignment="1">
      <alignment horizontal="center" vertical="center"/>
    </xf>
    <xf numFmtId="2" fontId="23" fillId="9" borderId="0" xfId="4" applyNumberFormat="1" applyFont="1" applyFill="1" applyAlignment="1">
      <alignment horizontal="center" vertical="center"/>
    </xf>
    <xf numFmtId="9" fontId="23" fillId="9" borderId="0" xfId="2" applyFont="1" applyFill="1" applyAlignment="1">
      <alignment horizontal="center" vertical="center"/>
    </xf>
    <xf numFmtId="3" fontId="23" fillId="9" borderId="0" xfId="4" applyNumberFormat="1" applyFont="1" applyFill="1" applyAlignment="1">
      <alignment horizontal="center" vertical="center"/>
    </xf>
    <xf numFmtId="2" fontId="23" fillId="9" borderId="0" xfId="2" applyNumberFormat="1" applyFont="1" applyFill="1" applyAlignment="1">
      <alignment horizontal="center" vertical="center"/>
    </xf>
    <xf numFmtId="0" fontId="17" fillId="9" borderId="0" xfId="4" quotePrefix="1" applyFill="1" applyAlignment="1">
      <alignment vertical="center"/>
    </xf>
    <xf numFmtId="4" fontId="23" fillId="9" borderId="0" xfId="4" applyNumberFormat="1" applyFont="1" applyFill="1" applyAlignment="1">
      <alignment horizontal="center" vertical="center"/>
    </xf>
    <xf numFmtId="0" fontId="25" fillId="9" borderId="0" xfId="4" applyFont="1" applyFill="1" applyAlignment="1">
      <alignment vertical="center"/>
    </xf>
    <xf numFmtId="0" fontId="26" fillId="9" borderId="0" xfId="4" applyFont="1" applyFill="1" applyAlignment="1">
      <alignment vertical="center"/>
    </xf>
    <xf numFmtId="2" fontId="26" fillId="9" borderId="0" xfId="4" applyNumberFormat="1" applyFont="1" applyFill="1" applyAlignment="1">
      <alignment vertical="center"/>
    </xf>
    <xf numFmtId="0" fontId="23" fillId="9" borderId="0" xfId="4" applyFont="1" applyFill="1" applyAlignment="1">
      <alignment vertical="center"/>
    </xf>
    <xf numFmtId="0" fontId="17" fillId="9" borderId="0" xfId="4" applyFill="1" applyAlignment="1">
      <alignment horizontal="left" vertical="center"/>
    </xf>
    <xf numFmtId="9" fontId="23" fillId="9" borderId="0" xfId="0" applyNumberFormat="1" applyFont="1" applyFill="1" applyAlignment="1">
      <alignment horizontal="center" vertical="center"/>
    </xf>
    <xf numFmtId="168" fontId="23" fillId="18" borderId="0" xfId="0" applyNumberFormat="1" applyFont="1" applyFill="1" applyAlignment="1">
      <alignment horizontal="center" vertical="center"/>
    </xf>
    <xf numFmtId="0" fontId="27" fillId="9" borderId="0" xfId="0" applyFont="1" applyFill="1" applyAlignment="1">
      <alignment horizontal="right" vertical="center"/>
    </xf>
    <xf numFmtId="0" fontId="28" fillId="9" borderId="0" xfId="0" applyFont="1" applyFill="1" applyAlignment="1">
      <alignment vertical="center"/>
    </xf>
    <xf numFmtId="0" fontId="29" fillId="9" borderId="0" xfId="0" applyFont="1" applyFill="1" applyAlignment="1">
      <alignment vertical="center"/>
    </xf>
    <xf numFmtId="0" fontId="18" fillId="9" borderId="7" xfId="0" applyFont="1" applyFill="1" applyBorder="1" applyAlignment="1">
      <alignment vertical="center"/>
    </xf>
    <xf numFmtId="0" fontId="17" fillId="18" borderId="0" xfId="0" applyFont="1" applyFill="1" applyAlignment="1">
      <alignment horizontal="center" vertical="center"/>
    </xf>
    <xf numFmtId="9" fontId="17" fillId="18" borderId="0" xfId="0" applyNumberFormat="1" applyFont="1" applyFill="1" applyAlignment="1">
      <alignment horizontal="center" vertical="center"/>
    </xf>
    <xf numFmtId="170" fontId="17" fillId="18" borderId="0" xfId="0" applyNumberFormat="1" applyFont="1" applyFill="1" applyAlignment="1">
      <alignment horizontal="center" vertical="center"/>
    </xf>
    <xf numFmtId="0" fontId="24" fillId="9" borderId="7" xfId="0" applyFont="1" applyFill="1" applyBorder="1" applyAlignment="1">
      <alignment vertical="center"/>
    </xf>
    <xf numFmtId="0" fontId="18" fillId="18" borderId="0" xfId="0" applyFont="1" applyFill="1" applyAlignment="1">
      <alignment horizontal="center" vertical="center"/>
    </xf>
    <xf numFmtId="0" fontId="24" fillId="18" borderId="0" xfId="0" applyFont="1" applyFill="1" applyAlignment="1">
      <alignment vertical="center"/>
    </xf>
    <xf numFmtId="0" fontId="23" fillId="18" borderId="0" xfId="0" applyFont="1" applyFill="1" applyAlignment="1">
      <alignment horizontal="center" vertical="center"/>
    </xf>
    <xf numFmtId="2" fontId="17" fillId="18" borderId="0" xfId="0" applyNumberFormat="1" applyFont="1" applyFill="1" applyAlignment="1">
      <alignment horizontal="center" vertical="center"/>
    </xf>
    <xf numFmtId="0" fontId="23" fillId="9" borderId="0" xfId="0" applyFont="1" applyFill="1" applyAlignment="1">
      <alignment horizontal="right" vertical="center"/>
    </xf>
    <xf numFmtId="0" fontId="23" fillId="9" borderId="0" xfId="0" applyFont="1" applyFill="1" applyAlignment="1">
      <alignment horizontal="left" vertical="center"/>
    </xf>
    <xf numFmtId="2" fontId="23" fillId="18" borderId="0" xfId="0" applyNumberFormat="1" applyFont="1" applyFill="1" applyAlignment="1">
      <alignment horizontal="center" vertical="center"/>
    </xf>
    <xf numFmtId="168" fontId="17" fillId="18" borderId="0" xfId="0" applyNumberFormat="1" applyFont="1" applyFill="1" applyAlignment="1">
      <alignment horizontal="center" vertical="center"/>
    </xf>
    <xf numFmtId="10" fontId="17" fillId="18" borderId="0" xfId="0" applyNumberFormat="1" applyFont="1" applyFill="1" applyAlignment="1">
      <alignment horizontal="center" vertical="center"/>
    </xf>
    <xf numFmtId="170" fontId="23" fillId="9" borderId="0" xfId="4" applyNumberFormat="1" applyFont="1" applyFill="1" applyAlignment="1">
      <alignment horizontal="center" vertical="center"/>
    </xf>
    <xf numFmtId="10" fontId="23" fillId="9" borderId="0" xfId="4" applyNumberFormat="1" applyFont="1" applyFill="1" applyAlignment="1">
      <alignment horizontal="center" vertical="center"/>
    </xf>
    <xf numFmtId="171" fontId="23" fillId="9" borderId="0" xfId="4" applyNumberFormat="1" applyFont="1" applyFill="1" applyAlignment="1">
      <alignment horizontal="center" vertical="center"/>
    </xf>
    <xf numFmtId="0" fontId="26" fillId="9" borderId="0" xfId="4" applyFont="1" applyFill="1" applyAlignment="1">
      <alignment horizontal="center" vertical="center"/>
    </xf>
    <xf numFmtId="9" fontId="17" fillId="9" borderId="0" xfId="4" applyNumberFormat="1" applyFill="1" applyAlignment="1">
      <alignment horizontal="center" vertical="center"/>
    </xf>
    <xf numFmtId="0" fontId="18" fillId="9" borderId="0" xfId="4" applyFont="1" applyFill="1" applyAlignment="1">
      <alignment horizontal="left" vertical="center"/>
    </xf>
    <xf numFmtId="0" fontId="18" fillId="9" borderId="0" xfId="4" applyFont="1" applyFill="1" applyAlignment="1">
      <alignment horizontal="center" vertical="center"/>
    </xf>
    <xf numFmtId="0" fontId="21" fillId="9" borderId="8" xfId="4" applyFont="1" applyFill="1" applyBorder="1" applyAlignment="1">
      <alignment vertical="center"/>
    </xf>
    <xf numFmtId="0" fontId="18" fillId="9" borderId="8" xfId="4" applyFont="1" applyFill="1" applyBorder="1" applyAlignment="1">
      <alignment horizontal="center" vertical="center"/>
    </xf>
    <xf numFmtId="172" fontId="26" fillId="9" borderId="0" xfId="4" applyNumberFormat="1" applyFont="1" applyFill="1" applyAlignment="1">
      <alignment horizontal="center" vertical="center"/>
    </xf>
    <xf numFmtId="0" fontId="25" fillId="9" borderId="8" xfId="4" applyFont="1" applyFill="1" applyBorder="1" applyAlignment="1">
      <alignment vertical="center"/>
    </xf>
    <xf numFmtId="0" fontId="17" fillId="9" borderId="8" xfId="4" applyFill="1" applyBorder="1" applyAlignment="1">
      <alignment vertical="center"/>
    </xf>
    <xf numFmtId="3" fontId="23" fillId="9" borderId="8" xfId="4" applyNumberFormat="1" applyFont="1" applyFill="1" applyBorder="1" applyAlignment="1">
      <alignment horizontal="center" vertical="center"/>
    </xf>
    <xf numFmtId="0" fontId="18" fillId="9" borderId="8" xfId="4" applyFont="1" applyFill="1" applyBorder="1" applyAlignment="1">
      <alignment vertical="center"/>
    </xf>
    <xf numFmtId="0" fontId="23" fillId="9" borderId="8" xfId="4" applyFont="1" applyFill="1" applyBorder="1" applyAlignment="1">
      <alignment horizontal="center" vertical="center"/>
    </xf>
    <xf numFmtId="172" fontId="23" fillId="9" borderId="0" xfId="4" applyNumberFormat="1" applyFont="1" applyFill="1" applyAlignment="1">
      <alignment horizontal="center" vertical="center"/>
    </xf>
    <xf numFmtId="10" fontId="17" fillId="9" borderId="0" xfId="0" applyNumberFormat="1" applyFont="1" applyFill="1" applyAlignment="1">
      <alignment horizontal="center" vertical="center"/>
    </xf>
    <xf numFmtId="170" fontId="17" fillId="9" borderId="0" xfId="0" applyNumberFormat="1" applyFont="1" applyFill="1" applyAlignment="1">
      <alignment horizontal="center" vertical="center"/>
    </xf>
    <xf numFmtId="0" fontId="24" fillId="9" borderId="0" xfId="0" applyFont="1" applyFill="1" applyAlignment="1">
      <alignment horizontal="center" vertical="center"/>
    </xf>
    <xf numFmtId="171" fontId="20" fillId="9" borderId="0" xfId="0" applyNumberFormat="1" applyFont="1" applyFill="1" applyAlignment="1">
      <alignment horizontal="center" vertical="center"/>
    </xf>
    <xf numFmtId="1" fontId="20" fillId="9" borderId="0" xfId="0" applyNumberFormat="1" applyFont="1" applyFill="1" applyAlignment="1">
      <alignment horizontal="center" vertical="center"/>
    </xf>
    <xf numFmtId="1" fontId="17" fillId="9" borderId="0" xfId="0" applyNumberFormat="1" applyFont="1" applyFill="1" applyAlignment="1">
      <alignment horizontal="center" vertical="center"/>
    </xf>
    <xf numFmtId="0" fontId="17" fillId="9" borderId="0" xfId="0" applyFont="1" applyFill="1" applyAlignment="1">
      <alignment horizontal="right" vertical="center"/>
    </xf>
    <xf numFmtId="0" fontId="26" fillId="9" borderId="0" xfId="0" applyFont="1" applyFill="1" applyAlignment="1">
      <alignment vertical="center"/>
    </xf>
    <xf numFmtId="0" fontId="17" fillId="9" borderId="0" xfId="0" applyFont="1" applyFill="1" applyAlignment="1">
      <alignment vertical="center"/>
    </xf>
    <xf numFmtId="2" fontId="20" fillId="9" borderId="0" xfId="0" applyNumberFormat="1" applyFont="1" applyFill="1" applyAlignment="1">
      <alignment horizontal="center" vertical="center"/>
    </xf>
    <xf numFmtId="0" fontId="26" fillId="9" borderId="0" xfId="0" applyFont="1" applyFill="1" applyAlignment="1">
      <alignment horizontal="center" vertical="center"/>
    </xf>
    <xf numFmtId="0" fontId="30" fillId="9" borderId="0" xfId="0" applyFont="1" applyFill="1" applyAlignment="1">
      <alignment vertical="center"/>
    </xf>
    <xf numFmtId="167" fontId="23" fillId="9" borderId="0" xfId="4" applyNumberFormat="1" applyFont="1" applyFill="1" applyAlignment="1">
      <alignment horizontal="center" vertical="center"/>
    </xf>
    <xf numFmtId="0" fontId="23" fillId="9" borderId="0" xfId="4" applyFont="1" applyFill="1" applyAlignment="1">
      <alignment horizontal="left" vertical="center"/>
    </xf>
    <xf numFmtId="168" fontId="14" fillId="0" borderId="0" xfId="0" applyNumberFormat="1" applyFont="1"/>
    <xf numFmtId="3" fontId="13" fillId="0" borderId="0" xfId="0" applyNumberFormat="1" applyFont="1"/>
    <xf numFmtId="0" fontId="32" fillId="0" borderId="0" xfId="0" applyFont="1"/>
    <xf numFmtId="169" fontId="32" fillId="0" borderId="0" xfId="0" applyNumberFormat="1" applyFont="1"/>
    <xf numFmtId="170" fontId="0" fillId="0" borderId="0" xfId="0" applyNumberFormat="1"/>
    <xf numFmtId="9" fontId="13" fillId="6" borderId="0" xfId="0" applyNumberFormat="1" applyFont="1" applyFill="1"/>
    <xf numFmtId="49" fontId="1" fillId="0" borderId="0" xfId="0" applyNumberFormat="1" applyFont="1" applyAlignment="1">
      <alignment horizontal="right" wrapText="1"/>
    </xf>
    <xf numFmtId="0" fontId="33" fillId="19" borderId="0" xfId="0" applyFont="1" applyFill="1" applyAlignment="1">
      <alignment horizontal="left" vertical="top"/>
    </xf>
    <xf numFmtId="0" fontId="33" fillId="19" borderId="0" xfId="0" applyFont="1" applyFill="1" applyAlignment="1">
      <alignment horizontal="left" vertical="top" wrapText="1"/>
    </xf>
    <xf numFmtId="0" fontId="33" fillId="9" borderId="0" xfId="0" applyFont="1" applyFill="1" applyAlignment="1">
      <alignment vertical="top"/>
    </xf>
    <xf numFmtId="0" fontId="33" fillId="9" borderId="0" xfId="0" applyFont="1" applyFill="1" applyAlignment="1">
      <alignment horizontal="left" vertical="top"/>
    </xf>
    <xf numFmtId="0" fontId="33" fillId="9" borderId="0" xfId="0" applyFont="1" applyFill="1" applyAlignment="1">
      <alignment vertical="top" wrapText="1"/>
    </xf>
    <xf numFmtId="0" fontId="33" fillId="19" borderId="0" xfId="0" applyFont="1" applyFill="1" applyAlignment="1">
      <alignment vertical="top"/>
    </xf>
    <xf numFmtId="0" fontId="34" fillId="9" borderId="0" xfId="0" applyFont="1" applyFill="1" applyAlignment="1">
      <alignment horizontal="left" vertical="top"/>
    </xf>
    <xf numFmtId="0" fontId="37" fillId="9" borderId="0" xfId="0" applyFont="1" applyFill="1" applyAlignment="1">
      <alignment horizontal="left" vertical="top"/>
    </xf>
    <xf numFmtId="0" fontId="35" fillId="9" borderId="0" xfId="0" applyFont="1" applyFill="1" applyAlignment="1">
      <alignment vertical="top"/>
    </xf>
    <xf numFmtId="0" fontId="36" fillId="9" borderId="0" xfId="0" applyFont="1" applyFill="1" applyAlignment="1">
      <alignment vertical="top"/>
    </xf>
    <xf numFmtId="0" fontId="36" fillId="9" borderId="0" xfId="0" applyFont="1" applyFill="1" applyAlignment="1">
      <alignment horizontal="center" vertical="top" wrapText="1"/>
    </xf>
    <xf numFmtId="0" fontId="36" fillId="9" borderId="0" xfId="0" applyFont="1" applyFill="1" applyAlignment="1">
      <alignment horizontal="center" vertical="top"/>
    </xf>
    <xf numFmtId="0" fontId="36" fillId="9" borderId="0" xfId="0" applyFont="1" applyFill="1" applyAlignment="1">
      <alignment vertical="top" wrapText="1"/>
    </xf>
    <xf numFmtId="0" fontId="35" fillId="19" borderId="0" xfId="0" applyFont="1" applyFill="1" applyAlignment="1">
      <alignment vertical="top"/>
    </xf>
    <xf numFmtId="0" fontId="33" fillId="9" borderId="0" xfId="0" applyFont="1" applyFill="1"/>
    <xf numFmtId="0" fontId="38" fillId="9" borderId="0" xfId="0" applyFont="1" applyFill="1" applyAlignment="1">
      <alignment horizontal="center"/>
    </xf>
    <xf numFmtId="0" fontId="3" fillId="9" borderId="0" xfId="0" applyFont="1" applyFill="1" applyAlignment="1">
      <alignment horizontal="center"/>
    </xf>
    <xf numFmtId="0" fontId="39" fillId="9" borderId="8" xfId="0" applyFont="1" applyFill="1" applyBorder="1"/>
    <xf numFmtId="0" fontId="40" fillId="9" borderId="8" xfId="0" applyFont="1" applyFill="1" applyBorder="1"/>
    <xf numFmtId="0" fontId="33" fillId="9" borderId="8" xfId="0" applyFont="1" applyFill="1" applyBorder="1"/>
    <xf numFmtId="0" fontId="0" fillId="9" borderId="8" xfId="0" applyFill="1" applyBorder="1"/>
    <xf numFmtId="0" fontId="33" fillId="9" borderId="0" xfId="0" applyFont="1" applyFill="1" applyAlignment="1">
      <alignment horizontal="left" indent="1"/>
    </xf>
    <xf numFmtId="2" fontId="0" fillId="9" borderId="0" xfId="0" applyNumberFormat="1" applyFill="1"/>
    <xf numFmtId="2" fontId="1" fillId="9" borderId="0" xfId="0" applyNumberFormat="1" applyFont="1" applyFill="1"/>
    <xf numFmtId="0" fontId="1" fillId="9" borderId="8" xfId="0" applyFont="1" applyFill="1" applyBorder="1"/>
    <xf numFmtId="1" fontId="0" fillId="9" borderId="0" xfId="0" applyNumberFormat="1" applyFill="1"/>
    <xf numFmtId="1" fontId="1" fillId="9" borderId="0" xfId="0" applyNumberFormat="1" applyFont="1" applyFill="1"/>
    <xf numFmtId="0" fontId="0" fillId="9" borderId="0" xfId="0" applyFill="1"/>
    <xf numFmtId="0" fontId="39" fillId="9" borderId="0" xfId="0" applyFont="1" applyFill="1"/>
    <xf numFmtId="0" fontId="35" fillId="9" borderId="0" xfId="0" applyFont="1" applyFill="1"/>
    <xf numFmtId="0" fontId="36" fillId="9" borderId="0" xfId="0" applyFont="1" applyFill="1"/>
    <xf numFmtId="0" fontId="38" fillId="9" borderId="8" xfId="0" applyFont="1" applyFill="1" applyBorder="1"/>
    <xf numFmtId="174" fontId="33" fillId="9" borderId="0" xfId="5" applyNumberFormat="1" applyFont="1" applyFill="1" applyBorder="1"/>
    <xf numFmtId="174" fontId="39" fillId="9" borderId="0" xfId="5" applyNumberFormat="1" applyFont="1" applyFill="1" applyBorder="1"/>
    <xf numFmtId="0" fontId="33" fillId="9" borderId="0" xfId="0" applyFont="1" applyFill="1" applyAlignment="1">
      <alignment horizontal="left"/>
    </xf>
    <xf numFmtId="0" fontId="33" fillId="9" borderId="10" xfId="0" applyFont="1" applyFill="1" applyBorder="1" applyAlignment="1">
      <alignment horizontal="left"/>
    </xf>
    <xf numFmtId="1" fontId="33" fillId="9" borderId="0" xfId="0" applyNumberFormat="1" applyFont="1" applyFill="1"/>
    <xf numFmtId="1" fontId="39" fillId="9" borderId="0" xfId="0" applyNumberFormat="1" applyFont="1" applyFill="1"/>
    <xf numFmtId="0" fontId="39" fillId="9" borderId="11" xfId="0" applyFont="1" applyFill="1" applyBorder="1"/>
    <xf numFmtId="0" fontId="33" fillId="9" borderId="11" xfId="0" applyFont="1" applyFill="1" applyBorder="1"/>
    <xf numFmtId="3" fontId="41" fillId="9" borderId="11" xfId="0" applyNumberFormat="1" applyFont="1" applyFill="1" applyBorder="1"/>
    <xf numFmtId="3" fontId="41" fillId="9" borderId="0" xfId="0" applyNumberFormat="1" applyFont="1" applyFill="1"/>
    <xf numFmtId="0" fontId="33" fillId="9" borderId="0" xfId="0" applyFont="1" applyFill="1" applyAlignment="1">
      <alignment horizontal="left" indent="2"/>
    </xf>
    <xf numFmtId="4" fontId="33" fillId="9" borderId="0" xfId="0" applyNumberFormat="1" applyFont="1" applyFill="1"/>
    <xf numFmtId="4" fontId="39" fillId="9" borderId="0" xfId="0" applyNumberFormat="1" applyFont="1" applyFill="1"/>
    <xf numFmtId="3" fontId="33" fillId="9" borderId="0" xfId="0" applyNumberFormat="1" applyFont="1" applyFill="1"/>
    <xf numFmtId="2" fontId="33" fillId="9" borderId="0" xfId="0" applyNumberFormat="1" applyFont="1" applyFill="1"/>
    <xf numFmtId="2" fontId="39" fillId="9" borderId="0" xfId="0" applyNumberFormat="1" applyFont="1" applyFill="1"/>
    <xf numFmtId="0" fontId="39" fillId="9" borderId="0" xfId="0" applyFont="1" applyFill="1" applyAlignment="1">
      <alignment vertical="top"/>
    </xf>
    <xf numFmtId="3" fontId="33" fillId="9" borderId="0" xfId="0" applyNumberFormat="1" applyFont="1" applyFill="1" applyAlignment="1">
      <alignment vertical="top" wrapText="1"/>
    </xf>
    <xf numFmtId="0" fontId="33" fillId="0" borderId="12" xfId="0" applyFont="1" applyBorder="1" applyAlignment="1">
      <alignment horizontal="left" indent="1"/>
    </xf>
    <xf numFmtId="0" fontId="42" fillId="9" borderId="12" xfId="0" applyFont="1" applyFill="1" applyBorder="1"/>
    <xf numFmtId="0" fontId="43" fillId="9" borderId="12" xfId="0" applyFont="1" applyFill="1" applyBorder="1"/>
    <xf numFmtId="0" fontId="42" fillId="9" borderId="0" xfId="0" applyFont="1" applyFill="1"/>
    <xf numFmtId="0" fontId="44" fillId="9" borderId="0" xfId="0" applyFont="1" applyFill="1"/>
    <xf numFmtId="0" fontId="43" fillId="9" borderId="0" xfId="0" applyFont="1" applyFill="1"/>
    <xf numFmtId="0" fontId="33" fillId="9" borderId="10" xfId="0" applyFont="1" applyFill="1" applyBorder="1" applyAlignment="1">
      <alignment horizontal="left" indent="1"/>
    </xf>
    <xf numFmtId="0" fontId="42" fillId="9" borderId="10" xfId="0" applyFont="1" applyFill="1" applyBorder="1"/>
    <xf numFmtId="1" fontId="42" fillId="9" borderId="10" xfId="0" applyNumberFormat="1" applyFont="1" applyFill="1" applyBorder="1"/>
    <xf numFmtId="1" fontId="43" fillId="9" borderId="10" xfId="0" applyNumberFormat="1" applyFont="1" applyFill="1" applyBorder="1"/>
    <xf numFmtId="0" fontId="43" fillId="9" borderId="10" xfId="0" applyFont="1" applyFill="1" applyBorder="1"/>
    <xf numFmtId="0" fontId="45" fillId="9" borderId="0" xfId="0" applyFont="1" applyFill="1"/>
    <xf numFmtId="1" fontId="42" fillId="9" borderId="0" xfId="0" applyNumberFormat="1" applyFont="1" applyFill="1"/>
    <xf numFmtId="1" fontId="45" fillId="9" borderId="0" xfId="0" applyNumberFormat="1" applyFont="1" applyFill="1"/>
    <xf numFmtId="0" fontId="43" fillId="9" borderId="8" xfId="0" applyFont="1" applyFill="1" applyBorder="1"/>
    <xf numFmtId="0" fontId="46" fillId="9" borderId="8" xfId="0" applyFont="1" applyFill="1" applyBorder="1"/>
    <xf numFmtId="0" fontId="42" fillId="9" borderId="8" xfId="0" applyFont="1" applyFill="1" applyBorder="1"/>
    <xf numFmtId="2" fontId="46" fillId="9" borderId="8" xfId="0" applyNumberFormat="1" applyFont="1" applyFill="1" applyBorder="1"/>
    <xf numFmtId="0" fontId="33" fillId="9" borderId="11" xfId="0" applyFont="1" applyFill="1" applyBorder="1" applyAlignment="1">
      <alignment horizontal="left" indent="1"/>
    </xf>
    <xf numFmtId="1" fontId="46" fillId="9" borderId="0" xfId="0" applyNumberFormat="1" applyFont="1" applyFill="1"/>
    <xf numFmtId="2" fontId="42" fillId="9" borderId="0" xfId="0" applyNumberFormat="1" applyFont="1" applyFill="1"/>
    <xf numFmtId="2" fontId="43" fillId="9" borderId="0" xfId="0" applyNumberFormat="1" applyFont="1" applyFill="1"/>
    <xf numFmtId="0" fontId="47" fillId="9" borderId="0" xfId="0" applyFont="1" applyFill="1"/>
    <xf numFmtId="0" fontId="48" fillId="9" borderId="8" xfId="0" applyFont="1" applyFill="1" applyBorder="1"/>
    <xf numFmtId="0" fontId="39" fillId="9" borderId="0" xfId="0" applyFont="1" applyFill="1" applyAlignment="1">
      <alignment horizontal="left" indent="1"/>
    </xf>
    <xf numFmtId="9" fontId="45" fillId="9" borderId="0" xfId="2" applyFont="1" applyFill="1" applyBorder="1"/>
    <xf numFmtId="0" fontId="49" fillId="9" borderId="0" xfId="0" applyFont="1" applyFill="1"/>
    <xf numFmtId="0" fontId="33" fillId="9" borderId="13" xfId="0" applyFont="1" applyFill="1" applyBorder="1" applyAlignment="1">
      <alignment horizontal="left" indent="2"/>
    </xf>
    <xf numFmtId="0" fontId="47" fillId="9" borderId="13" xfId="0" applyFont="1" applyFill="1" applyBorder="1"/>
    <xf numFmtId="0" fontId="42" fillId="9" borderId="13" xfId="0" applyFont="1" applyFill="1" applyBorder="1"/>
    <xf numFmtId="9" fontId="45" fillId="9" borderId="13" xfId="0" applyNumberFormat="1" applyFont="1" applyFill="1" applyBorder="1"/>
    <xf numFmtId="0" fontId="49" fillId="9" borderId="13" xfId="0" applyFont="1" applyFill="1" applyBorder="1"/>
    <xf numFmtId="0" fontId="39" fillId="9" borderId="13" xfId="0" applyFont="1" applyFill="1" applyBorder="1" applyAlignment="1">
      <alignment horizontal="left" indent="1"/>
    </xf>
    <xf numFmtId="0" fontId="45" fillId="9" borderId="13" xfId="0" applyFont="1" applyFill="1" applyBorder="1"/>
    <xf numFmtId="0" fontId="50" fillId="9" borderId="0" xfId="0" applyFont="1" applyFill="1" applyAlignment="1">
      <alignment horizontal="left" indent="1"/>
    </xf>
    <xf numFmtId="0" fontId="51" fillId="9" borderId="0" xfId="0" applyFont="1" applyFill="1"/>
    <xf numFmtId="0" fontId="46" fillId="9" borderId="0" xfId="0" applyFont="1" applyFill="1"/>
    <xf numFmtId="0" fontId="42" fillId="9" borderId="0" xfId="0" applyFont="1" applyFill="1" applyAlignment="1">
      <alignment horizontal="left"/>
    </xf>
    <xf numFmtId="0" fontId="42" fillId="0" borderId="0" xfId="0" applyFont="1"/>
    <xf numFmtId="0" fontId="52" fillId="9" borderId="0" xfId="0" applyFont="1" applyFill="1" applyAlignment="1">
      <alignment horizontal="left" indent="2"/>
    </xf>
    <xf numFmtId="0" fontId="44" fillId="9" borderId="0" xfId="0" applyFont="1" applyFill="1" applyAlignment="1">
      <alignment horizontal="left"/>
    </xf>
    <xf numFmtId="0" fontId="53" fillId="19" borderId="0" xfId="0" applyFont="1" applyFill="1" applyAlignment="1">
      <alignment vertical="top"/>
    </xf>
    <xf numFmtId="0" fontId="33" fillId="9" borderId="0" xfId="0" applyFont="1" applyFill="1" applyAlignment="1">
      <alignment horizontal="left" indent="3"/>
    </xf>
    <xf numFmtId="0" fontId="39" fillId="9" borderId="11" xfId="0" applyFont="1" applyFill="1" applyBorder="1" applyAlignment="1">
      <alignment horizontal="left" indent="1"/>
    </xf>
    <xf numFmtId="0" fontId="42" fillId="9" borderId="11" xfId="0" applyFont="1" applyFill="1" applyBorder="1"/>
    <xf numFmtId="0" fontId="42" fillId="9" borderId="11" xfId="0" applyFont="1" applyFill="1" applyBorder="1" applyAlignment="1">
      <alignment horizontal="left"/>
    </xf>
    <xf numFmtId="3" fontId="54" fillId="9" borderId="11" xfId="0" applyNumberFormat="1" applyFont="1" applyFill="1" applyBorder="1"/>
    <xf numFmtId="0" fontId="39" fillId="19" borderId="0" xfId="0" applyFont="1" applyFill="1" applyAlignment="1">
      <alignment vertical="top"/>
    </xf>
    <xf numFmtId="0" fontId="33" fillId="19" borderId="0" xfId="0" applyFont="1" applyFill="1" applyAlignment="1">
      <alignment vertical="top" wrapText="1"/>
    </xf>
    <xf numFmtId="0" fontId="55" fillId="19" borderId="0" xfId="0" applyFont="1" applyFill="1" applyAlignment="1">
      <alignment horizontal="left" vertical="top"/>
    </xf>
    <xf numFmtId="0" fontId="38" fillId="9" borderId="14" xfId="0" applyFont="1" applyFill="1" applyBorder="1"/>
    <xf numFmtId="0" fontId="40" fillId="9" borderId="0" xfId="0" applyFont="1" applyFill="1"/>
    <xf numFmtId="0" fontId="40" fillId="9" borderId="12" xfId="0" applyFont="1" applyFill="1" applyBorder="1" applyAlignment="1">
      <alignment horizontal="left" indent="1"/>
    </xf>
    <xf numFmtId="0" fontId="47" fillId="9" borderId="13" xfId="0" applyFont="1" applyFill="1" applyBorder="1" applyAlignment="1">
      <alignment horizontal="left"/>
    </xf>
    <xf numFmtId="2" fontId="47" fillId="9" borderId="13" xfId="0" applyNumberFormat="1" applyFont="1" applyFill="1" applyBorder="1"/>
    <xf numFmtId="2" fontId="49" fillId="9" borderId="13" xfId="0" applyNumberFormat="1" applyFont="1" applyFill="1" applyBorder="1"/>
    <xf numFmtId="0" fontId="38" fillId="9" borderId="0" xfId="0" applyFont="1" applyFill="1" applyAlignment="1">
      <alignment horizontal="left" indent="1"/>
    </xf>
    <xf numFmtId="0" fontId="2" fillId="9" borderId="0" xfId="0" applyFont="1" applyFill="1" applyAlignment="1">
      <alignment horizontal="left" indent="1"/>
    </xf>
    <xf numFmtId="0" fontId="47" fillId="9" borderId="0" xfId="0" applyFont="1" applyFill="1" applyAlignment="1">
      <alignment horizontal="left"/>
    </xf>
    <xf numFmtId="0" fontId="38" fillId="0" borderId="8" xfId="0" applyFont="1" applyBorder="1"/>
    <xf numFmtId="0" fontId="40" fillId="9" borderId="0" xfId="0" applyFont="1" applyFill="1" applyAlignment="1">
      <alignment horizontal="left" indent="1"/>
    </xf>
    <xf numFmtId="0" fontId="40" fillId="9" borderId="0" xfId="0" applyFont="1" applyFill="1" applyAlignment="1">
      <alignment horizontal="left" indent="2"/>
    </xf>
    <xf numFmtId="0" fontId="47" fillId="9" borderId="12" xfId="0" applyFont="1" applyFill="1" applyBorder="1" applyAlignment="1">
      <alignment horizontal="left"/>
    </xf>
    <xf numFmtId="0" fontId="0" fillId="9" borderId="0" xfId="0" applyFill="1" applyAlignment="1">
      <alignment horizontal="left" indent="1"/>
    </xf>
    <xf numFmtId="0" fontId="38" fillId="9" borderId="10" xfId="0" applyFont="1" applyFill="1" applyBorder="1"/>
    <xf numFmtId="0" fontId="47" fillId="9" borderId="11" xfId="0" applyFont="1" applyFill="1" applyBorder="1" applyAlignment="1">
      <alignment horizontal="left"/>
    </xf>
    <xf numFmtId="3" fontId="43" fillId="9" borderId="0" xfId="0" applyNumberFormat="1" applyFont="1" applyFill="1"/>
    <xf numFmtId="0" fontId="56" fillId="9" borderId="0" xfId="0" applyFont="1" applyFill="1"/>
    <xf numFmtId="0" fontId="40" fillId="9" borderId="0" xfId="0" applyFont="1" applyFill="1" applyAlignment="1">
      <alignment horizontal="left" indent="3"/>
    </xf>
    <xf numFmtId="0" fontId="33" fillId="9" borderId="0" xfId="0" applyFont="1" applyFill="1" applyAlignment="1">
      <alignment horizontal="right"/>
    </xf>
    <xf numFmtId="0" fontId="57" fillId="9" borderId="0" xfId="0" applyFont="1" applyFill="1" applyAlignment="1">
      <alignment horizontal="left" indent="2"/>
    </xf>
    <xf numFmtId="0" fontId="51" fillId="9" borderId="0" xfId="0" applyFont="1" applyFill="1" applyAlignment="1">
      <alignment horizontal="left"/>
    </xf>
    <xf numFmtId="3" fontId="51" fillId="9" borderId="0" xfId="0" applyNumberFormat="1" applyFont="1" applyFill="1"/>
    <xf numFmtId="3" fontId="42" fillId="9" borderId="0" xfId="0" applyNumberFormat="1" applyFont="1" applyFill="1"/>
    <xf numFmtId="0" fontId="58" fillId="9" borderId="0" xfId="0" applyFont="1" applyFill="1" applyAlignment="1">
      <alignment horizontal="left" indent="1"/>
    </xf>
    <xf numFmtId="3" fontId="44" fillId="9" borderId="0" xfId="0" applyNumberFormat="1" applyFont="1" applyFill="1"/>
    <xf numFmtId="0" fontId="38" fillId="9" borderId="11" xfId="0" applyFont="1" applyFill="1" applyBorder="1" applyAlignment="1">
      <alignment horizontal="left" indent="1"/>
    </xf>
    <xf numFmtId="0" fontId="40" fillId="9" borderId="10" xfId="0" applyFont="1" applyFill="1" applyBorder="1" applyAlignment="1">
      <alignment horizontal="left" indent="2"/>
    </xf>
    <xf numFmtId="0" fontId="42" fillId="9" borderId="10" xfId="0" applyFont="1" applyFill="1" applyBorder="1" applyAlignment="1">
      <alignment horizontal="left"/>
    </xf>
    <xf numFmtId="2" fontId="42" fillId="9" borderId="10" xfId="0" applyNumberFormat="1" applyFont="1" applyFill="1" applyBorder="1"/>
    <xf numFmtId="3" fontId="42" fillId="9" borderId="10" xfId="0" applyNumberFormat="1" applyFont="1" applyFill="1" applyBorder="1"/>
    <xf numFmtId="0" fontId="35" fillId="9" borderId="12" xfId="0" applyFont="1" applyFill="1" applyBorder="1"/>
    <xf numFmtId="2" fontId="33" fillId="9" borderId="12" xfId="0" applyNumberFormat="1" applyFont="1" applyFill="1" applyBorder="1"/>
    <xf numFmtId="0" fontId="52" fillId="9" borderId="0" xfId="0" applyFont="1" applyFill="1"/>
    <xf numFmtId="0" fontId="59" fillId="9" borderId="0" xfId="0" applyFont="1" applyFill="1"/>
    <xf numFmtId="2" fontId="52" fillId="9" borderId="0" xfId="0" applyNumberFormat="1" applyFont="1" applyFill="1"/>
    <xf numFmtId="0" fontId="38" fillId="0" borderId="14" xfId="0" applyFont="1" applyBorder="1"/>
    <xf numFmtId="0" fontId="56" fillId="9" borderId="8" xfId="0" applyFont="1" applyFill="1" applyBorder="1"/>
    <xf numFmtId="0" fontId="62" fillId="9" borderId="0" xfId="0" applyFont="1" applyFill="1"/>
    <xf numFmtId="0" fontId="0" fillId="9" borderId="10" xfId="0" applyFill="1" applyBorder="1" applyAlignment="1">
      <alignment horizontal="left" indent="1"/>
    </xf>
    <xf numFmtId="0" fontId="63" fillId="9" borderId="10" xfId="0" applyFont="1" applyFill="1" applyBorder="1"/>
    <xf numFmtId="0" fontId="52" fillId="9" borderId="10" xfId="0" applyFont="1" applyFill="1" applyBorder="1"/>
    <xf numFmtId="2" fontId="52" fillId="9" borderId="10" xfId="0" applyNumberFormat="1" applyFont="1" applyFill="1" applyBorder="1"/>
    <xf numFmtId="0" fontId="59" fillId="9" borderId="8" xfId="0" applyFont="1" applyFill="1" applyBorder="1"/>
    <xf numFmtId="0" fontId="62" fillId="9" borderId="8" xfId="0" applyFont="1" applyFill="1" applyBorder="1"/>
    <xf numFmtId="0" fontId="63" fillId="9" borderId="0" xfId="0" applyFont="1" applyFill="1"/>
    <xf numFmtId="0" fontId="40" fillId="9" borderId="10" xfId="0" applyFont="1" applyFill="1" applyBorder="1" applyAlignment="1">
      <alignment horizontal="left" indent="1"/>
    </xf>
    <xf numFmtId="0" fontId="59" fillId="9" borderId="10" xfId="0" applyFont="1" applyFill="1" applyBorder="1"/>
    <xf numFmtId="0" fontId="62" fillId="9" borderId="10" xfId="0" applyFont="1" applyFill="1" applyBorder="1"/>
    <xf numFmtId="0" fontId="40" fillId="9" borderId="10" xfId="0" applyFont="1" applyFill="1" applyBorder="1"/>
    <xf numFmtId="0" fontId="56" fillId="9" borderId="0" xfId="0" quotePrefix="1" applyFont="1" applyFill="1"/>
    <xf numFmtId="0" fontId="62" fillId="9" borderId="10" xfId="0" quotePrefix="1" applyFont="1" applyFill="1" applyBorder="1"/>
    <xf numFmtId="0" fontId="38" fillId="9" borderId="0" xfId="0" applyFont="1" applyFill="1"/>
    <xf numFmtId="0" fontId="64" fillId="9" borderId="10" xfId="0" applyFont="1" applyFill="1" applyBorder="1"/>
    <xf numFmtId="0" fontId="50" fillId="9" borderId="10" xfId="0" applyFont="1" applyFill="1" applyBorder="1"/>
    <xf numFmtId="0" fontId="56" fillId="9" borderId="10" xfId="0" applyFont="1" applyFill="1" applyBorder="1"/>
    <xf numFmtId="0" fontId="33" fillId="9" borderId="10" xfId="0" applyFont="1" applyFill="1" applyBorder="1"/>
    <xf numFmtId="0" fontId="0" fillId="9" borderId="10" xfId="0" applyFill="1" applyBorder="1"/>
    <xf numFmtId="2" fontId="39" fillId="9" borderId="10" xfId="0" applyNumberFormat="1" applyFont="1" applyFill="1" applyBorder="1" applyAlignment="1">
      <alignment horizontal="right"/>
    </xf>
    <xf numFmtId="0" fontId="39" fillId="9" borderId="10" xfId="0" applyFont="1" applyFill="1" applyBorder="1" applyAlignment="1">
      <alignment horizontal="right"/>
    </xf>
    <xf numFmtId="2" fontId="39" fillId="9" borderId="0" xfId="0" applyNumberFormat="1" applyFont="1" applyFill="1" applyAlignment="1">
      <alignment horizontal="right"/>
    </xf>
    <xf numFmtId="0" fontId="33" fillId="9" borderId="11" xfId="0" applyFont="1" applyFill="1" applyBorder="1" applyAlignment="1">
      <alignment horizontal="left" indent="2"/>
    </xf>
    <xf numFmtId="0" fontId="47" fillId="9" borderId="11" xfId="0" applyFont="1" applyFill="1" applyBorder="1"/>
    <xf numFmtId="0" fontId="49" fillId="9" borderId="11" xfId="0" applyFont="1" applyFill="1" applyBorder="1"/>
    <xf numFmtId="9" fontId="45" fillId="9" borderId="11" xfId="0" applyNumberFormat="1" applyFont="1" applyFill="1" applyBorder="1"/>
    <xf numFmtId="0" fontId="34" fillId="0" borderId="0" xfId="0" applyFont="1" applyAlignment="1">
      <alignment horizontal="left" vertical="top"/>
    </xf>
    <xf numFmtId="0" fontId="47" fillId="9" borderId="12" xfId="0" applyFont="1" applyFill="1" applyBorder="1"/>
    <xf numFmtId="0" fontId="47" fillId="9" borderId="0" xfId="0" applyFont="1" applyFill="1" applyAlignment="1">
      <alignment horizontal="right"/>
    </xf>
    <xf numFmtId="0" fontId="44" fillId="9" borderId="0" xfId="0" applyFont="1" applyFill="1" applyAlignment="1">
      <alignment horizontal="right"/>
    </xf>
    <xf numFmtId="2" fontId="44" fillId="9" borderId="0" xfId="0" applyNumberFormat="1" applyFont="1" applyFill="1"/>
    <xf numFmtId="2" fontId="42" fillId="9" borderId="12" xfId="0" applyNumberFormat="1" applyFont="1" applyFill="1" applyBorder="1"/>
    <xf numFmtId="2" fontId="43" fillId="9" borderId="12" xfId="0" applyNumberFormat="1" applyFont="1" applyFill="1" applyBorder="1"/>
    <xf numFmtId="0" fontId="44" fillId="9" borderId="10" xfId="0" applyFont="1" applyFill="1" applyBorder="1"/>
    <xf numFmtId="0" fontId="46" fillId="9" borderId="11" xfId="0" applyFont="1" applyFill="1" applyBorder="1"/>
    <xf numFmtId="2" fontId="42" fillId="9" borderId="11" xfId="0" applyNumberFormat="1" applyFont="1" applyFill="1" applyBorder="1"/>
    <xf numFmtId="2" fontId="43" fillId="9" borderId="11" xfId="0" applyNumberFormat="1" applyFont="1" applyFill="1" applyBorder="1"/>
    <xf numFmtId="0" fontId="65" fillId="9" borderId="0" xfId="0" applyFont="1" applyFill="1"/>
    <xf numFmtId="0" fontId="66" fillId="9" borderId="0" xfId="0" applyFont="1" applyFill="1"/>
    <xf numFmtId="0" fontId="40" fillId="9" borderId="11" xfId="0" applyFont="1" applyFill="1" applyBorder="1" applyAlignment="1">
      <alignment horizontal="left" indent="1"/>
    </xf>
    <xf numFmtId="0" fontId="43" fillId="9" borderId="11" xfId="0" applyFont="1" applyFill="1" applyBorder="1"/>
    <xf numFmtId="0" fontId="65" fillId="9" borderId="10" xfId="0" applyFont="1" applyFill="1" applyBorder="1"/>
    <xf numFmtId="0" fontId="66" fillId="9" borderId="10" xfId="0" applyFont="1" applyFill="1" applyBorder="1"/>
    <xf numFmtId="168" fontId="42" fillId="9" borderId="0" xfId="0" applyNumberFormat="1" applyFont="1" applyFill="1"/>
    <xf numFmtId="168" fontId="43" fillId="9" borderId="0" xfId="0" applyNumberFormat="1" applyFont="1" applyFill="1"/>
    <xf numFmtId="0" fontId="63" fillId="9" borderId="0" xfId="0" applyFont="1" applyFill="1" applyAlignment="1">
      <alignment horizontal="left" indent="2"/>
    </xf>
    <xf numFmtId="0" fontId="63" fillId="9" borderId="0" xfId="0" applyFont="1" applyFill="1" applyAlignment="1">
      <alignment horizontal="left" indent="1"/>
    </xf>
    <xf numFmtId="0" fontId="47" fillId="9" borderId="10" xfId="0" applyFont="1" applyFill="1" applyBorder="1"/>
    <xf numFmtId="0" fontId="42" fillId="9" borderId="0" xfId="0" applyFont="1" applyFill="1" applyAlignment="1">
      <alignment horizontal="right"/>
    </xf>
    <xf numFmtId="0" fontId="42" fillId="9" borderId="0" xfId="0" quotePrefix="1" applyFont="1" applyFill="1"/>
    <xf numFmtId="2" fontId="43" fillId="9" borderId="0" xfId="0" applyNumberFormat="1" applyFont="1" applyFill="1" applyAlignment="1">
      <alignment horizontal="right"/>
    </xf>
    <xf numFmtId="0" fontId="44" fillId="9" borderId="10" xfId="0" applyFont="1" applyFill="1" applyBorder="1" applyAlignment="1">
      <alignment horizontal="left"/>
    </xf>
    <xf numFmtId="0" fontId="44" fillId="9" borderId="10" xfId="0" applyFont="1" applyFill="1" applyBorder="1" applyAlignment="1">
      <alignment horizontal="right"/>
    </xf>
    <xf numFmtId="0" fontId="44" fillId="9" borderId="10" xfId="0" quotePrefix="1" applyFont="1" applyFill="1" applyBorder="1"/>
    <xf numFmtId="0" fontId="41" fillId="9" borderId="0" xfId="0" applyFont="1" applyFill="1" applyAlignment="1">
      <alignment vertical="top" wrapText="1"/>
    </xf>
    <xf numFmtId="3" fontId="13" fillId="6" borderId="0" xfId="0" applyNumberFormat="1" applyFont="1" applyFill="1"/>
    <xf numFmtId="1" fontId="13" fillId="6" borderId="0" xfId="0" applyNumberFormat="1" applyFont="1" applyFill="1"/>
    <xf numFmtId="171" fontId="0" fillId="0" borderId="0" xfId="0" applyNumberFormat="1"/>
    <xf numFmtId="168" fontId="13" fillId="6" borderId="0" xfId="0" applyNumberFormat="1" applyFont="1" applyFill="1"/>
    <xf numFmtId="0" fontId="1" fillId="20" borderId="0" xfId="0" applyFont="1" applyFill="1" applyAlignment="1">
      <alignment horizontal="left" wrapText="1"/>
    </xf>
    <xf numFmtId="0" fontId="1" fillId="20" borderId="0" xfId="0" applyFont="1" applyFill="1" applyAlignment="1">
      <alignment horizontal="right" wrapText="1"/>
    </xf>
    <xf numFmtId="0" fontId="1" fillId="0" borderId="0" xfId="0" applyFont="1" applyAlignment="1">
      <alignment horizontal="left" wrapText="1"/>
    </xf>
    <xf numFmtId="168" fontId="0" fillId="21" borderId="0" xfId="0" applyNumberFormat="1" applyFill="1"/>
    <xf numFmtId="1" fontId="0" fillId="6" borderId="0" xfId="0" applyNumberFormat="1" applyFill="1"/>
    <xf numFmtId="1" fontId="0" fillId="0" borderId="0" xfId="2" applyNumberFormat="1" applyFont="1"/>
    <xf numFmtId="0" fontId="1" fillId="0" borderId="0" xfId="0" applyFont="1" applyAlignment="1">
      <alignment horizontal="left"/>
    </xf>
    <xf numFmtId="0" fontId="2" fillId="0" borderId="0" xfId="0" applyFont="1" applyAlignment="1">
      <alignment horizontal="left"/>
    </xf>
    <xf numFmtId="0" fontId="2" fillId="6" borderId="0" xfId="0" applyFont="1" applyFill="1" applyAlignment="1">
      <alignment horizontal="right"/>
    </xf>
    <xf numFmtId="0" fontId="2" fillId="6" borderId="0" xfId="0" applyFont="1" applyFill="1"/>
    <xf numFmtId="0" fontId="4" fillId="0" borderId="0" xfId="1" applyAlignment="1">
      <alignment horizontal="left"/>
    </xf>
    <xf numFmtId="0" fontId="68" fillId="22" borderId="0" xfId="0" applyFont="1" applyFill="1"/>
    <xf numFmtId="0" fontId="68" fillId="23" borderId="0" xfId="0" applyFont="1" applyFill="1" applyAlignment="1">
      <alignment horizontal="right" wrapText="1"/>
    </xf>
    <xf numFmtId="9" fontId="69" fillId="23" borderId="0" xfId="2" applyFont="1" applyFill="1" applyBorder="1"/>
    <xf numFmtId="0" fontId="0" fillId="0" borderId="18" xfId="0" applyBorder="1" applyAlignment="1">
      <alignment wrapText="1"/>
    </xf>
    <xf numFmtId="0" fontId="0" fillId="0" borderId="19" xfId="0" applyBorder="1" applyAlignment="1">
      <alignment wrapText="1"/>
    </xf>
    <xf numFmtId="49" fontId="1" fillId="0" borderId="0" xfId="0" applyNumberFormat="1" applyFont="1" applyAlignment="1">
      <alignment wrapText="1"/>
    </xf>
    <xf numFmtId="170" fontId="0" fillId="0" borderId="0" xfId="2" applyNumberFormat="1" applyFont="1"/>
    <xf numFmtId="9" fontId="70" fillId="24" borderId="0" xfId="2" applyFont="1" applyFill="1" applyBorder="1"/>
    <xf numFmtId="170" fontId="0" fillId="0" borderId="20" xfId="0" applyNumberFormat="1" applyBorder="1"/>
    <xf numFmtId="170" fontId="0" fillId="0" borderId="21" xfId="0" applyNumberFormat="1" applyBorder="1"/>
    <xf numFmtId="170" fontId="0" fillId="0" borderId="22" xfId="0" applyNumberFormat="1" applyBorder="1"/>
    <xf numFmtId="9" fontId="70" fillId="0" borderId="0" xfId="2" applyFont="1" applyFill="1" applyBorder="1"/>
    <xf numFmtId="170" fontId="0" fillId="0" borderId="23" xfId="0" applyNumberFormat="1" applyBorder="1"/>
    <xf numFmtId="170" fontId="0" fillId="0" borderId="24" xfId="0" applyNumberFormat="1" applyBorder="1"/>
    <xf numFmtId="170" fontId="0" fillId="0" borderId="25" xfId="0" applyNumberFormat="1" applyBorder="1"/>
    <xf numFmtId="0" fontId="71" fillId="25" borderId="0" xfId="0" applyFont="1" applyFill="1"/>
    <xf numFmtId="175" fontId="72" fillId="0" borderId="0" xfId="0" applyNumberFormat="1" applyFont="1" applyAlignment="1">
      <alignment horizontal="right"/>
    </xf>
    <xf numFmtId="171" fontId="0" fillId="0" borderId="0" xfId="0" applyNumberFormat="1" applyAlignment="1">
      <alignment horizontal="left"/>
    </xf>
    <xf numFmtId="168" fontId="0" fillId="0" borderId="0" xfId="0" applyNumberFormat="1" applyAlignment="1">
      <alignment horizontal="left"/>
    </xf>
    <xf numFmtId="176" fontId="72" fillId="0" borderId="0" xfId="0" applyNumberFormat="1" applyFont="1" applyAlignment="1">
      <alignment horizontal="right"/>
    </xf>
    <xf numFmtId="0" fontId="13" fillId="6" borderId="0" xfId="0" applyFont="1" applyFill="1" applyAlignment="1">
      <alignment horizontal="right"/>
    </xf>
    <xf numFmtId="49" fontId="2" fillId="6" borderId="0" xfId="0" applyNumberFormat="1" applyFont="1" applyFill="1"/>
    <xf numFmtId="9" fontId="8" fillId="11" borderId="4" xfId="2" applyFont="1" applyFill="1" applyBorder="1" applyAlignment="1">
      <alignment horizontal="center"/>
    </xf>
    <xf numFmtId="9" fontId="8" fillId="11" borderId="5" xfId="2" applyFont="1" applyFill="1" applyBorder="1" applyAlignment="1">
      <alignment horizontal="center"/>
    </xf>
    <xf numFmtId="9" fontId="8" fillId="11" borderId="6" xfId="2" applyFont="1" applyFill="1" applyBorder="1" applyAlignment="1">
      <alignment horizontal="center"/>
    </xf>
    <xf numFmtId="49" fontId="8" fillId="11" borderId="4" xfId="3" applyNumberFormat="1" applyBorder="1"/>
    <xf numFmtId="49" fontId="8" fillId="11" borderId="5" xfId="3" applyNumberFormat="1" applyBorder="1"/>
    <xf numFmtId="49" fontId="8" fillId="11" borderId="6" xfId="3" applyNumberFormat="1" applyBorder="1"/>
    <xf numFmtId="1" fontId="8" fillId="11" borderId="4" xfId="3" applyNumberFormat="1" applyBorder="1" applyAlignment="1">
      <alignment horizontal="center"/>
    </xf>
    <xf numFmtId="1" fontId="8" fillId="11" borderId="5" xfId="3" applyNumberFormat="1" applyBorder="1" applyAlignment="1">
      <alignment horizontal="center"/>
    </xf>
    <xf numFmtId="1" fontId="8" fillId="11" borderId="6" xfId="3" applyNumberFormat="1" applyBorder="1" applyAlignment="1">
      <alignment horizontal="center"/>
    </xf>
    <xf numFmtId="0" fontId="19" fillId="17" borderId="2" xfId="1" applyFont="1" applyFill="1" applyBorder="1" applyAlignment="1">
      <alignment horizontal="center" vertical="center"/>
    </xf>
    <xf numFmtId="0" fontId="18" fillId="17" borderId="0" xfId="4" applyFont="1" applyFill="1" applyAlignment="1">
      <alignment horizontal="center" vertical="center"/>
    </xf>
    <xf numFmtId="0" fontId="19" fillId="17" borderId="0" xfId="1" applyFont="1" applyFill="1" applyAlignment="1">
      <alignment horizontal="center" vertical="center"/>
    </xf>
    <xf numFmtId="0" fontId="19" fillId="9" borderId="0" xfId="1" applyFont="1" applyFill="1" applyAlignment="1">
      <alignment horizontal="center" vertical="center"/>
    </xf>
    <xf numFmtId="0" fontId="18" fillId="9" borderId="0" xfId="4" applyFont="1" applyFill="1" applyAlignment="1">
      <alignment horizontal="center" vertical="center"/>
    </xf>
    <xf numFmtId="0" fontId="35" fillId="9" borderId="0" xfId="0" applyFont="1" applyFill="1" applyAlignment="1">
      <alignment horizontal="left" vertical="top"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cellXfs>
  <cellStyles count="6">
    <cellStyle name="Hyperlink" xfId="1" builtinId="8"/>
    <cellStyle name="Input" xfId="3" builtinId="20"/>
    <cellStyle name="Komma 3" xfId="5" xr:uid="{11D78C18-BBDA-4254-A1DF-8716085E096D}"/>
    <cellStyle name="Normal" xfId="0" builtinId="0"/>
    <cellStyle name="Normal 5" xfId="4" xr:uid="{13009AAC-4DF4-458E-A9C9-561D31ACF34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Capital Cost of Equipment</a:t>
            </a:r>
            <a:r>
              <a:rPr lang="en-US" baseline="0"/>
              <a:t> per Unit Annual Energy Consumption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Summary!$A$2</c:f>
              <c:strCache>
                <c:ptCount val="1"/>
                <c:pt idx="0">
                  <c:v>heat below 100 °C</c:v>
                </c:pt>
              </c:strCache>
            </c:strRef>
          </c:tx>
          <c:spPr>
            <a:solidFill>
              <a:schemeClr val="accent1"/>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Summary!$B$2:$K$2</c:f>
              <c:numCache>
                <c:formatCode>0.000E+00</c:formatCode>
                <c:ptCount val="10"/>
                <c:pt idx="0">
                  <c:v>3.6314488500484264E-5</c:v>
                </c:pt>
                <c:pt idx="1">
                  <c:v>1.988884641576574E-5</c:v>
                </c:pt>
                <c:pt idx="2">
                  <c:v>6.2918941964973188E-6</c:v>
                </c:pt>
                <c:pt idx="3">
                  <c:v>1.988884641576574E-5</c:v>
                </c:pt>
                <c:pt idx="4">
                  <c:v>1.3097712072988588E-5</c:v>
                </c:pt>
                <c:pt idx="5">
                  <c:v>0</c:v>
                </c:pt>
                <c:pt idx="6">
                  <c:v>1.3097712072988588E-5</c:v>
                </c:pt>
                <c:pt idx="7">
                  <c:v>1.3097712072988588E-5</c:v>
                </c:pt>
                <c:pt idx="8">
                  <c:v>1.3097712072988588E-5</c:v>
                </c:pt>
                <c:pt idx="9">
                  <c:v>9.4378412947459783E-6</c:v>
                </c:pt>
              </c:numCache>
            </c:numRef>
          </c:val>
          <c:extLst>
            <c:ext xmlns:c16="http://schemas.microsoft.com/office/drawing/2014/chart" uri="{C3380CC4-5D6E-409C-BE32-E72D297353CC}">
              <c16:uniqueId val="{00000000-89B1-4510-AEB3-F1F6A92C50C5}"/>
            </c:ext>
          </c:extLst>
        </c:ser>
        <c:ser>
          <c:idx val="1"/>
          <c:order val="1"/>
          <c:tx>
            <c:strRef>
              <c:f>Summary!$A$3</c:f>
              <c:strCache>
                <c:ptCount val="1"/>
                <c:pt idx="0">
                  <c:v>heat 100 to 200 °C</c:v>
                </c:pt>
              </c:strCache>
            </c:strRef>
          </c:tx>
          <c:spPr>
            <a:solidFill>
              <a:schemeClr val="accent2"/>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Summary!$B$3:$K$3</c:f>
              <c:numCache>
                <c:formatCode>0.000E+00</c:formatCode>
                <c:ptCount val="10"/>
                <c:pt idx="0">
                  <c:v>3.6314488500484264E-5</c:v>
                </c:pt>
                <c:pt idx="1">
                  <c:v>1.988884641576574E-5</c:v>
                </c:pt>
                <c:pt idx="2">
                  <c:v>6.2918941964973188E-6</c:v>
                </c:pt>
                <c:pt idx="3">
                  <c:v>1.988884641576574E-5</c:v>
                </c:pt>
                <c:pt idx="4">
                  <c:v>1.3097712072988588E-5</c:v>
                </c:pt>
                <c:pt idx="5">
                  <c:v>0</c:v>
                </c:pt>
                <c:pt idx="6">
                  <c:v>1.3097712072988588E-5</c:v>
                </c:pt>
                <c:pt idx="7">
                  <c:v>1.3097712072988588E-5</c:v>
                </c:pt>
                <c:pt idx="8">
                  <c:v>1.3097712072988588E-5</c:v>
                </c:pt>
                <c:pt idx="9">
                  <c:v>9.4378412947459783E-6</c:v>
                </c:pt>
              </c:numCache>
            </c:numRef>
          </c:val>
          <c:extLst>
            <c:ext xmlns:c16="http://schemas.microsoft.com/office/drawing/2014/chart" uri="{C3380CC4-5D6E-409C-BE32-E72D297353CC}">
              <c16:uniqueId val="{00000001-89B1-4510-AEB3-F1F6A92C50C5}"/>
            </c:ext>
          </c:extLst>
        </c:ser>
        <c:ser>
          <c:idx val="2"/>
          <c:order val="2"/>
          <c:tx>
            <c:strRef>
              <c:f>Summary!$A$4</c:f>
              <c:strCache>
                <c:ptCount val="1"/>
                <c:pt idx="0">
                  <c:v>heat 200 to 500 °C</c:v>
                </c:pt>
              </c:strCache>
            </c:strRef>
          </c:tx>
          <c:spPr>
            <a:solidFill>
              <a:schemeClr val="accent3"/>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Summary!$B$4:$K$4</c:f>
              <c:numCache>
                <c:formatCode>0.000E+00</c:formatCode>
                <c:ptCount val="10"/>
                <c:pt idx="0">
                  <c:v>1.3373591675231861E-5</c:v>
                </c:pt>
                <c:pt idx="1">
                  <c:v>2.9630479518780673E-5</c:v>
                </c:pt>
                <c:pt idx="2">
                  <c:v>2.2152155798183041E-5</c:v>
                </c:pt>
                <c:pt idx="3">
                  <c:v>2.9630479518780673E-5</c:v>
                </c:pt>
                <c:pt idx="4">
                  <c:v>2.5895355630253241E-5</c:v>
                </c:pt>
                <c:pt idx="5">
                  <c:v>0</c:v>
                </c:pt>
                <c:pt idx="6">
                  <c:v>2.5895355630253241E-5</c:v>
                </c:pt>
                <c:pt idx="7">
                  <c:v>2.5895355630253241E-5</c:v>
                </c:pt>
                <c:pt idx="8">
                  <c:v>2.2152155798183041E-5</c:v>
                </c:pt>
                <c:pt idx="9">
                  <c:v>3.3228233697274559E-5</c:v>
                </c:pt>
              </c:numCache>
            </c:numRef>
          </c:val>
          <c:extLst>
            <c:ext xmlns:c16="http://schemas.microsoft.com/office/drawing/2014/chart" uri="{C3380CC4-5D6E-409C-BE32-E72D297353CC}">
              <c16:uniqueId val="{00000002-89B1-4510-AEB3-F1F6A92C50C5}"/>
            </c:ext>
          </c:extLst>
        </c:ser>
        <c:ser>
          <c:idx val="3"/>
          <c:order val="3"/>
          <c:tx>
            <c:strRef>
              <c:f>Summary!$A$5</c:f>
              <c:strCache>
                <c:ptCount val="1"/>
                <c:pt idx="0">
                  <c:v>heat 500 to 1000 °C</c:v>
                </c:pt>
              </c:strCache>
            </c:strRef>
          </c:tx>
          <c:spPr>
            <a:solidFill>
              <a:schemeClr val="accent4"/>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Summary!$B$5:$K$5</c:f>
              <c:numCache>
                <c:formatCode>0.000E+00</c:formatCode>
                <c:ptCount val="10"/>
                <c:pt idx="0">
                  <c:v>1.6537984784497585E-5</c:v>
                </c:pt>
                <c:pt idx="1">
                  <c:v>2.0652867924146823E-5</c:v>
                </c:pt>
                <c:pt idx="2">
                  <c:v>1.7959170914147397E-5</c:v>
                </c:pt>
                <c:pt idx="3">
                  <c:v>2.0652867924146823E-5</c:v>
                </c:pt>
                <c:pt idx="4">
                  <c:v>1.8777711530961497E-5</c:v>
                </c:pt>
                <c:pt idx="5">
                  <c:v>0</c:v>
                </c:pt>
                <c:pt idx="6">
                  <c:v>1.8777711530961497E-5</c:v>
                </c:pt>
                <c:pt idx="7">
                  <c:v>1.8777711530961497E-5</c:v>
                </c:pt>
                <c:pt idx="8">
                  <c:v>1.7959170914147397E-5</c:v>
                </c:pt>
                <c:pt idx="9">
                  <c:v>3.265784625690839E-5</c:v>
                </c:pt>
              </c:numCache>
            </c:numRef>
          </c:val>
          <c:extLst>
            <c:ext xmlns:c16="http://schemas.microsoft.com/office/drawing/2014/chart" uri="{C3380CC4-5D6E-409C-BE32-E72D297353CC}">
              <c16:uniqueId val="{00000003-89B1-4510-AEB3-F1F6A92C50C5}"/>
            </c:ext>
          </c:extLst>
        </c:ser>
        <c:ser>
          <c:idx val="4"/>
          <c:order val="4"/>
          <c:tx>
            <c:strRef>
              <c:f>Summary!$A$6</c:f>
              <c:strCache>
                <c:ptCount val="1"/>
                <c:pt idx="0">
                  <c:v>heat above 1000 °C</c:v>
                </c:pt>
              </c:strCache>
            </c:strRef>
          </c:tx>
          <c:spPr>
            <a:solidFill>
              <a:schemeClr val="accent5"/>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Summary!$B$6:$K$6</c:f>
              <c:numCache>
                <c:formatCode>0.000E+00</c:formatCode>
                <c:ptCount val="10"/>
                <c:pt idx="0">
                  <c:v>1.7204637228083889E-4</c:v>
                </c:pt>
                <c:pt idx="1">
                  <c:v>4.8979617872453693E-6</c:v>
                </c:pt>
                <c:pt idx="2">
                  <c:v>1.4075502301658483E-5</c:v>
                </c:pt>
                <c:pt idx="3">
                  <c:v>4.8979617872453693E-6</c:v>
                </c:pt>
                <c:pt idx="4">
                  <c:v>1.3887715794941011E-5</c:v>
                </c:pt>
                <c:pt idx="5">
                  <c:v>0</c:v>
                </c:pt>
                <c:pt idx="6">
                  <c:v>1.3887715794941011E-5</c:v>
                </c:pt>
                <c:pt idx="7">
                  <c:v>1.3887715794941011E-5</c:v>
                </c:pt>
                <c:pt idx="8">
                  <c:v>1.4075502301658483E-5</c:v>
                </c:pt>
                <c:pt idx="9">
                  <c:v>3.265784625690839E-5</c:v>
                </c:pt>
              </c:numCache>
            </c:numRef>
          </c:val>
          <c:extLst>
            <c:ext xmlns:c16="http://schemas.microsoft.com/office/drawing/2014/chart" uri="{C3380CC4-5D6E-409C-BE32-E72D297353CC}">
              <c16:uniqueId val="{00000004-89B1-4510-AEB3-F1F6A92C50C5}"/>
            </c:ext>
          </c:extLst>
        </c:ser>
        <c:ser>
          <c:idx val="5"/>
          <c:order val="5"/>
          <c:tx>
            <c:strRef>
              <c:f>Summary!$A$7</c:f>
              <c:strCache>
                <c:ptCount val="1"/>
                <c:pt idx="0">
                  <c:v>cooling</c:v>
                </c:pt>
              </c:strCache>
            </c:strRef>
          </c:tx>
          <c:spPr>
            <a:solidFill>
              <a:schemeClr val="accent6"/>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Summary!$B$7:$K$7</c:f>
              <c:numCache>
                <c:formatCode>0.000E+00</c:formatCode>
                <c:ptCount val="10"/>
                <c:pt idx="0">
                  <c:v>4.4520366169683022E-5</c:v>
                </c:pt>
                <c:pt idx="1">
                  <c:v>1.8088159747275158E-5</c:v>
                </c:pt>
                <c:pt idx="2">
                  <c:v>1.8088159747275158E-5</c:v>
                </c:pt>
                <c:pt idx="3">
                  <c:v>1.8088159747275158E-5</c:v>
                </c:pt>
                <c:pt idx="4">
                  <c:v>1.8088159747275158E-5</c:v>
                </c:pt>
                <c:pt idx="5">
                  <c:v>0</c:v>
                </c:pt>
                <c:pt idx="6">
                  <c:v>1.8088159747275158E-5</c:v>
                </c:pt>
                <c:pt idx="7">
                  <c:v>1.8088159747275158E-5</c:v>
                </c:pt>
                <c:pt idx="8">
                  <c:v>1.8088159747275158E-5</c:v>
                </c:pt>
                <c:pt idx="9">
                  <c:v>2.7132239620912736E-5</c:v>
                </c:pt>
              </c:numCache>
            </c:numRef>
          </c:val>
          <c:extLst>
            <c:ext xmlns:c16="http://schemas.microsoft.com/office/drawing/2014/chart" uri="{C3380CC4-5D6E-409C-BE32-E72D297353CC}">
              <c16:uniqueId val="{00000005-89B1-4510-AEB3-F1F6A92C50C5}"/>
            </c:ext>
          </c:extLst>
        </c:ser>
        <c:ser>
          <c:idx val="6"/>
          <c:order val="6"/>
          <c:tx>
            <c:strRef>
              <c:f>Summary!$A$8</c:f>
              <c:strCache>
                <c:ptCount val="1"/>
                <c:pt idx="0">
                  <c:v>machine drive</c:v>
                </c:pt>
              </c:strCache>
            </c:strRef>
          </c:tx>
          <c:spPr>
            <a:solidFill>
              <a:schemeClr val="accent1">
                <a:lumMod val="60000"/>
              </a:schemeClr>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Summary!$B$8:$K$8</c:f>
              <c:numCache>
                <c:formatCode>0.000E+00</c:formatCode>
                <c:ptCount val="10"/>
                <c:pt idx="0">
                  <c:v>2.9652197760109964E-5</c:v>
                </c:pt>
                <c:pt idx="1">
                  <c:v>7.0734511678239686E-5</c:v>
                </c:pt>
                <c:pt idx="2">
                  <c:v>7.0734511678239686E-5</c:v>
                </c:pt>
                <c:pt idx="3">
                  <c:v>7.0734511678239686E-5</c:v>
                </c:pt>
                <c:pt idx="4">
                  <c:v>7.0734511678239686E-5</c:v>
                </c:pt>
                <c:pt idx="5">
                  <c:v>0</c:v>
                </c:pt>
                <c:pt idx="6">
                  <c:v>7.0734511678239686E-5</c:v>
                </c:pt>
                <c:pt idx="7">
                  <c:v>7.0734511678239686E-5</c:v>
                </c:pt>
                <c:pt idx="8">
                  <c:v>7.0734511678239686E-5</c:v>
                </c:pt>
                <c:pt idx="9">
                  <c:v>7.0734511678239686E-5</c:v>
                </c:pt>
              </c:numCache>
            </c:numRef>
          </c:val>
          <c:extLst>
            <c:ext xmlns:c16="http://schemas.microsoft.com/office/drawing/2014/chart" uri="{C3380CC4-5D6E-409C-BE32-E72D297353CC}">
              <c16:uniqueId val="{00000006-89B1-4510-AEB3-F1F6A92C50C5}"/>
            </c:ext>
          </c:extLst>
        </c:ser>
        <c:ser>
          <c:idx val="7"/>
          <c:order val="7"/>
          <c:tx>
            <c:strRef>
              <c:f>Summary!$A$9</c:f>
              <c:strCache>
                <c:ptCount val="1"/>
                <c:pt idx="0">
                  <c:v>other processes</c:v>
                </c:pt>
              </c:strCache>
            </c:strRef>
          </c:tx>
          <c:spPr>
            <a:solidFill>
              <a:schemeClr val="accent2">
                <a:lumMod val="60000"/>
              </a:schemeClr>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Summary!$B$9:$K$9</c:f>
              <c:numCache>
                <c:formatCode>0.000E+00</c:formatCode>
                <c:ptCount val="10"/>
                <c:pt idx="0">
                  <c:v>7.0401933942914745E-6</c:v>
                </c:pt>
                <c:pt idx="1">
                  <c:v>2.9630479518780673E-5</c:v>
                </c:pt>
                <c:pt idx="2">
                  <c:v>2.2284525195577483E-5</c:v>
                </c:pt>
                <c:pt idx="3">
                  <c:v>2.9630479518780673E-5</c:v>
                </c:pt>
                <c:pt idx="4">
                  <c:v>2.5895355630253241E-5</c:v>
                </c:pt>
                <c:pt idx="5">
                  <c:v>0</c:v>
                </c:pt>
                <c:pt idx="6">
                  <c:v>2.5895355630253241E-5</c:v>
                </c:pt>
                <c:pt idx="7">
                  <c:v>2.5895355630253241E-5</c:v>
                </c:pt>
                <c:pt idx="8">
                  <c:v>2.5895355630253241E-5</c:v>
                </c:pt>
                <c:pt idx="9">
                  <c:v>3.3426787793366228E-5</c:v>
                </c:pt>
              </c:numCache>
            </c:numRef>
          </c:val>
          <c:extLst>
            <c:ext xmlns:c16="http://schemas.microsoft.com/office/drawing/2014/chart" uri="{C3380CC4-5D6E-409C-BE32-E72D297353CC}">
              <c16:uniqueId val="{00000007-89B1-4510-AEB3-F1F6A92C50C5}"/>
            </c:ext>
          </c:extLst>
        </c:ser>
        <c:ser>
          <c:idx val="8"/>
          <c:order val="8"/>
          <c:tx>
            <c:strRef>
              <c:f>Summary!$A$10</c:f>
              <c:strCache>
                <c:ptCount val="1"/>
                <c:pt idx="0">
                  <c:v>facility HVAC</c:v>
                </c:pt>
              </c:strCache>
            </c:strRef>
          </c:tx>
          <c:spPr>
            <a:solidFill>
              <a:schemeClr val="accent3">
                <a:lumMod val="60000"/>
              </a:schemeClr>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Summary!$B$10:$K$10</c:f>
              <c:numCache>
                <c:formatCode>0.000E+00</c:formatCode>
                <c:ptCount val="10"/>
                <c:pt idx="0">
                  <c:v>3.6314488500484264E-5</c:v>
                </c:pt>
                <c:pt idx="1">
                  <c:v>1.988884641576574E-5</c:v>
                </c:pt>
                <c:pt idx="2">
                  <c:v>6.2918941964973188E-6</c:v>
                </c:pt>
                <c:pt idx="3">
                  <c:v>1.988884641576574E-5</c:v>
                </c:pt>
                <c:pt idx="4">
                  <c:v>1.3097712072988588E-5</c:v>
                </c:pt>
                <c:pt idx="5">
                  <c:v>0</c:v>
                </c:pt>
                <c:pt idx="6">
                  <c:v>1.3097712072988588E-5</c:v>
                </c:pt>
                <c:pt idx="7">
                  <c:v>1.3097712072988588E-5</c:v>
                </c:pt>
                <c:pt idx="8">
                  <c:v>1.3097712072988588E-5</c:v>
                </c:pt>
                <c:pt idx="9">
                  <c:v>9.4378412947459783E-6</c:v>
                </c:pt>
              </c:numCache>
            </c:numRef>
          </c:val>
          <c:extLst>
            <c:ext xmlns:c16="http://schemas.microsoft.com/office/drawing/2014/chart" uri="{C3380CC4-5D6E-409C-BE32-E72D297353CC}">
              <c16:uniqueId val="{00000008-89B1-4510-AEB3-F1F6A92C50C5}"/>
            </c:ext>
          </c:extLst>
        </c:ser>
        <c:ser>
          <c:idx val="9"/>
          <c:order val="9"/>
          <c:tx>
            <c:strRef>
              <c:f>Summary!$A$11</c:f>
              <c:strCache>
                <c:ptCount val="1"/>
                <c:pt idx="0">
                  <c:v>facility lighting</c:v>
                </c:pt>
              </c:strCache>
            </c:strRef>
          </c:tx>
          <c:spPr>
            <a:solidFill>
              <a:schemeClr val="accent4">
                <a:lumMod val="60000"/>
              </a:schemeClr>
            </a:solidFill>
            <a:ln>
              <a:noFill/>
            </a:ln>
            <a:effectLst/>
          </c:spPr>
          <c:invertIfNegative val="0"/>
          <c:cat>
            <c:strRef>
              <c:f>Summary!$B$1:$K$1</c:f>
              <c:strCache>
                <c:ptCount val="10"/>
                <c:pt idx="0">
                  <c:v>electricity if</c:v>
                </c:pt>
                <c:pt idx="1">
                  <c:v>hard coal if</c:v>
                </c:pt>
                <c:pt idx="2">
                  <c:v>natural gas if</c:v>
                </c:pt>
                <c:pt idx="3">
                  <c:v>biomass if</c:v>
                </c:pt>
                <c:pt idx="4">
                  <c:v>petroleum diesel if</c:v>
                </c:pt>
                <c:pt idx="5">
                  <c:v>heat if</c:v>
                </c:pt>
                <c:pt idx="6">
                  <c:v>crude oil if</c:v>
                </c:pt>
                <c:pt idx="7">
                  <c:v>heavy or residual fuel oil if</c:v>
                </c:pt>
                <c:pt idx="8">
                  <c:v>LPG propane or butane if</c:v>
                </c:pt>
                <c:pt idx="9">
                  <c:v>hydrogen if</c:v>
                </c:pt>
              </c:strCache>
            </c:strRef>
          </c:cat>
          <c:val>
            <c:numRef>
              <c:f>Summary!$B$11:$K$11</c:f>
              <c:numCache>
                <c:formatCode>0.000E+00</c:formatCode>
                <c:ptCount val="10"/>
                <c:pt idx="0">
                  <c:v>1.0540697873601793E-5</c:v>
                </c:pt>
                <c:pt idx="1">
                  <c:v>9.0753846553479132E-6</c:v>
                </c:pt>
                <c:pt idx="2">
                  <c:v>9.0753846553479132E-6</c:v>
                </c:pt>
                <c:pt idx="3">
                  <c:v>9.0753846553479132E-6</c:v>
                </c:pt>
                <c:pt idx="4">
                  <c:v>9.0753846553479132E-6</c:v>
                </c:pt>
                <c:pt idx="5">
                  <c:v>0</c:v>
                </c:pt>
                <c:pt idx="6">
                  <c:v>9.0753846553479132E-6</c:v>
                </c:pt>
                <c:pt idx="7">
                  <c:v>9.0753846553479132E-6</c:v>
                </c:pt>
                <c:pt idx="8">
                  <c:v>9.0753846553479132E-6</c:v>
                </c:pt>
                <c:pt idx="9">
                  <c:v>9.0753846553479132E-6</c:v>
                </c:pt>
              </c:numCache>
            </c:numRef>
          </c:val>
          <c:extLst>
            <c:ext xmlns:c16="http://schemas.microsoft.com/office/drawing/2014/chart" uri="{C3380CC4-5D6E-409C-BE32-E72D297353CC}">
              <c16:uniqueId val="{00000009-89B1-4510-AEB3-F1F6A92C50C5}"/>
            </c:ext>
          </c:extLst>
        </c:ser>
        <c:dLbls>
          <c:showLegendKey val="0"/>
          <c:showVal val="0"/>
          <c:showCatName val="0"/>
          <c:showSerName val="0"/>
          <c:showPercent val="0"/>
          <c:showBubbleSize val="0"/>
        </c:dLbls>
        <c:gapWidth val="219"/>
        <c:overlap val="-27"/>
        <c:axId val="1076970720"/>
        <c:axId val="1076972160"/>
      </c:barChart>
      <c:catAx>
        <c:axId val="10769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76972160"/>
        <c:crosses val="autoZero"/>
        <c:auto val="1"/>
        <c:lblAlgn val="ctr"/>
        <c:lblOffset val="100"/>
        <c:noMultiLvlLbl val="0"/>
      </c:catAx>
      <c:valAx>
        <c:axId val="107697216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76970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5</xdr:col>
      <xdr:colOff>582930</xdr:colOff>
      <xdr:row>95</xdr:row>
      <xdr:rowOff>99060</xdr:rowOff>
    </xdr:from>
    <xdr:to>
      <xdr:col>19</xdr:col>
      <xdr:colOff>192405</xdr:colOff>
      <xdr:row>108</xdr:row>
      <xdr:rowOff>164465</xdr:rowOff>
    </xdr:to>
    <xdr:pic>
      <xdr:nvPicPr>
        <xdr:cNvPr id="5" name="Picture 4">
          <a:extLst>
            <a:ext uri="{FF2B5EF4-FFF2-40B4-BE49-F238E27FC236}">
              <a16:creationId xmlns:a16="http://schemas.microsoft.com/office/drawing/2014/main" id="{B8D8A9BC-1347-1F10-1397-4A45F58C4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6805" y="22006560"/>
          <a:ext cx="8143875" cy="254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545465</xdr:colOff>
      <xdr:row>95</xdr:row>
      <xdr:rowOff>48895</xdr:rowOff>
    </xdr:from>
    <xdr:to>
      <xdr:col>3</xdr:col>
      <xdr:colOff>2039346</xdr:colOff>
      <xdr:row>108</xdr:row>
      <xdr:rowOff>85090</xdr:rowOff>
    </xdr:to>
    <xdr:pic>
      <xdr:nvPicPr>
        <xdr:cNvPr id="2" name="Picture 1">
          <a:extLst>
            <a:ext uri="{FF2B5EF4-FFF2-40B4-BE49-F238E27FC236}">
              <a16:creationId xmlns:a16="http://schemas.microsoft.com/office/drawing/2014/main" id="{C91347AF-CFB1-2100-496E-C236D3AEE0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465" y="20546695"/>
          <a:ext cx="8072481" cy="2388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8</xdr:row>
      <xdr:rowOff>190499</xdr:rowOff>
    </xdr:from>
    <xdr:to>
      <xdr:col>5</xdr:col>
      <xdr:colOff>523543</xdr:colOff>
      <xdr:row>23</xdr:row>
      <xdr:rowOff>88899</xdr:rowOff>
    </xdr:to>
    <xdr:pic>
      <xdr:nvPicPr>
        <xdr:cNvPr id="5" name="Picture 4">
          <a:extLst>
            <a:ext uri="{FF2B5EF4-FFF2-40B4-BE49-F238E27FC236}">
              <a16:creationId xmlns:a16="http://schemas.microsoft.com/office/drawing/2014/main" id="{D2B59920-8ABB-1873-C7FA-CDD37215352D}"/>
            </a:ext>
          </a:extLst>
        </xdr:cNvPr>
        <xdr:cNvPicPr>
          <a:picLocks noChangeAspect="1"/>
        </xdr:cNvPicPr>
      </xdr:nvPicPr>
      <xdr:blipFill>
        <a:blip xmlns:r="http://schemas.openxmlformats.org/officeDocument/2006/relationships" r:embed="rId1"/>
        <a:stretch>
          <a:fillRect/>
        </a:stretch>
      </xdr:blipFill>
      <xdr:spPr>
        <a:xfrm>
          <a:off x="609600" y="7429499"/>
          <a:ext cx="4889168" cy="2752725"/>
        </a:xfrm>
        <a:prstGeom prst="rect">
          <a:avLst/>
        </a:prstGeom>
      </xdr:spPr>
    </xdr:pic>
    <xdr:clientData/>
  </xdr:twoCellAnchor>
  <xdr:twoCellAnchor editAs="oneCell">
    <xdr:from>
      <xdr:col>6</xdr:col>
      <xdr:colOff>0</xdr:colOff>
      <xdr:row>9</xdr:row>
      <xdr:rowOff>0</xdr:rowOff>
    </xdr:from>
    <xdr:to>
      <xdr:col>11</xdr:col>
      <xdr:colOff>139700</xdr:colOff>
      <xdr:row>26</xdr:row>
      <xdr:rowOff>12504</xdr:rowOff>
    </xdr:to>
    <xdr:pic>
      <xdr:nvPicPr>
        <xdr:cNvPr id="7" name="Picture 6">
          <a:extLst>
            <a:ext uri="{FF2B5EF4-FFF2-40B4-BE49-F238E27FC236}">
              <a16:creationId xmlns:a16="http://schemas.microsoft.com/office/drawing/2014/main" id="{D28FB0B8-005B-4E65-A536-DC3EBE8AE389}"/>
            </a:ext>
          </a:extLst>
        </xdr:cNvPr>
        <xdr:cNvPicPr>
          <a:picLocks noChangeAspect="1"/>
        </xdr:cNvPicPr>
      </xdr:nvPicPr>
      <xdr:blipFill>
        <a:blip xmlns:r="http://schemas.openxmlformats.org/officeDocument/2006/relationships" r:embed="rId2"/>
        <a:stretch>
          <a:fillRect/>
        </a:stretch>
      </xdr:blipFill>
      <xdr:spPr>
        <a:xfrm>
          <a:off x="5934075" y="7429500"/>
          <a:ext cx="4410075" cy="3254179"/>
        </a:xfrm>
        <a:prstGeom prst="rect">
          <a:avLst/>
        </a:prstGeom>
      </xdr:spPr>
    </xdr:pic>
    <xdr:clientData/>
  </xdr:twoCellAnchor>
  <xdr:twoCellAnchor editAs="oneCell">
    <xdr:from>
      <xdr:col>1</xdr:col>
      <xdr:colOff>0</xdr:colOff>
      <xdr:row>59</xdr:row>
      <xdr:rowOff>0</xdr:rowOff>
    </xdr:from>
    <xdr:to>
      <xdr:col>6</xdr:col>
      <xdr:colOff>458054</xdr:colOff>
      <xdr:row>79</xdr:row>
      <xdr:rowOff>76742</xdr:rowOff>
    </xdr:to>
    <xdr:pic>
      <xdr:nvPicPr>
        <xdr:cNvPr id="8" name="Picture 7">
          <a:extLst>
            <a:ext uri="{FF2B5EF4-FFF2-40B4-BE49-F238E27FC236}">
              <a16:creationId xmlns:a16="http://schemas.microsoft.com/office/drawing/2014/main" id="{C2043415-C480-F862-EB46-E9D9439E8102}"/>
            </a:ext>
          </a:extLst>
        </xdr:cNvPr>
        <xdr:cNvPicPr>
          <a:picLocks noChangeAspect="1"/>
        </xdr:cNvPicPr>
      </xdr:nvPicPr>
      <xdr:blipFill>
        <a:blip xmlns:r="http://schemas.openxmlformats.org/officeDocument/2006/relationships" r:embed="rId3"/>
        <a:stretch>
          <a:fillRect/>
        </a:stretch>
      </xdr:blipFill>
      <xdr:spPr>
        <a:xfrm>
          <a:off x="609600" y="16002000"/>
          <a:ext cx="6115904" cy="3886742"/>
        </a:xfrm>
        <a:prstGeom prst="rect">
          <a:avLst/>
        </a:prstGeom>
      </xdr:spPr>
    </xdr:pic>
    <xdr:clientData/>
  </xdr:twoCellAnchor>
  <xdr:twoCellAnchor editAs="oneCell">
    <xdr:from>
      <xdr:col>0</xdr:col>
      <xdr:colOff>133350</xdr:colOff>
      <xdr:row>41</xdr:row>
      <xdr:rowOff>161925</xdr:rowOff>
    </xdr:from>
    <xdr:to>
      <xdr:col>4</xdr:col>
      <xdr:colOff>168466</xdr:colOff>
      <xdr:row>48</xdr:row>
      <xdr:rowOff>38159</xdr:rowOff>
    </xdr:to>
    <xdr:pic>
      <xdr:nvPicPr>
        <xdr:cNvPr id="6" name="Picture 5">
          <a:extLst>
            <a:ext uri="{FF2B5EF4-FFF2-40B4-BE49-F238E27FC236}">
              <a16:creationId xmlns:a16="http://schemas.microsoft.com/office/drawing/2014/main" id="{39C0BD5E-985B-0A39-B21D-7CCDBBB09B7B}"/>
            </a:ext>
          </a:extLst>
        </xdr:cNvPr>
        <xdr:cNvPicPr>
          <a:picLocks noChangeAspect="1"/>
        </xdr:cNvPicPr>
      </xdr:nvPicPr>
      <xdr:blipFill>
        <a:blip xmlns:r="http://schemas.openxmlformats.org/officeDocument/2006/relationships" r:embed="rId4"/>
        <a:stretch>
          <a:fillRect/>
        </a:stretch>
      </xdr:blipFill>
      <xdr:spPr>
        <a:xfrm>
          <a:off x="133350" y="13011150"/>
          <a:ext cx="3721291" cy="11430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214312</xdr:colOff>
      <xdr:row>14</xdr:row>
      <xdr:rowOff>176211</xdr:rowOff>
    </xdr:from>
    <xdr:to>
      <xdr:col>11</xdr:col>
      <xdr:colOff>0</xdr:colOff>
      <xdr:row>39</xdr:row>
      <xdr:rowOff>161924</xdr:rowOff>
    </xdr:to>
    <xdr:graphicFrame macro="">
      <xdr:nvGraphicFramePr>
        <xdr:cNvPr id="2" name="Chart 1">
          <a:extLst>
            <a:ext uri="{FF2B5EF4-FFF2-40B4-BE49-F238E27FC236}">
              <a16:creationId xmlns:a16="http://schemas.microsoft.com/office/drawing/2014/main" id="{311C43C5-EAFA-4B41-8B79-743C2EAA3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766</xdr:colOff>
      <xdr:row>41</xdr:row>
      <xdr:rowOff>105853</xdr:rowOff>
    </xdr:to>
    <xdr:pic>
      <xdr:nvPicPr>
        <xdr:cNvPr id="3" name="Picture 2">
          <a:extLst>
            <a:ext uri="{FF2B5EF4-FFF2-40B4-BE49-F238E27FC236}">
              <a16:creationId xmlns:a16="http://schemas.microsoft.com/office/drawing/2014/main" id="{D780F9B8-6CC1-453E-B97B-FB0A41E73C05}"/>
            </a:ext>
          </a:extLst>
        </xdr:cNvPr>
        <xdr:cNvPicPr>
          <a:picLocks noChangeAspect="1"/>
        </xdr:cNvPicPr>
      </xdr:nvPicPr>
      <xdr:blipFill>
        <a:blip xmlns:r="http://schemas.openxmlformats.org/officeDocument/2006/relationships" r:embed="rId1"/>
        <a:stretch>
          <a:fillRect/>
        </a:stretch>
      </xdr:blipFill>
      <xdr:spPr>
        <a:xfrm>
          <a:off x="609600" y="190500"/>
          <a:ext cx="5487166" cy="77258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than\Downloads\co2ffc-module.xlsm" TargetMode="External"/><Relationship Id="rId1" Type="http://schemas.openxmlformats.org/officeDocument/2006/relationships/externalLinkPath" Target="https://energyinnovation-my.sharepoint.com/Users/Nathan/Downloads/co2ffc-modul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bie/Dropbox%20(Energy%20InNovation)/My%20Documents/Policy%20Solutions%20Project/US/Models/eps-1.3.0-us/InputData/indst/BPEiC/BAU%20Process%20Emis%20in%20CO2e_Updated%20Velders%20Meth.xlsx" TargetMode="External"/><Relationship Id="rId1" Type="http://schemas.openxmlformats.org/officeDocument/2006/relationships/externalLinkPath" Target="/Users/Robbie/Dropbox%20(Energy%20InNovation)/My%20Documents/Policy%20Solutions%20Project/US/Models/eps-1.3.0-us/InputData/indst/BPEiC/BAU%20Process%20Emis%20in%20CO2e_Updated%20Velders%20Meth.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mahajan/Documents/eps-us/InputData/elec/GBSC/PAGBSC.csv" TargetMode="External"/><Relationship Id="rId1" Type="http://schemas.openxmlformats.org/officeDocument/2006/relationships/externalLinkPath" Target="/Users/mmahajan/Documents/eps-us/InputData/elec/GBSC/PAGBSC.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eghan/Documents/eps-us-analysis/InputData/indst/PERAC/Proc%20Emis%20Reductions%20and%20Costs.xlsx" TargetMode="External"/><Relationship Id="rId1" Type="http://schemas.openxmlformats.org/officeDocument/2006/relationships/externalLinkPath" Target="/Users/Meghan/Documents/eps-us-analysis/InputData/indst/PERAC/Proc%20Emis%20Reductions%20and%20Cost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F:\Dropbox\EI%20Local\India%20Electrification\ITTIM-1.1.0%20wipN.xlsm" TargetMode="External"/><Relationship Id="rId1" Type="http://schemas.openxmlformats.org/officeDocument/2006/relationships/externalLinkPath" Target="file:///F:\Dropbox\EI%20Local\India%20Electrification\ITTIM-1.1.0%20wipN.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energyinnovation-my.sharepoint.com/Users/sonalideshpande/Downloads/ITTIM-1.1.0%20wipE.xlsm" TargetMode="External"/><Relationship Id="rId1" Type="http://schemas.openxmlformats.org/officeDocument/2006/relationships/externalLinkPath" Target="https://energyinnovation-my.sharepoint.com/Users/sonalideshpande/Downloads/ITTIM-1.1.0%20wipE.xlsm"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Downloads/P2H_Industry_transformation_cost_calculator_1.1_EN5.xlsx" TargetMode="External"/><Relationship Id="rId2" Type="http://schemas.openxmlformats.org/officeDocument/2006/relationships/externalLinkPath" Target="file:///C:\Users\DanOBrien\Downloads\P2H_Industry_transformation_cost_calculator_1.1_EN5.xlsx" TargetMode="External"/><Relationship Id="rId1" Type="http://schemas.openxmlformats.org/officeDocument/2006/relationships/externalLinkPath" Target="/Users/DanOBrien/Downloads/P2H_Industry_transformation_cost_calculator_1.1_EN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Dataframe"/>
      <sheetName val="Dataframe_Sum"/>
      <sheetName val="Default State Energy Data Table"/>
      <sheetName val="Residential"/>
      <sheetName val="Commercial"/>
      <sheetName val="Transportation"/>
      <sheetName val="Industrial"/>
      <sheetName val="Electric Power"/>
      <sheetName val="Bunker Fuels"/>
      <sheetName val="Summary-MMTCO2E"/>
      <sheetName val="Summary-MMTCE"/>
      <sheetName val="Tracker"/>
      <sheetName val="Uncertainty"/>
      <sheetName val="FF Checker"/>
      <sheetName val="FF Consumption"/>
      <sheetName val="Coal CC"/>
      <sheetName val="Non-Energy Consump."/>
      <sheetName val="Variable CC's"/>
      <sheetName val="SNG"/>
      <sheetName val="Ethanol"/>
      <sheetName val="Code Key"/>
      <sheetName val="Data Sources"/>
      <sheetName val="List Data"/>
      <sheetName val="Notes"/>
    </sheetNames>
    <sheetDataSet>
      <sheetData sheetId="0">
        <row r="50">
          <cell r="D50">
            <v>0.99560852232832731</v>
          </cell>
        </row>
        <row r="51">
          <cell r="D51">
            <v>0.5</v>
          </cell>
        </row>
        <row r="52">
          <cell r="D52" t="str">
            <v>variable by year</v>
          </cell>
        </row>
        <row r="53">
          <cell r="D53">
            <v>9.1799999999999993E-2</v>
          </cell>
        </row>
        <row r="54">
          <cell r="D54">
            <v>0.5</v>
          </cell>
        </row>
        <row r="55">
          <cell r="D55" t="str">
            <v>variable by year</v>
          </cell>
        </row>
        <row r="56">
          <cell r="D56" t="str">
            <v>variable by year</v>
          </cell>
        </row>
        <row r="57">
          <cell r="D57">
            <v>0</v>
          </cell>
        </row>
        <row r="58">
          <cell r="D58" t="str">
            <v>variable by year</v>
          </cell>
        </row>
        <row r="59">
          <cell r="D59">
            <v>0.3</v>
          </cell>
        </row>
        <row r="60">
          <cell r="D60">
            <v>0.61699356710493758</v>
          </cell>
        </row>
        <row r="61">
          <cell r="D61">
            <v>0.61699356710493758</v>
          </cell>
        </row>
        <row r="62">
          <cell r="D62">
            <v>0.57824999999999982</v>
          </cell>
        </row>
        <row r="63">
          <cell r="D63">
            <v>0.1</v>
          </cell>
        </row>
        <row r="64">
          <cell r="D64" t="str">
            <v>variable by year</v>
          </cell>
        </row>
      </sheetData>
      <sheetData sheetId="1"/>
      <sheetData sheetId="2"/>
      <sheetData sheetId="3">
        <row r="6">
          <cell r="A6" t="str">
            <v>AR Commercial Coal</v>
          </cell>
          <cell r="C6" t="str">
            <v>Commercial Coal</v>
          </cell>
          <cell r="D6">
            <v>4</v>
          </cell>
          <cell r="E6">
            <v>9</v>
          </cell>
          <cell r="F6">
            <v>42</v>
          </cell>
          <cell r="G6">
            <v>16</v>
          </cell>
          <cell r="H6">
            <v>7</v>
          </cell>
          <cell r="I6">
            <v>0</v>
          </cell>
          <cell r="J6">
            <v>0</v>
          </cell>
          <cell r="K6">
            <v>1</v>
          </cell>
          <cell r="L6">
            <v>1</v>
          </cell>
          <cell r="M6">
            <v>1</v>
          </cell>
          <cell r="N6">
            <v>0</v>
          </cell>
          <cell r="O6">
            <v>0</v>
          </cell>
          <cell r="P6">
            <v>1</v>
          </cell>
          <cell r="Q6">
            <v>0</v>
          </cell>
          <cell r="R6">
            <v>1</v>
          </cell>
          <cell r="S6">
            <v>0</v>
          </cell>
          <cell r="T6">
            <v>1</v>
          </cell>
          <cell r="U6">
            <v>24</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A7" t="str">
            <v>AR Commercial Distillate Fuel</v>
          </cell>
          <cell r="C7" t="str">
            <v>Commercial Distillate Fuel</v>
          </cell>
          <cell r="D7">
            <v>1738</v>
          </cell>
          <cell r="E7">
            <v>1501</v>
          </cell>
          <cell r="F7">
            <v>1658</v>
          </cell>
          <cell r="G7">
            <v>2074</v>
          </cell>
          <cell r="H7">
            <v>2223</v>
          </cell>
          <cell r="I7">
            <v>1752</v>
          </cell>
          <cell r="J7">
            <v>1692</v>
          </cell>
          <cell r="K7">
            <v>1573</v>
          </cell>
          <cell r="L7">
            <v>2084</v>
          </cell>
          <cell r="M7">
            <v>1515</v>
          </cell>
          <cell r="N7">
            <v>2186</v>
          </cell>
          <cell r="O7">
            <v>3453</v>
          </cell>
          <cell r="P7">
            <v>2598</v>
          </cell>
          <cell r="Q7">
            <v>4329</v>
          </cell>
          <cell r="R7">
            <v>2999</v>
          </cell>
          <cell r="S7">
            <v>4157</v>
          </cell>
          <cell r="T7">
            <v>538</v>
          </cell>
          <cell r="U7">
            <v>521</v>
          </cell>
          <cell r="V7">
            <v>591</v>
          </cell>
          <cell r="W7">
            <v>5630</v>
          </cell>
          <cell r="X7">
            <v>3812</v>
          </cell>
          <cell r="Y7">
            <v>3586</v>
          </cell>
          <cell r="Z7">
            <v>2191</v>
          </cell>
          <cell r="AA7">
            <v>2105</v>
          </cell>
          <cell r="AB7">
            <v>3286</v>
          </cell>
          <cell r="AC7">
            <v>3420</v>
          </cell>
          <cell r="AD7">
            <v>3075</v>
          </cell>
          <cell r="AE7">
            <v>3184</v>
          </cell>
          <cell r="AF7">
            <v>3401</v>
          </cell>
          <cell r="AG7">
            <v>4001</v>
          </cell>
          <cell r="AH7">
            <v>2771</v>
          </cell>
          <cell r="AI7">
            <v>3108</v>
          </cell>
          <cell r="AJ7">
            <v>0</v>
          </cell>
          <cell r="AK7">
            <v>0</v>
          </cell>
          <cell r="AL7">
            <v>0</v>
          </cell>
          <cell r="AM7">
            <v>0</v>
          </cell>
        </row>
        <row r="8">
          <cell r="A8" t="str">
            <v>AR Commercial Kerosene</v>
          </cell>
          <cell r="C8" t="str">
            <v>Commercial Kerosene</v>
          </cell>
          <cell r="D8">
            <v>8</v>
          </cell>
          <cell r="E8">
            <v>11</v>
          </cell>
          <cell r="F8">
            <v>29</v>
          </cell>
          <cell r="G8">
            <v>29</v>
          </cell>
          <cell r="H8">
            <v>24</v>
          </cell>
          <cell r="I8">
            <v>26</v>
          </cell>
          <cell r="J8">
            <v>30</v>
          </cell>
          <cell r="K8">
            <v>30</v>
          </cell>
          <cell r="L8">
            <v>39</v>
          </cell>
          <cell r="M8">
            <v>22</v>
          </cell>
          <cell r="N8">
            <v>25</v>
          </cell>
          <cell r="O8">
            <v>53</v>
          </cell>
          <cell r="P8">
            <v>23</v>
          </cell>
          <cell r="Q8">
            <v>18</v>
          </cell>
          <cell r="R8">
            <v>94</v>
          </cell>
          <cell r="S8">
            <v>115</v>
          </cell>
          <cell r="T8">
            <v>67</v>
          </cell>
          <cell r="U8">
            <v>50</v>
          </cell>
          <cell r="V8">
            <v>49</v>
          </cell>
          <cell r="W8">
            <v>1</v>
          </cell>
          <cell r="X8">
            <v>6</v>
          </cell>
          <cell r="Y8">
            <v>1</v>
          </cell>
          <cell r="Z8">
            <v>0</v>
          </cell>
          <cell r="AA8">
            <v>1</v>
          </cell>
          <cell r="AB8">
            <v>2</v>
          </cell>
          <cell r="AC8">
            <v>5</v>
          </cell>
          <cell r="AD8">
            <v>5</v>
          </cell>
          <cell r="AE8">
            <v>5</v>
          </cell>
          <cell r="AF8">
            <v>14</v>
          </cell>
          <cell r="AG8">
            <v>16</v>
          </cell>
          <cell r="AH8">
            <v>11</v>
          </cell>
          <cell r="AI8">
            <v>9</v>
          </cell>
          <cell r="AJ8">
            <v>0</v>
          </cell>
          <cell r="AK8">
            <v>0</v>
          </cell>
          <cell r="AL8">
            <v>0</v>
          </cell>
          <cell r="AM8">
            <v>0</v>
          </cell>
        </row>
        <row r="9">
          <cell r="A9" t="str">
            <v>AR Commercial Hydrocarbon Gas Liquids</v>
          </cell>
          <cell r="C9" t="str">
            <v>Commercial Hydrocarbon Gas Liquids</v>
          </cell>
          <cell r="D9">
            <v>1555</v>
          </cell>
          <cell r="E9">
            <v>1407</v>
          </cell>
          <cell r="F9">
            <v>1259</v>
          </cell>
          <cell r="G9">
            <v>1435</v>
          </cell>
          <cell r="H9">
            <v>1403</v>
          </cell>
          <cell r="I9">
            <v>1258</v>
          </cell>
          <cell r="J9">
            <v>1253</v>
          </cell>
          <cell r="K9">
            <v>1325</v>
          </cell>
          <cell r="L9">
            <v>982</v>
          </cell>
          <cell r="M9">
            <v>2544</v>
          </cell>
          <cell r="N9">
            <v>2257</v>
          </cell>
          <cell r="O9">
            <v>2373</v>
          </cell>
          <cell r="P9">
            <v>1775</v>
          </cell>
          <cell r="Q9">
            <v>1418</v>
          </cell>
          <cell r="R9">
            <v>2561</v>
          </cell>
          <cell r="S9">
            <v>1101</v>
          </cell>
          <cell r="T9">
            <v>1070</v>
          </cell>
          <cell r="U9">
            <v>784</v>
          </cell>
          <cell r="V9">
            <v>1661</v>
          </cell>
          <cell r="W9">
            <v>1153</v>
          </cell>
          <cell r="X9">
            <v>1116</v>
          </cell>
          <cell r="Y9">
            <v>1180</v>
          </cell>
          <cell r="Z9">
            <v>1169</v>
          </cell>
          <cell r="AA9">
            <v>1114</v>
          </cell>
          <cell r="AB9">
            <v>1458</v>
          </cell>
          <cell r="AC9">
            <v>1246</v>
          </cell>
          <cell r="AD9">
            <v>865</v>
          </cell>
          <cell r="AE9">
            <v>816</v>
          </cell>
          <cell r="AF9">
            <v>1174</v>
          </cell>
          <cell r="AG9">
            <v>1090</v>
          </cell>
          <cell r="AH9">
            <v>1413</v>
          </cell>
          <cell r="AI9">
            <v>1711</v>
          </cell>
          <cell r="AJ9">
            <v>0</v>
          </cell>
          <cell r="AK9">
            <v>0</v>
          </cell>
          <cell r="AL9">
            <v>0</v>
          </cell>
          <cell r="AM9">
            <v>0</v>
          </cell>
        </row>
        <row r="10">
          <cell r="A10" t="str">
            <v>AR Commercial Motor Gasoline</v>
          </cell>
          <cell r="C10" t="str">
            <v>Commercial Motor Gasoline</v>
          </cell>
          <cell r="D10">
            <v>746</v>
          </cell>
          <cell r="E10">
            <v>423</v>
          </cell>
          <cell r="F10">
            <v>373</v>
          </cell>
          <cell r="G10">
            <v>148</v>
          </cell>
          <cell r="H10">
            <v>149</v>
          </cell>
          <cell r="I10">
            <v>151</v>
          </cell>
          <cell r="J10">
            <v>150</v>
          </cell>
          <cell r="K10">
            <v>148</v>
          </cell>
          <cell r="L10">
            <v>149</v>
          </cell>
          <cell r="M10">
            <v>148</v>
          </cell>
          <cell r="N10">
            <v>149</v>
          </cell>
          <cell r="O10">
            <v>157</v>
          </cell>
          <cell r="P10">
            <v>570</v>
          </cell>
          <cell r="Q10">
            <v>514</v>
          </cell>
          <cell r="R10">
            <v>538</v>
          </cell>
          <cell r="S10">
            <v>729</v>
          </cell>
          <cell r="T10">
            <v>753</v>
          </cell>
          <cell r="U10">
            <v>631</v>
          </cell>
          <cell r="V10">
            <v>644</v>
          </cell>
          <cell r="W10">
            <v>674</v>
          </cell>
          <cell r="X10">
            <v>753</v>
          </cell>
          <cell r="Y10">
            <v>335</v>
          </cell>
          <cell r="Z10">
            <v>359</v>
          </cell>
          <cell r="AA10">
            <v>266</v>
          </cell>
          <cell r="AB10">
            <v>374</v>
          </cell>
          <cell r="AC10">
            <v>2903</v>
          </cell>
          <cell r="AD10">
            <v>2557</v>
          </cell>
          <cell r="AE10">
            <v>2525</v>
          </cell>
          <cell r="AF10">
            <v>2544</v>
          </cell>
          <cell r="AG10">
            <v>2564</v>
          </cell>
          <cell r="AH10">
            <v>2590</v>
          </cell>
          <cell r="AI10">
            <v>2608</v>
          </cell>
          <cell r="AJ10">
            <v>0</v>
          </cell>
          <cell r="AK10">
            <v>0</v>
          </cell>
          <cell r="AL10">
            <v>0</v>
          </cell>
          <cell r="AM10">
            <v>0</v>
          </cell>
        </row>
        <row r="11">
          <cell r="A11" t="str">
            <v>AR Commercial Natural Gas</v>
          </cell>
          <cell r="C11" t="str">
            <v>Commercial Natural Gas</v>
          </cell>
          <cell r="D11">
            <v>25321</v>
          </cell>
          <cell r="E11">
            <v>26417</v>
          </cell>
          <cell r="F11">
            <v>25486</v>
          </cell>
          <cell r="G11">
            <v>29362</v>
          </cell>
          <cell r="H11">
            <v>28004</v>
          </cell>
          <cell r="I11">
            <v>29724</v>
          </cell>
          <cell r="J11">
            <v>31823</v>
          </cell>
          <cell r="K11">
            <v>29852</v>
          </cell>
          <cell r="L11">
            <v>28759</v>
          </cell>
          <cell r="M11">
            <v>28397</v>
          </cell>
          <cell r="N11">
            <v>33806</v>
          </cell>
          <cell r="O11">
            <v>32455</v>
          </cell>
          <cell r="P11">
            <v>33731</v>
          </cell>
          <cell r="Q11">
            <v>32721</v>
          </cell>
          <cell r="R11">
            <v>30093</v>
          </cell>
          <cell r="S11">
            <v>31822</v>
          </cell>
          <cell r="T11">
            <v>32252</v>
          </cell>
          <cell r="U11">
            <v>32493</v>
          </cell>
          <cell r="V11">
            <v>37245</v>
          </cell>
          <cell r="W11">
            <v>36792</v>
          </cell>
          <cell r="X11">
            <v>40531</v>
          </cell>
          <cell r="Y11">
            <v>40584</v>
          </cell>
          <cell r="Z11">
            <v>41851</v>
          </cell>
          <cell r="AA11">
            <v>48553</v>
          </cell>
          <cell r="AB11">
            <v>51246</v>
          </cell>
          <cell r="AC11">
            <v>48248</v>
          </cell>
          <cell r="AD11">
            <v>46382</v>
          </cell>
          <cell r="AE11">
            <v>48190</v>
          </cell>
          <cell r="AF11">
            <v>56224</v>
          </cell>
          <cell r="AG11">
            <v>55846</v>
          </cell>
          <cell r="AH11">
            <v>53396</v>
          </cell>
          <cell r="AI11">
            <v>57877</v>
          </cell>
          <cell r="AJ11">
            <v>0</v>
          </cell>
          <cell r="AK11">
            <v>0</v>
          </cell>
          <cell r="AL11">
            <v>0</v>
          </cell>
          <cell r="AM11">
            <v>0</v>
          </cell>
        </row>
        <row r="12">
          <cell r="A12" t="str">
            <v>AR Commercial Residual Fuel</v>
          </cell>
          <cell r="C12" t="str">
            <v>Commercial Residual Fuel</v>
          </cell>
          <cell r="D12">
            <v>0</v>
          </cell>
          <cell r="E12">
            <v>0</v>
          </cell>
          <cell r="F12">
            <v>25</v>
          </cell>
          <cell r="G12">
            <v>4</v>
          </cell>
          <cell r="H12">
            <v>0</v>
          </cell>
          <cell r="I12">
            <v>0</v>
          </cell>
          <cell r="J12">
            <v>1</v>
          </cell>
          <cell r="K12">
            <v>0</v>
          </cell>
          <cell r="L12">
            <v>0</v>
          </cell>
          <cell r="M12">
            <v>0</v>
          </cell>
          <cell r="N12">
            <v>0</v>
          </cell>
          <cell r="O12">
            <v>0</v>
          </cell>
          <cell r="P12">
            <v>0</v>
          </cell>
          <cell r="Q12">
            <v>0</v>
          </cell>
          <cell r="R12">
            <v>2</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A13" t="str">
            <v>AR Commercial Wood</v>
          </cell>
          <cell r="C13" t="str">
            <v>Commercial Wood</v>
          </cell>
          <cell r="D13">
            <v>345</v>
          </cell>
          <cell r="E13">
            <v>361</v>
          </cell>
          <cell r="F13">
            <v>380</v>
          </cell>
          <cell r="G13">
            <v>650</v>
          </cell>
          <cell r="H13">
            <v>623</v>
          </cell>
          <cell r="I13">
            <v>628</v>
          </cell>
          <cell r="J13">
            <v>653</v>
          </cell>
          <cell r="K13">
            <v>392</v>
          </cell>
          <cell r="L13">
            <v>343</v>
          </cell>
          <cell r="M13">
            <v>360</v>
          </cell>
          <cell r="N13">
            <v>385</v>
          </cell>
          <cell r="O13">
            <v>392</v>
          </cell>
          <cell r="P13">
            <v>401</v>
          </cell>
          <cell r="Q13">
            <v>418</v>
          </cell>
          <cell r="R13">
            <v>409</v>
          </cell>
          <cell r="S13">
            <v>899</v>
          </cell>
          <cell r="T13">
            <v>834</v>
          </cell>
          <cell r="U13">
            <v>886</v>
          </cell>
          <cell r="V13">
            <v>935</v>
          </cell>
          <cell r="W13">
            <v>1353</v>
          </cell>
          <cell r="X13">
            <v>1336</v>
          </cell>
          <cell r="Y13">
            <v>1286</v>
          </cell>
          <cell r="Z13">
            <v>1126</v>
          </cell>
          <cell r="AA13">
            <v>1306</v>
          </cell>
          <cell r="AB13">
            <v>1360</v>
          </cell>
          <cell r="AC13">
            <v>937</v>
          </cell>
          <cell r="AD13">
            <v>918</v>
          </cell>
          <cell r="AE13">
            <v>800</v>
          </cell>
          <cell r="AF13">
            <v>1029</v>
          </cell>
          <cell r="AG13">
            <v>998</v>
          </cell>
          <cell r="AH13">
            <v>951</v>
          </cell>
          <cell r="AI13">
            <v>878</v>
          </cell>
          <cell r="AJ13">
            <v>0</v>
          </cell>
          <cell r="AK13">
            <v>0</v>
          </cell>
          <cell r="AL13">
            <v>0</v>
          </cell>
          <cell r="AM13">
            <v>0</v>
          </cell>
        </row>
        <row r="14">
          <cell r="A14" t="str">
            <v>AR Commercial Other</v>
          </cell>
          <cell r="C14" t="str">
            <v>Commercial Other</v>
          </cell>
        </row>
        <row r="15">
          <cell r="A15" t="str">
            <v>AR Electric Power Coal</v>
          </cell>
          <cell r="C15" t="str">
            <v>Electric Power Coal</v>
          </cell>
          <cell r="D15">
            <v>206863</v>
          </cell>
          <cell r="E15">
            <v>209095</v>
          </cell>
          <cell r="F15">
            <v>213578</v>
          </cell>
          <cell r="G15">
            <v>192682</v>
          </cell>
          <cell r="H15">
            <v>213561</v>
          </cell>
          <cell r="I15">
            <v>229550</v>
          </cell>
          <cell r="J15">
            <v>251704</v>
          </cell>
          <cell r="K15">
            <v>239806</v>
          </cell>
          <cell r="L15">
            <v>247654</v>
          </cell>
          <cell r="M15">
            <v>259094</v>
          </cell>
          <cell r="N15">
            <v>257963</v>
          </cell>
          <cell r="O15">
            <v>263081</v>
          </cell>
          <cell r="P15">
            <v>244784</v>
          </cell>
          <cell r="Q15">
            <v>243527</v>
          </cell>
          <cell r="R15">
            <v>260084</v>
          </cell>
          <cell r="S15">
            <v>237894</v>
          </cell>
          <cell r="T15">
            <v>247823</v>
          </cell>
          <cell r="U15">
            <v>265232</v>
          </cell>
          <cell r="V15">
            <v>269282</v>
          </cell>
          <cell r="W15">
            <v>256654</v>
          </cell>
          <cell r="X15">
            <v>286417</v>
          </cell>
          <cell r="Y15">
            <v>300543</v>
          </cell>
          <cell r="Z15">
            <v>291578</v>
          </cell>
          <cell r="AA15">
            <v>322034</v>
          </cell>
          <cell r="AB15">
            <v>333753</v>
          </cell>
          <cell r="AC15">
            <v>222218</v>
          </cell>
          <cell r="AD15">
            <v>241610</v>
          </cell>
          <cell r="AE15">
            <v>262907</v>
          </cell>
          <cell r="AF15">
            <v>300080</v>
          </cell>
          <cell r="AG15">
            <v>235754</v>
          </cell>
          <cell r="AH15">
            <v>158577</v>
          </cell>
          <cell r="AI15">
            <v>212676</v>
          </cell>
          <cell r="AJ15">
            <v>0</v>
          </cell>
          <cell r="AK15">
            <v>0</v>
          </cell>
          <cell r="AL15">
            <v>0</v>
          </cell>
          <cell r="AM15">
            <v>0</v>
          </cell>
        </row>
        <row r="16">
          <cell r="A16" t="str">
            <v>AR Electric Power Distillate Fuel</v>
          </cell>
          <cell r="C16" t="str">
            <v>Electric Power Distillate Fuel</v>
          </cell>
          <cell r="D16">
            <v>818</v>
          </cell>
          <cell r="E16">
            <v>742</v>
          </cell>
          <cell r="F16">
            <v>553</v>
          </cell>
          <cell r="G16">
            <v>732</v>
          </cell>
          <cell r="H16">
            <v>710</v>
          </cell>
          <cell r="I16">
            <v>547</v>
          </cell>
          <cell r="J16">
            <v>567</v>
          </cell>
          <cell r="K16">
            <v>584</v>
          </cell>
          <cell r="L16">
            <v>1041</v>
          </cell>
          <cell r="M16">
            <v>973</v>
          </cell>
          <cell r="N16">
            <v>389</v>
          </cell>
          <cell r="O16">
            <v>475</v>
          </cell>
          <cell r="P16">
            <v>404</v>
          </cell>
          <cell r="Q16">
            <v>413</v>
          </cell>
          <cell r="R16">
            <v>362</v>
          </cell>
          <cell r="S16">
            <v>419</v>
          </cell>
          <cell r="T16">
            <v>278</v>
          </cell>
          <cell r="U16">
            <v>363</v>
          </cell>
          <cell r="V16">
            <v>256</v>
          </cell>
          <cell r="W16">
            <v>371</v>
          </cell>
          <cell r="X16">
            <v>318</v>
          </cell>
          <cell r="Y16">
            <v>469</v>
          </cell>
          <cell r="Z16">
            <v>305</v>
          </cell>
          <cell r="AA16">
            <v>374</v>
          </cell>
          <cell r="AB16">
            <v>260</v>
          </cell>
          <cell r="AC16">
            <v>564</v>
          </cell>
          <cell r="AD16">
            <v>416</v>
          </cell>
          <cell r="AE16">
            <v>477</v>
          </cell>
          <cell r="AF16">
            <v>321</v>
          </cell>
          <cell r="AG16">
            <v>449</v>
          </cell>
          <cell r="AH16">
            <v>504</v>
          </cell>
          <cell r="AI16">
            <v>549</v>
          </cell>
          <cell r="AJ16">
            <v>0</v>
          </cell>
          <cell r="AK16">
            <v>0</v>
          </cell>
          <cell r="AL16">
            <v>0</v>
          </cell>
          <cell r="AM16">
            <v>0</v>
          </cell>
        </row>
        <row r="17">
          <cell r="A17" t="str">
            <v>AR Electric Power Natural Gas</v>
          </cell>
          <cell r="C17" t="str">
            <v>Electric Power Natural Gas</v>
          </cell>
          <cell r="D17">
            <v>32657</v>
          </cell>
          <cell r="E17">
            <v>28456</v>
          </cell>
          <cell r="F17">
            <v>27691</v>
          </cell>
          <cell r="G17">
            <v>21790</v>
          </cell>
          <cell r="H17">
            <v>25574</v>
          </cell>
          <cell r="I17">
            <v>33377</v>
          </cell>
          <cell r="J17">
            <v>34795</v>
          </cell>
          <cell r="K17">
            <v>25425</v>
          </cell>
          <cell r="L17">
            <v>41357</v>
          </cell>
          <cell r="M17">
            <v>41082</v>
          </cell>
          <cell r="N17">
            <v>35292</v>
          </cell>
          <cell r="O17">
            <v>27070</v>
          </cell>
          <cell r="P17">
            <v>43124</v>
          </cell>
          <cell r="Q17">
            <v>58174</v>
          </cell>
          <cell r="R17">
            <v>41334</v>
          </cell>
          <cell r="S17">
            <v>50404</v>
          </cell>
          <cell r="T17">
            <v>73045</v>
          </cell>
          <cell r="U17">
            <v>65218</v>
          </cell>
          <cell r="V17">
            <v>66231</v>
          </cell>
          <cell r="W17">
            <v>85317</v>
          </cell>
          <cell r="X17">
            <v>98514</v>
          </cell>
          <cell r="Y17">
            <v>109196</v>
          </cell>
          <cell r="Z17">
            <v>131825</v>
          </cell>
          <cell r="AA17">
            <v>95845</v>
          </cell>
          <cell r="AB17">
            <v>74137</v>
          </cell>
          <cell r="AC17">
            <v>113099</v>
          </cell>
          <cell r="AD17">
            <v>139024</v>
          </cell>
          <cell r="AE17">
            <v>130272</v>
          </cell>
          <cell r="AF17">
            <v>155902</v>
          </cell>
          <cell r="AG17">
            <v>163318</v>
          </cell>
          <cell r="AH17">
            <v>138729</v>
          </cell>
          <cell r="AI17">
            <v>153547</v>
          </cell>
          <cell r="AJ17">
            <v>0</v>
          </cell>
          <cell r="AK17">
            <v>0</v>
          </cell>
          <cell r="AL17">
            <v>0</v>
          </cell>
          <cell r="AM17">
            <v>0</v>
          </cell>
        </row>
        <row r="18">
          <cell r="A18" t="str">
            <v>AR Electric Power Petroleum Coke</v>
          </cell>
          <cell r="C18" t="str">
            <v>Electric Power Petroleum Coke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t="str">
            <v>AR Electric Power Residual Fuel</v>
          </cell>
          <cell r="C19" t="str">
            <v>Electric Power Residual Fuel</v>
          </cell>
          <cell r="D19">
            <v>92</v>
          </cell>
          <cell r="E19">
            <v>7</v>
          </cell>
          <cell r="F19">
            <v>0</v>
          </cell>
          <cell r="G19">
            <v>33</v>
          </cell>
          <cell r="H19">
            <v>338</v>
          </cell>
          <cell r="I19">
            <v>97</v>
          </cell>
          <cell r="J19">
            <v>511</v>
          </cell>
          <cell r="K19">
            <v>169</v>
          </cell>
          <cell r="L19">
            <v>627</v>
          </cell>
          <cell r="M19">
            <v>581</v>
          </cell>
          <cell r="N19">
            <v>1842</v>
          </cell>
          <cell r="O19">
            <v>8424</v>
          </cell>
          <cell r="P19">
            <v>1130</v>
          </cell>
          <cell r="Q19">
            <v>2403</v>
          </cell>
          <cell r="R19">
            <v>4668</v>
          </cell>
          <cell r="S19">
            <v>1445</v>
          </cell>
          <cell r="T19">
            <v>1376</v>
          </cell>
          <cell r="U19">
            <v>438</v>
          </cell>
          <cell r="V19">
            <v>338</v>
          </cell>
          <cell r="W19">
            <v>487</v>
          </cell>
          <cell r="X19">
            <v>123</v>
          </cell>
          <cell r="Y19">
            <v>78</v>
          </cell>
          <cell r="Z19">
            <v>12</v>
          </cell>
          <cell r="AA19">
            <v>44</v>
          </cell>
          <cell r="AB19">
            <v>2</v>
          </cell>
          <cell r="AC19">
            <v>4</v>
          </cell>
          <cell r="AD19">
            <v>0</v>
          </cell>
          <cell r="AE19">
            <v>0</v>
          </cell>
          <cell r="AF19">
            <v>0</v>
          </cell>
          <cell r="AG19">
            <v>0</v>
          </cell>
          <cell r="AH19">
            <v>21</v>
          </cell>
          <cell r="AI19">
            <v>0</v>
          </cell>
          <cell r="AJ19">
            <v>0</v>
          </cell>
          <cell r="AK19">
            <v>0</v>
          </cell>
          <cell r="AL19">
            <v>0</v>
          </cell>
          <cell r="AM19">
            <v>0</v>
          </cell>
        </row>
        <row r="20">
          <cell r="A20" t="str">
            <v>AR Electric Power Wood</v>
          </cell>
          <cell r="C20" t="str">
            <v>Electric Power Wood</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t="str">
            <v>AR Electric Power Other</v>
          </cell>
          <cell r="C21" t="str">
            <v>Electric Power Other</v>
          </cell>
        </row>
        <row r="22">
          <cell r="A22" t="str">
            <v>AR Industrial Asphalt and Road Oil</v>
          </cell>
          <cell r="C22" t="str">
            <v>Industrial Asphalt and Road Oil</v>
          </cell>
          <cell r="D22">
            <v>3288</v>
          </cell>
          <cell r="E22">
            <v>3540</v>
          </cell>
          <cell r="F22">
            <v>7793</v>
          </cell>
          <cell r="G22">
            <v>9642</v>
          </cell>
          <cell r="H22">
            <v>7072</v>
          </cell>
          <cell r="I22">
            <v>8266</v>
          </cell>
          <cell r="J22">
            <v>6470</v>
          </cell>
          <cell r="K22">
            <v>6716</v>
          </cell>
          <cell r="L22">
            <v>5702</v>
          </cell>
          <cell r="M22">
            <v>6787</v>
          </cell>
          <cell r="N22">
            <v>6747</v>
          </cell>
          <cell r="O22">
            <v>5893</v>
          </cell>
          <cell r="P22">
            <v>17304</v>
          </cell>
          <cell r="Q22">
            <v>12009</v>
          </cell>
          <cell r="R22">
            <v>5868</v>
          </cell>
          <cell r="S22">
            <v>3153</v>
          </cell>
          <cell r="T22">
            <v>8852</v>
          </cell>
          <cell r="U22">
            <v>8188</v>
          </cell>
          <cell r="V22">
            <v>2318</v>
          </cell>
          <cell r="W22">
            <v>7984</v>
          </cell>
          <cell r="X22">
            <v>10974</v>
          </cell>
          <cell r="Y22">
            <v>14494</v>
          </cell>
          <cell r="Z22">
            <v>10746</v>
          </cell>
          <cell r="AA22">
            <v>10293</v>
          </cell>
          <cell r="AB22">
            <v>12504</v>
          </cell>
          <cell r="AC22">
            <v>7719</v>
          </cell>
          <cell r="AD22">
            <v>14355</v>
          </cell>
          <cell r="AE22">
            <v>14901</v>
          </cell>
          <cell r="AF22">
            <v>12446</v>
          </cell>
          <cell r="AG22">
            <v>13234</v>
          </cell>
          <cell r="AH22">
            <v>13546</v>
          </cell>
          <cell r="AI22">
            <v>14408</v>
          </cell>
          <cell r="AJ22">
            <v>0</v>
          </cell>
          <cell r="AK22">
            <v>0</v>
          </cell>
          <cell r="AL22">
            <v>0</v>
          </cell>
          <cell r="AM22">
            <v>0</v>
          </cell>
        </row>
        <row r="23">
          <cell r="A23" t="str">
            <v>AR Industrial Aviation Gasoline Blending Components</v>
          </cell>
          <cell r="C23" t="str">
            <v>Industrial Aviation Gasoline Blending Components</v>
          </cell>
          <cell r="D23">
            <v>1</v>
          </cell>
          <cell r="E23">
            <v>0</v>
          </cell>
          <cell r="F23">
            <v>1</v>
          </cell>
          <cell r="G23">
            <v>1</v>
          </cell>
          <cell r="H23">
            <v>26</v>
          </cell>
          <cell r="I23">
            <v>22</v>
          </cell>
          <cell r="J23">
            <v>30</v>
          </cell>
          <cell r="K23">
            <v>38</v>
          </cell>
          <cell r="L23">
            <v>16</v>
          </cell>
          <cell r="M23">
            <v>24</v>
          </cell>
          <cell r="N23">
            <v>14</v>
          </cell>
          <cell r="O23">
            <v>24</v>
          </cell>
          <cell r="P23">
            <v>32</v>
          </cell>
          <cell r="Q23">
            <v>31</v>
          </cell>
          <cell r="R23">
            <v>48</v>
          </cell>
          <cell r="S23">
            <v>39</v>
          </cell>
          <cell r="T23">
            <v>3</v>
          </cell>
          <cell r="U23">
            <v>8</v>
          </cell>
          <cell r="V23">
            <v>0</v>
          </cell>
          <cell r="W23">
            <v>-4</v>
          </cell>
          <cell r="X23">
            <v>-1</v>
          </cell>
          <cell r="Y23">
            <v>0</v>
          </cell>
          <cell r="Z23">
            <v>0</v>
          </cell>
          <cell r="AA23">
            <v>-2</v>
          </cell>
          <cell r="AB23">
            <v>-1</v>
          </cell>
          <cell r="AC23">
            <v>-2</v>
          </cell>
          <cell r="AD23">
            <v>-1</v>
          </cell>
          <cell r="AE23">
            <v>-1</v>
          </cell>
          <cell r="AF23">
            <v>-8</v>
          </cell>
          <cell r="AG23">
            <v>-6</v>
          </cell>
          <cell r="AH23">
            <v>-4</v>
          </cell>
          <cell r="AI23">
            <v>-4</v>
          </cell>
          <cell r="AJ23">
            <v>0</v>
          </cell>
          <cell r="AK23">
            <v>0</v>
          </cell>
          <cell r="AL23">
            <v>0</v>
          </cell>
          <cell r="AM23">
            <v>0</v>
          </cell>
        </row>
        <row r="24">
          <cell r="A24" t="str">
            <v>AR Industrial Coal</v>
          </cell>
          <cell r="C24" t="str">
            <v>Industrial Coal</v>
          </cell>
          <cell r="D24">
            <v>5839</v>
          </cell>
          <cell r="E24">
            <v>6839</v>
          </cell>
          <cell r="F24">
            <v>7076</v>
          </cell>
          <cell r="G24">
            <v>7748</v>
          </cell>
          <cell r="H24">
            <v>8599</v>
          </cell>
          <cell r="I24">
            <v>7784</v>
          </cell>
          <cell r="J24">
            <v>8356</v>
          </cell>
          <cell r="K24">
            <v>6980</v>
          </cell>
          <cell r="L24">
            <v>7004</v>
          </cell>
          <cell r="M24">
            <v>7927</v>
          </cell>
          <cell r="N24">
            <v>9616</v>
          </cell>
          <cell r="O24">
            <v>10901</v>
          </cell>
          <cell r="P24">
            <v>10457</v>
          </cell>
          <cell r="Q24">
            <v>10126</v>
          </cell>
          <cell r="R24">
            <v>10126</v>
          </cell>
          <cell r="S24">
            <v>9275</v>
          </cell>
          <cell r="T24">
            <v>9084</v>
          </cell>
          <cell r="U24">
            <v>9778</v>
          </cell>
          <cell r="V24">
            <v>9567</v>
          </cell>
          <cell r="W24">
            <v>7429</v>
          </cell>
          <cell r="X24">
            <v>7272</v>
          </cell>
          <cell r="Y24">
            <v>5576</v>
          </cell>
          <cell r="Z24">
            <v>5154</v>
          </cell>
          <cell r="AA24">
            <v>5065</v>
          </cell>
          <cell r="AB24">
            <v>5461</v>
          </cell>
          <cell r="AC24">
            <v>4672</v>
          </cell>
          <cell r="AD24">
            <v>4827</v>
          </cell>
          <cell r="AE24">
            <v>4684</v>
          </cell>
          <cell r="AF24">
            <v>4065</v>
          </cell>
          <cell r="AG24">
            <v>4045</v>
          </cell>
          <cell r="AH24">
            <v>3402</v>
          </cell>
          <cell r="AI24">
            <v>3447</v>
          </cell>
          <cell r="AJ24">
            <v>0</v>
          </cell>
          <cell r="AK24">
            <v>0</v>
          </cell>
          <cell r="AL24">
            <v>0</v>
          </cell>
          <cell r="AM24">
            <v>0</v>
          </cell>
        </row>
        <row r="25">
          <cell r="A25" t="str">
            <v>AR Industrial Coking Coal</v>
          </cell>
          <cell r="C25" t="str">
            <v>Industrial Coking Coal</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t="str">
            <v>AR Industrial Crude Oil</v>
          </cell>
          <cell r="C26" t="str">
            <v>Industrial Crude Oil</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t="str">
            <v>AR Industrial Distillate Fuel</v>
          </cell>
          <cell r="C27" t="str">
            <v>Industrial Distillate Fuel</v>
          </cell>
          <cell r="D27">
            <v>13836.37224395985</v>
          </cell>
          <cell r="E27">
            <v>11517.100726402155</v>
          </cell>
          <cell r="F27">
            <v>18962.708396970469</v>
          </cell>
          <cell r="G27">
            <v>18194.587312385127</v>
          </cell>
          <cell r="H27">
            <v>18203.912502253595</v>
          </cell>
          <cell r="I27">
            <v>23162.479654542698</v>
          </cell>
          <cell r="J27">
            <v>19388.309027358893</v>
          </cell>
          <cell r="K27">
            <v>22896.666781936408</v>
          </cell>
          <cell r="L27">
            <v>21783.585838630308</v>
          </cell>
          <cell r="M27">
            <v>20205.168692428168</v>
          </cell>
          <cell r="N27">
            <v>23043.025251355608</v>
          </cell>
          <cell r="O27">
            <v>26437.826254391981</v>
          </cell>
          <cell r="P27">
            <v>25128.565838069091</v>
          </cell>
          <cell r="Q27">
            <v>30955.17961399347</v>
          </cell>
          <cell r="R27">
            <v>32395.592938799284</v>
          </cell>
          <cell r="S27">
            <v>40008.978657533167</v>
          </cell>
          <cell r="T27">
            <v>39939.888788389151</v>
          </cell>
          <cell r="U27">
            <v>40608.218790503262</v>
          </cell>
          <cell r="V27">
            <v>51926.30170649819</v>
          </cell>
          <cell r="W27">
            <v>25446.276454793198</v>
          </cell>
          <cell r="X27">
            <v>33279.072577251347</v>
          </cell>
          <cell r="Y27">
            <v>30777.005075727655</v>
          </cell>
          <cell r="Z27">
            <v>29455.390547584542</v>
          </cell>
          <cell r="AA27">
            <v>32234.773830820468</v>
          </cell>
          <cell r="AB27">
            <v>29663.371489510144</v>
          </cell>
          <cell r="AC27">
            <v>22331.789010508408</v>
          </cell>
          <cell r="AD27">
            <v>20305.766039386686</v>
          </cell>
          <cell r="AE27">
            <v>16362.159812302039</v>
          </cell>
          <cell r="AF27">
            <v>20278.104963396861</v>
          </cell>
          <cell r="AG27">
            <v>19952.745797536711</v>
          </cell>
          <cell r="AH27">
            <v>21565.237380756378</v>
          </cell>
          <cell r="AI27">
            <v>19653.509500404762</v>
          </cell>
          <cell r="AJ27">
            <v>0</v>
          </cell>
          <cell r="AK27">
            <v>0</v>
          </cell>
          <cell r="AL27">
            <v>0</v>
          </cell>
          <cell r="AM27">
            <v>0</v>
          </cell>
        </row>
        <row r="28">
          <cell r="A28" t="str">
            <v>AR Industrial Feedstocks, Naphtha less than 401 F</v>
          </cell>
          <cell r="C28" t="str">
            <v>Industrial Feedstocks, Naphtha less than 401 F</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t="str">
            <v>AR Industrial Feedstocks, Other Oils greater than 401 F</v>
          </cell>
          <cell r="C29" t="str">
            <v>Industrial Feedstocks, Other Oils greater than 401 F</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t="str">
            <v>AR Industrial Kerosene</v>
          </cell>
          <cell r="C30" t="str">
            <v>Industrial Kerosene</v>
          </cell>
          <cell r="D30">
            <v>94</v>
          </cell>
          <cell r="E30">
            <v>114</v>
          </cell>
          <cell r="F30">
            <v>52</v>
          </cell>
          <cell r="G30">
            <v>76</v>
          </cell>
          <cell r="H30">
            <v>97</v>
          </cell>
          <cell r="I30">
            <v>115</v>
          </cell>
          <cell r="J30">
            <v>52</v>
          </cell>
          <cell r="K30">
            <v>56</v>
          </cell>
          <cell r="L30">
            <v>98</v>
          </cell>
          <cell r="M30">
            <v>76</v>
          </cell>
          <cell r="N30">
            <v>23</v>
          </cell>
          <cell r="O30">
            <v>105</v>
          </cell>
          <cell r="P30">
            <v>29</v>
          </cell>
          <cell r="Q30">
            <v>11</v>
          </cell>
          <cell r="R30">
            <v>6</v>
          </cell>
          <cell r="S30">
            <v>15</v>
          </cell>
          <cell r="T30">
            <v>4</v>
          </cell>
          <cell r="U30">
            <v>6</v>
          </cell>
          <cell r="V30">
            <v>8</v>
          </cell>
          <cell r="W30">
            <v>6</v>
          </cell>
          <cell r="X30">
            <v>7</v>
          </cell>
          <cell r="Y30">
            <v>5</v>
          </cell>
          <cell r="Z30">
            <v>0</v>
          </cell>
          <cell r="AA30">
            <v>1</v>
          </cell>
          <cell r="AB30">
            <v>1</v>
          </cell>
          <cell r="AC30">
            <v>5</v>
          </cell>
          <cell r="AD30">
            <v>21</v>
          </cell>
          <cell r="AE30">
            <v>12</v>
          </cell>
          <cell r="AF30">
            <v>17</v>
          </cell>
          <cell r="AG30">
            <v>7</v>
          </cell>
          <cell r="AH30">
            <v>1</v>
          </cell>
          <cell r="AI30">
            <v>11</v>
          </cell>
          <cell r="AJ30">
            <v>0</v>
          </cell>
          <cell r="AK30">
            <v>0</v>
          </cell>
          <cell r="AL30">
            <v>0</v>
          </cell>
          <cell r="AM30">
            <v>0</v>
          </cell>
        </row>
        <row r="31">
          <cell r="A31" t="str">
            <v>AR Industrial Hydrocarbon Gas Liquids</v>
          </cell>
          <cell r="C31" t="str">
            <v>Industrial Hydrocarbon Gas Liquids</v>
          </cell>
          <cell r="D31">
            <v>4146</v>
          </cell>
          <cell r="E31">
            <v>4334</v>
          </cell>
          <cell r="F31">
            <v>4106</v>
          </cell>
          <cell r="G31">
            <v>4794</v>
          </cell>
          <cell r="H31">
            <v>4490</v>
          </cell>
          <cell r="I31">
            <v>4903</v>
          </cell>
          <cell r="J31">
            <v>4528</v>
          </cell>
          <cell r="K31">
            <v>4037</v>
          </cell>
          <cell r="L31">
            <v>3153</v>
          </cell>
          <cell r="M31">
            <v>6724</v>
          </cell>
          <cell r="N31">
            <v>11182</v>
          </cell>
          <cell r="O31">
            <v>9393</v>
          </cell>
          <cell r="P31">
            <v>5171</v>
          </cell>
          <cell r="Q31">
            <v>3823</v>
          </cell>
          <cell r="R31">
            <v>3925</v>
          </cell>
          <cell r="S31">
            <v>3005</v>
          </cell>
          <cell r="T31">
            <v>3305</v>
          </cell>
          <cell r="U31">
            <v>3626</v>
          </cell>
          <cell r="V31">
            <v>2850</v>
          </cell>
          <cell r="W31">
            <v>2604</v>
          </cell>
          <cell r="X31">
            <v>3042</v>
          </cell>
          <cell r="Y31">
            <v>3084</v>
          </cell>
          <cell r="Z31">
            <v>2804</v>
          </cell>
          <cell r="AA31">
            <v>2675</v>
          </cell>
          <cell r="AB31">
            <v>3511</v>
          </cell>
          <cell r="AC31">
            <v>2859</v>
          </cell>
          <cell r="AD31">
            <v>2594</v>
          </cell>
          <cell r="AE31">
            <v>2480</v>
          </cell>
          <cell r="AF31">
            <v>3127</v>
          </cell>
          <cell r="AG31">
            <v>3661</v>
          </cell>
          <cell r="AH31">
            <v>2498</v>
          </cell>
          <cell r="AI31">
            <v>2361</v>
          </cell>
          <cell r="AJ31">
            <v>0</v>
          </cell>
          <cell r="AK31">
            <v>0</v>
          </cell>
          <cell r="AL31">
            <v>0</v>
          </cell>
          <cell r="AM31">
            <v>0</v>
          </cell>
        </row>
        <row r="32">
          <cell r="A32" t="str">
            <v>AR Industrial Lubricants</v>
          </cell>
          <cell r="C32" t="str">
            <v>Industrial Lubricants</v>
          </cell>
          <cell r="D32">
            <v>1664</v>
          </cell>
          <cell r="E32">
            <v>1489</v>
          </cell>
          <cell r="F32">
            <v>1518</v>
          </cell>
          <cell r="G32">
            <v>1546</v>
          </cell>
          <cell r="H32">
            <v>1616</v>
          </cell>
          <cell r="I32">
            <v>1588</v>
          </cell>
          <cell r="J32">
            <v>1541</v>
          </cell>
          <cell r="K32">
            <v>1628</v>
          </cell>
          <cell r="L32">
            <v>1704</v>
          </cell>
          <cell r="M32">
            <v>1722</v>
          </cell>
          <cell r="N32">
            <v>1696</v>
          </cell>
          <cell r="O32">
            <v>1554</v>
          </cell>
          <cell r="P32">
            <v>1536</v>
          </cell>
          <cell r="Q32">
            <v>1420</v>
          </cell>
          <cell r="R32">
            <v>1438</v>
          </cell>
          <cell r="S32">
            <v>1431</v>
          </cell>
          <cell r="T32">
            <v>1394</v>
          </cell>
          <cell r="U32">
            <v>1440</v>
          </cell>
          <cell r="V32">
            <v>1337</v>
          </cell>
          <cell r="W32">
            <v>1202</v>
          </cell>
          <cell r="X32">
            <v>1403</v>
          </cell>
          <cell r="Y32">
            <v>1411</v>
          </cell>
          <cell r="Z32">
            <v>1232</v>
          </cell>
          <cell r="AA32">
            <v>1234</v>
          </cell>
          <cell r="AB32">
            <v>1225</v>
          </cell>
          <cell r="AC32">
            <v>1192</v>
          </cell>
          <cell r="AD32">
            <v>1102</v>
          </cell>
          <cell r="AE32">
            <v>988</v>
          </cell>
          <cell r="AF32">
            <v>1009</v>
          </cell>
          <cell r="AG32">
            <v>918</v>
          </cell>
          <cell r="AH32">
            <v>898</v>
          </cell>
          <cell r="AI32">
            <v>1005</v>
          </cell>
          <cell r="AJ32">
            <v>0</v>
          </cell>
          <cell r="AK32">
            <v>0</v>
          </cell>
          <cell r="AL32">
            <v>0</v>
          </cell>
          <cell r="AM32">
            <v>0</v>
          </cell>
        </row>
        <row r="33">
          <cell r="A33" t="str">
            <v>AR Industrial Misc. Petro Products</v>
          </cell>
          <cell r="C33" t="str">
            <v>Industrial Misc. Petro Products</v>
          </cell>
          <cell r="D33">
            <v>228</v>
          </cell>
          <cell r="E33">
            <v>302</v>
          </cell>
          <cell r="F33">
            <v>198</v>
          </cell>
          <cell r="G33">
            <v>188</v>
          </cell>
          <cell r="H33">
            <v>210</v>
          </cell>
          <cell r="I33">
            <v>192</v>
          </cell>
          <cell r="J33">
            <v>1605</v>
          </cell>
          <cell r="K33">
            <v>1762</v>
          </cell>
          <cell r="L33">
            <v>2145</v>
          </cell>
          <cell r="M33">
            <v>2017</v>
          </cell>
          <cell r="N33">
            <v>2149</v>
          </cell>
          <cell r="O33">
            <v>1180</v>
          </cell>
          <cell r="P33">
            <v>1268</v>
          </cell>
          <cell r="Q33">
            <v>1190</v>
          </cell>
          <cell r="R33">
            <v>1072</v>
          </cell>
          <cell r="S33">
            <v>1066</v>
          </cell>
          <cell r="T33">
            <v>1089</v>
          </cell>
          <cell r="U33">
            <v>1069</v>
          </cell>
          <cell r="V33">
            <v>1137</v>
          </cell>
          <cell r="W33">
            <v>1215</v>
          </cell>
          <cell r="X33">
            <v>1271</v>
          </cell>
          <cell r="Y33">
            <v>1319</v>
          </cell>
          <cell r="Z33">
            <v>1294</v>
          </cell>
          <cell r="AA33">
            <v>2042</v>
          </cell>
          <cell r="AB33">
            <v>2180</v>
          </cell>
          <cell r="AC33">
            <v>2254</v>
          </cell>
          <cell r="AD33">
            <v>2283</v>
          </cell>
          <cell r="AE33">
            <v>1464</v>
          </cell>
          <cell r="AF33">
            <v>1457</v>
          </cell>
          <cell r="AG33">
            <v>1326</v>
          </cell>
          <cell r="AH33">
            <v>1256</v>
          </cell>
          <cell r="AI33">
            <v>1257</v>
          </cell>
          <cell r="AJ33">
            <v>0</v>
          </cell>
          <cell r="AK33">
            <v>0</v>
          </cell>
          <cell r="AL33">
            <v>0</v>
          </cell>
          <cell r="AM33">
            <v>0</v>
          </cell>
        </row>
        <row r="34">
          <cell r="A34" t="str">
            <v>AR Industrial Motor Gasoline</v>
          </cell>
          <cell r="C34" t="str">
            <v>Industrial Motor Gasoline</v>
          </cell>
          <cell r="D34">
            <v>2179</v>
          </cell>
          <cell r="E34">
            <v>2376</v>
          </cell>
          <cell r="F34">
            <v>2302</v>
          </cell>
          <cell r="G34">
            <v>2048</v>
          </cell>
          <cell r="H34">
            <v>2216</v>
          </cell>
          <cell r="I34">
            <v>2335</v>
          </cell>
          <cell r="J34">
            <v>2363</v>
          </cell>
          <cell r="K34">
            <v>2457</v>
          </cell>
          <cell r="L34">
            <v>3370</v>
          </cell>
          <cell r="M34">
            <v>2855</v>
          </cell>
          <cell r="N34">
            <v>2860</v>
          </cell>
          <cell r="O34">
            <v>4867</v>
          </cell>
          <cell r="P34">
            <v>5192</v>
          </cell>
          <cell r="Q34">
            <v>5565</v>
          </cell>
          <cell r="R34">
            <v>6532</v>
          </cell>
          <cell r="S34">
            <v>6323</v>
          </cell>
          <cell r="T34">
            <v>6924</v>
          </cell>
          <cell r="U34">
            <v>4878</v>
          </cell>
          <cell r="V34">
            <v>3468</v>
          </cell>
          <cell r="W34">
            <v>3383</v>
          </cell>
          <cell r="X34">
            <v>3550</v>
          </cell>
          <cell r="Y34">
            <v>3603</v>
          </cell>
          <cell r="Z34">
            <v>3314</v>
          </cell>
          <cell r="AA34">
            <v>3566</v>
          </cell>
          <cell r="AB34">
            <v>3052</v>
          </cell>
          <cell r="AC34">
            <v>3373</v>
          </cell>
          <cell r="AD34">
            <v>3569</v>
          </cell>
          <cell r="AE34">
            <v>3583</v>
          </cell>
          <cell r="AF34">
            <v>3671</v>
          </cell>
          <cell r="AG34">
            <v>3573</v>
          </cell>
          <cell r="AH34">
            <v>3617</v>
          </cell>
          <cell r="AI34">
            <v>3495</v>
          </cell>
          <cell r="AJ34">
            <v>0</v>
          </cell>
          <cell r="AK34">
            <v>0</v>
          </cell>
          <cell r="AL34">
            <v>0</v>
          </cell>
          <cell r="AM34">
            <v>0</v>
          </cell>
        </row>
        <row r="35">
          <cell r="A35" t="str">
            <v>AR Industrial Motor Gasoline Blending Components</v>
          </cell>
          <cell r="C35" t="str">
            <v>Industrial Motor Gasoline Blending Components</v>
          </cell>
          <cell r="D35">
            <v>193</v>
          </cell>
          <cell r="E35">
            <v>-105</v>
          </cell>
          <cell r="F35">
            <v>316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t="str">
            <v>AR Industrial Natural Gas</v>
          </cell>
          <cell r="C36" t="str">
            <v>Industrial Natural Gas</v>
          </cell>
          <cell r="D36">
            <v>121458.31609302055</v>
          </cell>
          <cell r="E36">
            <v>102143.42857205326</v>
          </cell>
          <cell r="F36">
            <v>118537.65520917575</v>
          </cell>
          <cell r="G36">
            <v>118905.04586999197</v>
          </cell>
          <cell r="H36">
            <v>131339.33924008213</v>
          </cell>
          <cell r="I36">
            <v>143588.50717640697</v>
          </cell>
          <cell r="J36">
            <v>140295.38314157582</v>
          </cell>
          <cell r="K36">
            <v>145909.8915144249</v>
          </cell>
          <cell r="L36">
            <v>144696.98900796712</v>
          </cell>
          <cell r="M36">
            <v>133596.01627414051</v>
          </cell>
          <cell r="N36">
            <v>128281.88375807885</v>
          </cell>
          <cell r="O36">
            <v>120378.69654127516</v>
          </cell>
          <cell r="P36">
            <v>117459.20376622384</v>
          </cell>
          <cell r="Q36">
            <v>111458.17265364589</v>
          </cell>
          <cell r="R36">
            <v>99199.423995840538</v>
          </cell>
          <cell r="S36">
            <v>87683.297862875319</v>
          </cell>
          <cell r="T36">
            <v>88405.833319320751</v>
          </cell>
          <cell r="U36">
            <v>84841.330786588878</v>
          </cell>
          <cell r="V36">
            <v>85670.128885183178</v>
          </cell>
          <cell r="W36">
            <v>80224.593090988405</v>
          </cell>
          <cell r="X36">
            <v>86363.756717144395</v>
          </cell>
          <cell r="Y36">
            <v>90010.768050389917</v>
          </cell>
          <cell r="Z36">
            <v>86425.64311751099</v>
          </cell>
          <cell r="AA36">
            <v>93012.614945308014</v>
          </cell>
          <cell r="AB36">
            <v>93994.128666181859</v>
          </cell>
          <cell r="AC36">
            <v>90058.749082933573</v>
          </cell>
          <cell r="AD36">
            <v>91275.149182860187</v>
          </cell>
          <cell r="AE36">
            <v>101932.8014453948</v>
          </cell>
          <cell r="AF36">
            <v>107455.51480505324</v>
          </cell>
          <cell r="AG36">
            <v>105871.04550814421</v>
          </cell>
          <cell r="AH36">
            <v>101967.27106309377</v>
          </cell>
          <cell r="AI36">
            <v>105343.74543828872</v>
          </cell>
          <cell r="AJ36">
            <v>0</v>
          </cell>
          <cell r="AK36">
            <v>0</v>
          </cell>
          <cell r="AL36">
            <v>0</v>
          </cell>
          <cell r="AM36">
            <v>0</v>
          </cell>
        </row>
        <row r="37">
          <cell r="A37" t="str">
            <v>AR Industrial Pentanes Plus</v>
          </cell>
          <cell r="C37" t="str">
            <v>Industrial Pentanes Plus</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t="str">
            <v>AR Industrial Petroleum Coke</v>
          </cell>
          <cell r="C38" t="str">
            <v>Industrial Petroleum Coke</v>
          </cell>
          <cell r="D38">
            <v>1517</v>
          </cell>
          <cell r="E38">
            <v>1449</v>
          </cell>
          <cell r="F38">
            <v>1589</v>
          </cell>
          <cell r="G38">
            <v>1723</v>
          </cell>
          <cell r="H38">
            <v>1609</v>
          </cell>
          <cell r="I38">
            <v>1576</v>
          </cell>
          <cell r="J38">
            <v>1644</v>
          </cell>
          <cell r="K38">
            <v>1645</v>
          </cell>
          <cell r="L38">
            <v>1611</v>
          </cell>
          <cell r="M38">
            <v>1605</v>
          </cell>
          <cell r="N38">
            <v>1673</v>
          </cell>
          <cell r="O38">
            <v>1647</v>
          </cell>
          <cell r="P38">
            <v>1630</v>
          </cell>
          <cell r="Q38">
            <v>1634</v>
          </cell>
          <cell r="R38">
            <v>1732</v>
          </cell>
          <cell r="S38">
            <v>1833</v>
          </cell>
          <cell r="T38">
            <v>1867</v>
          </cell>
          <cell r="U38">
            <v>1688</v>
          </cell>
          <cell r="V38">
            <v>1550</v>
          </cell>
          <cell r="W38">
            <v>1701</v>
          </cell>
          <cell r="X38">
            <v>1808</v>
          </cell>
          <cell r="Y38">
            <v>1762</v>
          </cell>
          <cell r="Z38">
            <v>1775</v>
          </cell>
          <cell r="AA38">
            <v>1622</v>
          </cell>
          <cell r="AB38">
            <v>1509</v>
          </cell>
          <cell r="AC38">
            <v>1540</v>
          </cell>
          <cell r="AD38">
            <v>1584</v>
          </cell>
          <cell r="AE38">
            <v>1433</v>
          </cell>
          <cell r="AF38">
            <v>1345</v>
          </cell>
          <cell r="AG38">
            <v>1358</v>
          </cell>
          <cell r="AH38">
            <v>1471</v>
          </cell>
          <cell r="AI38">
            <v>1327</v>
          </cell>
          <cell r="AJ38">
            <v>0</v>
          </cell>
          <cell r="AK38">
            <v>0</v>
          </cell>
          <cell r="AL38">
            <v>0</v>
          </cell>
          <cell r="AM38">
            <v>0</v>
          </cell>
        </row>
        <row r="39">
          <cell r="A39" t="str">
            <v>AR Industrial Residual Fuel</v>
          </cell>
          <cell r="C39" t="str">
            <v>Industrial Residual Fuel</v>
          </cell>
          <cell r="D39">
            <v>1189.5024211821942</v>
          </cell>
          <cell r="E39">
            <v>735.03353264310465</v>
          </cell>
          <cell r="F39">
            <v>141.59542821180824</v>
          </cell>
          <cell r="G39">
            <v>1189.629626798293</v>
          </cell>
          <cell r="H39">
            <v>1464.9275970676911</v>
          </cell>
          <cell r="I39">
            <v>1083.7742949938972</v>
          </cell>
          <cell r="J39">
            <v>610.82259464611172</v>
          </cell>
          <cell r="K39">
            <v>106.9854672566311</v>
          </cell>
          <cell r="L39">
            <v>15.830152148659291</v>
          </cell>
          <cell r="M39">
            <v>77.954806167549521</v>
          </cell>
          <cell r="N39">
            <v>44.295381444327163</v>
          </cell>
          <cell r="O39">
            <v>978.44431051108961</v>
          </cell>
          <cell r="P39">
            <v>224.40318347036145</v>
          </cell>
          <cell r="Q39">
            <v>920.73922717849382</v>
          </cell>
          <cell r="R39">
            <v>2199.9362100785261</v>
          </cell>
          <cell r="S39">
            <v>166.59892781116397</v>
          </cell>
          <cell r="T39">
            <v>20.642603985555702</v>
          </cell>
          <cell r="U39">
            <v>275.14864235480411</v>
          </cell>
          <cell r="V39">
            <v>166.77725923219808</v>
          </cell>
          <cell r="W39">
            <v>85.613469060005073</v>
          </cell>
          <cell r="X39">
            <v>1.077195697207177</v>
          </cell>
          <cell r="Y39">
            <v>51.562123401889934</v>
          </cell>
          <cell r="Z39">
            <v>0</v>
          </cell>
          <cell r="AA39">
            <v>0</v>
          </cell>
          <cell r="AB39">
            <v>0</v>
          </cell>
          <cell r="AC39">
            <v>0</v>
          </cell>
          <cell r="AD39">
            <v>0.2425641514833532</v>
          </cell>
          <cell r="AE39">
            <v>0</v>
          </cell>
          <cell r="AF39">
            <v>0</v>
          </cell>
          <cell r="AG39">
            <v>0</v>
          </cell>
          <cell r="AH39">
            <v>0</v>
          </cell>
          <cell r="AI39">
            <v>0</v>
          </cell>
          <cell r="AJ39">
            <v>0</v>
          </cell>
          <cell r="AK39">
            <v>0</v>
          </cell>
          <cell r="AL39">
            <v>0</v>
          </cell>
          <cell r="AM39">
            <v>0</v>
          </cell>
        </row>
        <row r="40">
          <cell r="A40" t="str">
            <v>AR Industrial Special Naphthas</v>
          </cell>
          <cell r="C40" t="str">
            <v>Industrial Special Naphthas</v>
          </cell>
          <cell r="D40">
            <v>1501</v>
          </cell>
          <cell r="E40">
            <v>250</v>
          </cell>
          <cell r="F40">
            <v>297</v>
          </cell>
          <cell r="G40">
            <v>297</v>
          </cell>
          <cell r="H40">
            <v>230</v>
          </cell>
          <cell r="I40">
            <v>201</v>
          </cell>
          <cell r="J40">
            <v>1098</v>
          </cell>
          <cell r="K40">
            <v>1064</v>
          </cell>
          <cell r="L40">
            <v>1580</v>
          </cell>
          <cell r="M40">
            <v>2141</v>
          </cell>
          <cell r="N40">
            <v>1434</v>
          </cell>
          <cell r="O40">
            <v>617</v>
          </cell>
          <cell r="P40">
            <v>805</v>
          </cell>
          <cell r="Q40">
            <v>633</v>
          </cell>
          <cell r="R40">
            <v>401</v>
          </cell>
          <cell r="S40">
            <v>491</v>
          </cell>
          <cell r="T40">
            <v>270</v>
          </cell>
          <cell r="U40">
            <v>300</v>
          </cell>
          <cell r="V40">
            <v>327</v>
          </cell>
          <cell r="W40">
            <v>178</v>
          </cell>
          <cell r="X40">
            <v>101</v>
          </cell>
          <cell r="Y40">
            <v>87</v>
          </cell>
          <cell r="Z40">
            <v>57</v>
          </cell>
          <cell r="AA40">
            <v>448</v>
          </cell>
          <cell r="AB40">
            <v>475</v>
          </cell>
          <cell r="AC40">
            <v>444</v>
          </cell>
          <cell r="AD40">
            <v>419</v>
          </cell>
          <cell r="AE40">
            <v>307</v>
          </cell>
          <cell r="AF40">
            <v>282</v>
          </cell>
          <cell r="AG40">
            <v>293</v>
          </cell>
          <cell r="AH40">
            <v>265</v>
          </cell>
          <cell r="AI40">
            <v>248</v>
          </cell>
          <cell r="AJ40">
            <v>0</v>
          </cell>
          <cell r="AK40">
            <v>0</v>
          </cell>
          <cell r="AL40">
            <v>0</v>
          </cell>
          <cell r="AM40">
            <v>0</v>
          </cell>
        </row>
        <row r="41">
          <cell r="A41" t="str">
            <v>AR Industrial Still Gas</v>
          </cell>
          <cell r="C41" t="str">
            <v>Industrial Still Gas</v>
          </cell>
          <cell r="D41">
            <v>5308</v>
          </cell>
          <cell r="E41">
            <v>5786</v>
          </cell>
          <cell r="F41">
            <v>6042</v>
          </cell>
          <cell r="G41">
            <v>6118</v>
          </cell>
          <cell r="H41">
            <v>6099</v>
          </cell>
          <cell r="I41">
            <v>6005</v>
          </cell>
          <cell r="J41">
            <v>6149</v>
          </cell>
          <cell r="K41">
            <v>6044</v>
          </cell>
          <cell r="L41">
            <v>5807</v>
          </cell>
          <cell r="M41">
            <v>5304</v>
          </cell>
          <cell r="N41">
            <v>5453</v>
          </cell>
          <cell r="O41">
            <v>5850</v>
          </cell>
          <cell r="P41">
            <v>6187</v>
          </cell>
          <cell r="Q41">
            <v>6398</v>
          </cell>
          <cell r="R41">
            <v>6982</v>
          </cell>
          <cell r="S41">
            <v>7038</v>
          </cell>
          <cell r="T41">
            <v>7055</v>
          </cell>
          <cell r="U41">
            <v>6869</v>
          </cell>
          <cell r="V41">
            <v>6581</v>
          </cell>
          <cell r="W41">
            <v>7124</v>
          </cell>
          <cell r="X41">
            <v>7169</v>
          </cell>
          <cell r="Y41">
            <v>7879</v>
          </cell>
          <cell r="Z41">
            <v>8048</v>
          </cell>
          <cell r="AA41">
            <v>7847</v>
          </cell>
          <cell r="AB41">
            <v>7690</v>
          </cell>
          <cell r="AC41">
            <v>7456</v>
          </cell>
          <cell r="AD41">
            <v>7868</v>
          </cell>
          <cell r="AE41">
            <v>7715</v>
          </cell>
          <cell r="AF41">
            <v>7800</v>
          </cell>
          <cell r="AG41">
            <v>7402</v>
          </cell>
          <cell r="AH41">
            <v>7070</v>
          </cell>
          <cell r="AI41">
            <v>6504</v>
          </cell>
          <cell r="AJ41">
            <v>0</v>
          </cell>
          <cell r="AK41">
            <v>0</v>
          </cell>
          <cell r="AL41">
            <v>0</v>
          </cell>
          <cell r="AM41">
            <v>0</v>
          </cell>
        </row>
        <row r="42">
          <cell r="A42" t="str">
            <v>AR Industrial Unfinished Oils</v>
          </cell>
          <cell r="C42" t="str">
            <v>Industrial Unfinished Oils</v>
          </cell>
          <cell r="D42">
            <v>-1329</v>
          </cell>
          <cell r="E42">
            <v>-1826</v>
          </cell>
          <cell r="F42">
            <v>-1482</v>
          </cell>
          <cell r="G42">
            <v>-1694</v>
          </cell>
          <cell r="H42">
            <v>-1183</v>
          </cell>
          <cell r="I42">
            <v>-1360</v>
          </cell>
          <cell r="J42">
            <v>-483</v>
          </cell>
          <cell r="K42">
            <v>-430</v>
          </cell>
          <cell r="L42">
            <v>-1269</v>
          </cell>
          <cell r="M42">
            <v>-1063</v>
          </cell>
          <cell r="N42">
            <v>-1511</v>
          </cell>
          <cell r="O42">
            <v>-301</v>
          </cell>
          <cell r="P42">
            <v>-575</v>
          </cell>
          <cell r="Q42">
            <v>-210</v>
          </cell>
          <cell r="R42">
            <v>-341</v>
          </cell>
          <cell r="S42">
            <v>13</v>
          </cell>
          <cell r="T42">
            <v>319</v>
          </cell>
          <cell r="U42">
            <v>293</v>
          </cell>
          <cell r="V42">
            <v>-240</v>
          </cell>
          <cell r="W42">
            <v>-381</v>
          </cell>
          <cell r="X42">
            <v>136</v>
          </cell>
          <cell r="Y42">
            <v>297</v>
          </cell>
          <cell r="Z42">
            <v>327</v>
          </cell>
          <cell r="AA42">
            <v>85</v>
          </cell>
          <cell r="AB42">
            <v>-409</v>
          </cell>
          <cell r="AC42">
            <v>-89</v>
          </cell>
          <cell r="AD42">
            <v>42</v>
          </cell>
          <cell r="AE42">
            <v>372</v>
          </cell>
          <cell r="AF42">
            <v>149</v>
          </cell>
          <cell r="AG42">
            <v>656</v>
          </cell>
          <cell r="AH42">
            <v>959</v>
          </cell>
          <cell r="AI42">
            <v>216</v>
          </cell>
          <cell r="AJ42">
            <v>0</v>
          </cell>
          <cell r="AK42">
            <v>0</v>
          </cell>
          <cell r="AL42">
            <v>0</v>
          </cell>
          <cell r="AM42">
            <v>0</v>
          </cell>
        </row>
        <row r="43">
          <cell r="A43" t="str">
            <v>AR Industrial Waxes</v>
          </cell>
          <cell r="C43" t="str">
            <v>Industrial Waxes</v>
          </cell>
          <cell r="D43">
            <v>884</v>
          </cell>
          <cell r="E43">
            <v>647</v>
          </cell>
          <cell r="F43">
            <v>686</v>
          </cell>
          <cell r="G43">
            <v>737</v>
          </cell>
          <cell r="H43">
            <v>747</v>
          </cell>
          <cell r="I43">
            <v>748</v>
          </cell>
          <cell r="J43">
            <v>1029</v>
          </cell>
          <cell r="K43">
            <v>925</v>
          </cell>
          <cell r="L43">
            <v>896</v>
          </cell>
          <cell r="M43">
            <v>791</v>
          </cell>
          <cell r="N43">
            <v>699</v>
          </cell>
          <cell r="O43">
            <v>613</v>
          </cell>
          <cell r="P43">
            <v>543</v>
          </cell>
          <cell r="Q43">
            <v>524</v>
          </cell>
          <cell r="R43">
            <v>519</v>
          </cell>
          <cell r="S43">
            <v>529</v>
          </cell>
          <cell r="T43">
            <v>375</v>
          </cell>
          <cell r="U43">
            <v>314</v>
          </cell>
          <cell r="V43">
            <v>274</v>
          </cell>
          <cell r="W43">
            <v>175</v>
          </cell>
          <cell r="X43">
            <v>245</v>
          </cell>
          <cell r="Y43">
            <v>216</v>
          </cell>
          <cell r="Z43">
            <v>219</v>
          </cell>
          <cell r="AA43">
            <v>224</v>
          </cell>
          <cell r="AB43">
            <v>201</v>
          </cell>
          <cell r="AC43">
            <v>168</v>
          </cell>
          <cell r="AD43">
            <v>175</v>
          </cell>
          <cell r="AE43">
            <v>127</v>
          </cell>
          <cell r="AF43">
            <v>155</v>
          </cell>
          <cell r="AG43">
            <v>130</v>
          </cell>
          <cell r="AH43">
            <v>115</v>
          </cell>
          <cell r="AI43">
            <v>148</v>
          </cell>
          <cell r="AJ43">
            <v>0</v>
          </cell>
          <cell r="AK43">
            <v>0</v>
          </cell>
          <cell r="AL43">
            <v>0</v>
          </cell>
          <cell r="AM43">
            <v>0</v>
          </cell>
        </row>
        <row r="44">
          <cell r="A44" t="str">
            <v>AR Industrial Wood</v>
          </cell>
          <cell r="C44" t="str">
            <v>Industrial Wood</v>
          </cell>
          <cell r="D44">
            <v>66121</v>
          </cell>
          <cell r="E44">
            <v>66713</v>
          </cell>
          <cell r="F44">
            <v>71440</v>
          </cell>
          <cell r="G44">
            <v>78742</v>
          </cell>
          <cell r="H44">
            <v>74711</v>
          </cell>
          <cell r="I44">
            <v>75594</v>
          </cell>
          <cell r="J44">
            <v>80348</v>
          </cell>
          <cell r="K44">
            <v>82843</v>
          </cell>
          <cell r="L44">
            <v>78275</v>
          </cell>
          <cell r="M44">
            <v>78436</v>
          </cell>
          <cell r="N44">
            <v>79703</v>
          </cell>
          <cell r="O44">
            <v>63374</v>
          </cell>
          <cell r="P44">
            <v>69539</v>
          </cell>
          <cell r="Q44">
            <v>69793</v>
          </cell>
          <cell r="R44">
            <v>69934</v>
          </cell>
          <cell r="S44">
            <v>71873</v>
          </cell>
          <cell r="T44">
            <v>76365</v>
          </cell>
          <cell r="U44">
            <v>78793</v>
          </cell>
          <cell r="V44">
            <v>66550</v>
          </cell>
          <cell r="W44">
            <v>69646</v>
          </cell>
          <cell r="X44">
            <v>74685</v>
          </cell>
          <cell r="Y44">
            <v>77673</v>
          </cell>
          <cell r="Z44">
            <v>77744</v>
          </cell>
          <cell r="AA44">
            <v>75715</v>
          </cell>
          <cell r="AB44">
            <v>74245</v>
          </cell>
          <cell r="AC44">
            <v>68082</v>
          </cell>
          <cell r="AD44">
            <v>64684</v>
          </cell>
          <cell r="AE44">
            <v>66586</v>
          </cell>
          <cell r="AF44">
            <v>65701</v>
          </cell>
          <cell r="AG44">
            <v>64256</v>
          </cell>
          <cell r="AH44">
            <v>49471</v>
          </cell>
          <cell r="AI44">
            <v>49589</v>
          </cell>
          <cell r="AJ44">
            <v>0</v>
          </cell>
          <cell r="AK44">
            <v>0</v>
          </cell>
          <cell r="AL44">
            <v>0</v>
          </cell>
          <cell r="AM44">
            <v>0</v>
          </cell>
        </row>
        <row r="45">
          <cell r="A45" t="str">
            <v>AR Industrial Other Coal</v>
          </cell>
          <cell r="C45" t="str">
            <v>Industrial Other Coal</v>
          </cell>
          <cell r="D45">
            <v>5708.266625324728</v>
          </cell>
          <cell r="E45">
            <v>6614.4561042883188</v>
          </cell>
          <cell r="F45">
            <v>6846.2551248094669</v>
          </cell>
          <cell r="G45">
            <v>7596.1741286909291</v>
          </cell>
          <cell r="H45">
            <v>8473.9373181078645</v>
          </cell>
          <cell r="I45">
            <v>7609.0061579927669</v>
          </cell>
          <cell r="J45">
            <v>7882.0944612044332</v>
          </cell>
          <cell r="K45">
            <v>6585.1192410154581</v>
          </cell>
          <cell r="L45">
            <v>6765.9976606818982</v>
          </cell>
          <cell r="M45">
            <v>7682.4585884174649</v>
          </cell>
          <cell r="N45">
            <v>9026.3128972187806</v>
          </cell>
          <cell r="O45">
            <v>10295.761984759938</v>
          </cell>
          <cell r="P45">
            <v>9778.1348365542744</v>
          </cell>
          <cell r="Q45">
            <v>9465.0892798129371</v>
          </cell>
          <cell r="R45">
            <v>9395.3634299830956</v>
          </cell>
          <cell r="S45">
            <v>8712.2898103086882</v>
          </cell>
          <cell r="T45">
            <v>8529.3682379716847</v>
          </cell>
          <cell r="U45">
            <v>9121.5054717626845</v>
          </cell>
          <cell r="V45">
            <v>8925.810316383453</v>
          </cell>
          <cell r="W45">
            <v>6980.4207514864465</v>
          </cell>
          <cell r="X45">
            <v>6771.116671635581</v>
          </cell>
          <cell r="Y45">
            <v>5117.9015946624486</v>
          </cell>
          <cell r="Z45">
            <v>4667.8952332339331</v>
          </cell>
          <cell r="AA45">
            <v>4609.5479792929264</v>
          </cell>
          <cell r="AB45">
            <v>4977.2911190431641</v>
          </cell>
          <cell r="AC45">
            <v>4248.1547314459895</v>
          </cell>
          <cell r="AD45">
            <v>4414.6928885368579</v>
          </cell>
          <cell r="AE45">
            <v>4221.1381382842355</v>
          </cell>
          <cell r="AF45">
            <v>3590.9698633555126</v>
          </cell>
          <cell r="AG45">
            <v>3535.2838343507356</v>
          </cell>
          <cell r="AH45">
            <v>2972.861699080499</v>
          </cell>
          <cell r="AI45">
            <v>2976.034841468103</v>
          </cell>
          <cell r="AJ45">
            <v>0</v>
          </cell>
          <cell r="AK45">
            <v>0</v>
          </cell>
          <cell r="AL45">
            <v>0</v>
          </cell>
          <cell r="AM45">
            <v>0</v>
          </cell>
        </row>
        <row r="46">
          <cell r="A46" t="str">
            <v>AR Industrial Other</v>
          </cell>
          <cell r="C46" t="str">
            <v>Industrial Other</v>
          </cell>
        </row>
        <row r="47">
          <cell r="A47" t="str">
            <v>AR Residential Coal</v>
          </cell>
          <cell r="C47" t="str">
            <v>Residential Coal</v>
          </cell>
          <cell r="D47">
            <v>1</v>
          </cell>
          <cell r="E47">
            <v>2</v>
          </cell>
          <cell r="F47">
            <v>9</v>
          </cell>
          <cell r="G47">
            <v>4</v>
          </cell>
          <cell r="H47">
            <v>1</v>
          </cell>
          <cell r="I47">
            <v>0</v>
          </cell>
          <cell r="J47">
            <v>0</v>
          </cell>
          <cell r="K47">
            <v>0</v>
          </cell>
          <cell r="L47">
            <v>0</v>
          </cell>
          <cell r="M47">
            <v>0</v>
          </cell>
          <cell r="N47">
            <v>0</v>
          </cell>
          <cell r="O47">
            <v>0</v>
          </cell>
          <cell r="P47">
            <v>0</v>
          </cell>
          <cell r="Q47">
            <v>0</v>
          </cell>
          <cell r="R47">
            <v>0</v>
          </cell>
          <cell r="S47">
            <v>0</v>
          </cell>
          <cell r="T47">
            <v>0</v>
          </cell>
          <cell r="U47">
            <v>3</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t="str">
            <v>AR Residential Distillate Fuel</v>
          </cell>
          <cell r="C48" t="str">
            <v>Residential Distillate Fuel</v>
          </cell>
          <cell r="D48">
            <v>2</v>
          </cell>
          <cell r="E48">
            <v>3</v>
          </cell>
          <cell r="F48">
            <v>55</v>
          </cell>
          <cell r="G48">
            <v>3</v>
          </cell>
          <cell r="H48">
            <v>5</v>
          </cell>
          <cell r="I48">
            <v>12</v>
          </cell>
          <cell r="J48">
            <v>5</v>
          </cell>
          <cell r="K48">
            <v>4</v>
          </cell>
          <cell r="L48">
            <v>3</v>
          </cell>
          <cell r="M48">
            <v>5</v>
          </cell>
          <cell r="N48">
            <v>4</v>
          </cell>
          <cell r="O48">
            <v>5</v>
          </cell>
          <cell r="P48">
            <v>50</v>
          </cell>
          <cell r="Q48">
            <v>21</v>
          </cell>
          <cell r="R48">
            <v>32</v>
          </cell>
          <cell r="S48">
            <v>9</v>
          </cell>
          <cell r="T48">
            <v>15</v>
          </cell>
          <cell r="U48">
            <v>18</v>
          </cell>
          <cell r="V48">
            <v>9</v>
          </cell>
          <cell r="W48">
            <v>23</v>
          </cell>
          <cell r="X48">
            <v>55</v>
          </cell>
          <cell r="Y48">
            <v>58</v>
          </cell>
          <cell r="Z48">
            <v>25</v>
          </cell>
          <cell r="AA48">
            <v>24</v>
          </cell>
          <cell r="AB48">
            <v>31</v>
          </cell>
          <cell r="AC48">
            <v>49</v>
          </cell>
          <cell r="AD48">
            <v>75</v>
          </cell>
          <cell r="AE48">
            <v>48</v>
          </cell>
          <cell r="AF48">
            <v>43</v>
          </cell>
          <cell r="AG48">
            <v>4</v>
          </cell>
          <cell r="AH48">
            <v>17</v>
          </cell>
          <cell r="AI48">
            <v>39</v>
          </cell>
          <cell r="AJ48">
            <v>0</v>
          </cell>
          <cell r="AK48">
            <v>0</v>
          </cell>
          <cell r="AL48">
            <v>0</v>
          </cell>
          <cell r="AM48">
            <v>0</v>
          </cell>
        </row>
        <row r="49">
          <cell r="A49" t="str">
            <v>AR Residential Kerosene</v>
          </cell>
          <cell r="C49" t="str">
            <v>Residential Kerosene</v>
          </cell>
          <cell r="D49">
            <v>112</v>
          </cell>
          <cell r="E49">
            <v>79</v>
          </cell>
          <cell r="F49">
            <v>42</v>
          </cell>
          <cell r="G49">
            <v>56</v>
          </cell>
          <cell r="H49">
            <v>37</v>
          </cell>
          <cell r="I49">
            <v>79</v>
          </cell>
          <cell r="J49">
            <v>67</v>
          </cell>
          <cell r="K49">
            <v>107</v>
          </cell>
          <cell r="L49">
            <v>85</v>
          </cell>
          <cell r="M49">
            <v>203</v>
          </cell>
          <cell r="N49">
            <v>141</v>
          </cell>
          <cell r="O49">
            <v>137</v>
          </cell>
          <cell r="P49">
            <v>111</v>
          </cell>
          <cell r="Q49">
            <v>92</v>
          </cell>
          <cell r="R49">
            <v>61</v>
          </cell>
          <cell r="S49">
            <v>77</v>
          </cell>
          <cell r="T49">
            <v>52</v>
          </cell>
          <cell r="U49">
            <v>35</v>
          </cell>
          <cell r="V49">
            <v>13</v>
          </cell>
          <cell r="W49">
            <v>26</v>
          </cell>
          <cell r="X49">
            <v>31</v>
          </cell>
          <cell r="Y49">
            <v>12</v>
          </cell>
          <cell r="Z49">
            <v>5</v>
          </cell>
          <cell r="AA49">
            <v>7</v>
          </cell>
          <cell r="AB49">
            <v>16</v>
          </cell>
          <cell r="AC49">
            <v>9</v>
          </cell>
          <cell r="AD49">
            <v>7</v>
          </cell>
          <cell r="AE49">
            <v>2</v>
          </cell>
          <cell r="AF49">
            <v>3</v>
          </cell>
          <cell r="AG49">
            <v>4</v>
          </cell>
          <cell r="AH49">
            <v>3</v>
          </cell>
          <cell r="AI49">
            <v>5</v>
          </cell>
          <cell r="AJ49">
            <v>0</v>
          </cell>
          <cell r="AK49">
            <v>0</v>
          </cell>
          <cell r="AL49">
            <v>0</v>
          </cell>
          <cell r="AM49">
            <v>0</v>
          </cell>
        </row>
        <row r="50">
          <cell r="A50" t="str">
            <v>AR Residential Hydrocarbon Gas Liquids</v>
          </cell>
          <cell r="C50" t="str">
            <v>Residential Hydrocarbon Gas Liquids</v>
          </cell>
          <cell r="D50">
            <v>6807</v>
          </cell>
          <cell r="E50">
            <v>6156</v>
          </cell>
          <cell r="F50">
            <v>5512</v>
          </cell>
          <cell r="G50">
            <v>6282</v>
          </cell>
          <cell r="H50">
            <v>6138</v>
          </cell>
          <cell r="I50">
            <v>5507</v>
          </cell>
          <cell r="J50">
            <v>5482</v>
          </cell>
          <cell r="K50">
            <v>5800</v>
          </cell>
          <cell r="L50">
            <v>4299</v>
          </cell>
          <cell r="M50">
            <v>11135</v>
          </cell>
          <cell r="N50">
            <v>9879</v>
          </cell>
          <cell r="O50">
            <v>10386</v>
          </cell>
          <cell r="P50">
            <v>7769</v>
          </cell>
          <cell r="Q50">
            <v>6459</v>
          </cell>
          <cell r="R50">
            <v>6180</v>
          </cell>
          <cell r="S50">
            <v>5610</v>
          </cell>
          <cell r="T50">
            <v>5535</v>
          </cell>
          <cell r="U50">
            <v>5440</v>
          </cell>
          <cell r="V50">
            <v>6901</v>
          </cell>
          <cell r="W50">
            <v>6797</v>
          </cell>
          <cell r="X50">
            <v>6049</v>
          </cell>
          <cell r="Y50">
            <v>5063</v>
          </cell>
          <cell r="Z50">
            <v>3819</v>
          </cell>
          <cell r="AA50">
            <v>5092</v>
          </cell>
          <cell r="AB50">
            <v>4964</v>
          </cell>
          <cell r="AC50">
            <v>4198</v>
          </cell>
          <cell r="AD50">
            <v>3198</v>
          </cell>
          <cell r="AE50">
            <v>2949</v>
          </cell>
          <cell r="AF50">
            <v>3993</v>
          </cell>
          <cell r="AG50">
            <v>4095</v>
          </cell>
          <cell r="AH50">
            <v>4191</v>
          </cell>
          <cell r="AI50">
            <v>3983</v>
          </cell>
          <cell r="AJ50">
            <v>0</v>
          </cell>
          <cell r="AK50">
            <v>0</v>
          </cell>
          <cell r="AL50">
            <v>0</v>
          </cell>
          <cell r="AM50">
            <v>0</v>
          </cell>
        </row>
        <row r="51">
          <cell r="A51" t="str">
            <v>AR Residential Natural Gas</v>
          </cell>
          <cell r="C51" t="str">
            <v>Residential Natural Gas</v>
          </cell>
          <cell r="D51">
            <v>39486</v>
          </cell>
          <cell r="E51">
            <v>41312</v>
          </cell>
          <cell r="F51">
            <v>39743</v>
          </cell>
          <cell r="G51">
            <v>46117</v>
          </cell>
          <cell r="H51">
            <v>42431</v>
          </cell>
          <cell r="I51">
            <v>44579</v>
          </cell>
          <cell r="J51">
            <v>47509</v>
          </cell>
          <cell r="K51">
            <v>43019</v>
          </cell>
          <cell r="L51">
            <v>39139</v>
          </cell>
          <cell r="M51">
            <v>36894</v>
          </cell>
          <cell r="N51">
            <v>43159</v>
          </cell>
          <cell r="O51">
            <v>37695</v>
          </cell>
          <cell r="P51">
            <v>40085</v>
          </cell>
          <cell r="Q51">
            <v>39161</v>
          </cell>
          <cell r="R51">
            <v>35078</v>
          </cell>
          <cell r="S51">
            <v>33927</v>
          </cell>
          <cell r="T51">
            <v>32467</v>
          </cell>
          <cell r="U51">
            <v>33041</v>
          </cell>
          <cell r="V51">
            <v>36028</v>
          </cell>
          <cell r="W51">
            <v>33635</v>
          </cell>
          <cell r="X51">
            <v>36509</v>
          </cell>
          <cell r="Y51">
            <v>34241</v>
          </cell>
          <cell r="Z51">
            <v>26454</v>
          </cell>
          <cell r="AA51">
            <v>35663</v>
          </cell>
          <cell r="AB51">
            <v>38558</v>
          </cell>
          <cell r="AC51">
            <v>33463</v>
          </cell>
          <cell r="AD51">
            <v>27469</v>
          </cell>
          <cell r="AE51">
            <v>26080</v>
          </cell>
          <cell r="AF51">
            <v>35466</v>
          </cell>
          <cell r="AG51">
            <v>34175</v>
          </cell>
          <cell r="AH51">
            <v>30704</v>
          </cell>
          <cell r="AI51">
            <v>34276</v>
          </cell>
          <cell r="AJ51">
            <v>0</v>
          </cell>
          <cell r="AK51">
            <v>0</v>
          </cell>
          <cell r="AL51">
            <v>0</v>
          </cell>
          <cell r="AM51">
            <v>0</v>
          </cell>
        </row>
        <row r="52">
          <cell r="A52" t="str">
            <v>AR Residential Wood</v>
          </cell>
          <cell r="C52" t="str">
            <v>Residential Wood</v>
          </cell>
          <cell r="D52">
            <v>3161</v>
          </cell>
          <cell r="E52">
            <v>3313</v>
          </cell>
          <cell r="F52">
            <v>3476</v>
          </cell>
          <cell r="G52">
            <v>4830</v>
          </cell>
          <cell r="H52">
            <v>4585</v>
          </cell>
          <cell r="I52">
            <v>4585</v>
          </cell>
          <cell r="J52">
            <v>4761</v>
          </cell>
          <cell r="K52">
            <v>2347</v>
          </cell>
          <cell r="L52">
            <v>2086</v>
          </cell>
          <cell r="M52">
            <v>2141</v>
          </cell>
          <cell r="N52">
            <v>2306</v>
          </cell>
          <cell r="O52">
            <v>2227</v>
          </cell>
          <cell r="P52">
            <v>2261</v>
          </cell>
          <cell r="Q52">
            <v>2380</v>
          </cell>
          <cell r="R52">
            <v>2439</v>
          </cell>
          <cell r="S52">
            <v>5603</v>
          </cell>
          <cell r="T52">
            <v>4969</v>
          </cell>
          <cell r="U52">
            <v>5492</v>
          </cell>
          <cell r="V52">
            <v>6146</v>
          </cell>
          <cell r="W52">
            <v>9580</v>
          </cell>
          <cell r="X52">
            <v>10275</v>
          </cell>
          <cell r="Y52">
            <v>9966</v>
          </cell>
          <cell r="Z52">
            <v>8328</v>
          </cell>
          <cell r="AA52">
            <v>10867</v>
          </cell>
          <cell r="AB52">
            <v>10997</v>
          </cell>
          <cell r="AC52">
            <v>6398</v>
          </cell>
          <cell r="AD52">
            <v>5184</v>
          </cell>
          <cell r="AE52">
            <v>4365</v>
          </cell>
          <cell r="AF52">
            <v>6858</v>
          </cell>
          <cell r="AG52">
            <v>6913</v>
          </cell>
          <cell r="AH52">
            <v>5314</v>
          </cell>
          <cell r="AI52">
            <v>4896</v>
          </cell>
          <cell r="AJ52">
            <v>0</v>
          </cell>
          <cell r="AK52">
            <v>0</v>
          </cell>
          <cell r="AL52">
            <v>0</v>
          </cell>
          <cell r="AM52">
            <v>0</v>
          </cell>
        </row>
        <row r="53">
          <cell r="A53" t="str">
            <v>AR Residential Other</v>
          </cell>
          <cell r="C53" t="str">
            <v>Residential Other</v>
          </cell>
        </row>
        <row r="54">
          <cell r="A54" t="str">
            <v>AR Transportation Aviation Gasoline</v>
          </cell>
          <cell r="C54" t="str">
            <v>Transportation Aviation Gasoline</v>
          </cell>
          <cell r="D54">
            <v>631</v>
          </cell>
          <cell r="E54">
            <v>726</v>
          </cell>
          <cell r="F54">
            <v>768</v>
          </cell>
          <cell r="G54">
            <v>679</v>
          </cell>
          <cell r="H54">
            <v>791</v>
          </cell>
          <cell r="I54">
            <v>723</v>
          </cell>
          <cell r="J54">
            <v>613</v>
          </cell>
          <cell r="K54">
            <v>682</v>
          </cell>
          <cell r="L54">
            <v>617</v>
          </cell>
          <cell r="M54">
            <v>596</v>
          </cell>
          <cell r="N54">
            <v>471</v>
          </cell>
          <cell r="O54">
            <v>922</v>
          </cell>
          <cell r="P54">
            <v>598</v>
          </cell>
          <cell r="Q54">
            <v>522</v>
          </cell>
          <cell r="R54">
            <v>643</v>
          </cell>
          <cell r="S54">
            <v>339</v>
          </cell>
          <cell r="T54">
            <v>559</v>
          </cell>
          <cell r="U54">
            <v>553</v>
          </cell>
          <cell r="V54">
            <v>440</v>
          </cell>
          <cell r="W54">
            <v>557</v>
          </cell>
          <cell r="X54">
            <v>434</v>
          </cell>
          <cell r="Y54">
            <v>407</v>
          </cell>
          <cell r="Z54">
            <v>414</v>
          </cell>
          <cell r="AA54">
            <v>354</v>
          </cell>
          <cell r="AB54">
            <v>196</v>
          </cell>
          <cell r="AC54">
            <v>242</v>
          </cell>
          <cell r="AD54">
            <v>242</v>
          </cell>
          <cell r="AE54">
            <v>243</v>
          </cell>
          <cell r="AF54">
            <v>237</v>
          </cell>
          <cell r="AG54">
            <v>244</v>
          </cell>
          <cell r="AH54">
            <v>225</v>
          </cell>
          <cell r="AI54">
            <v>245</v>
          </cell>
          <cell r="AJ54">
            <v>0</v>
          </cell>
          <cell r="AK54">
            <v>0</v>
          </cell>
          <cell r="AL54">
            <v>0</v>
          </cell>
          <cell r="AM54">
            <v>0</v>
          </cell>
        </row>
        <row r="55">
          <cell r="A55" t="str">
            <v>AR Transportation Distillate Fuel</v>
          </cell>
          <cell r="C55" t="str">
            <v>Transportation Distillate Fuel</v>
          </cell>
          <cell r="D55">
            <v>56629</v>
          </cell>
          <cell r="E55">
            <v>57962</v>
          </cell>
          <cell r="F55">
            <v>57886</v>
          </cell>
          <cell r="G55">
            <v>62549</v>
          </cell>
          <cell r="H55">
            <v>71483</v>
          </cell>
          <cell r="I55">
            <v>73149</v>
          </cell>
          <cell r="J55">
            <v>76046</v>
          </cell>
          <cell r="K55">
            <v>79046</v>
          </cell>
          <cell r="L55">
            <v>83476</v>
          </cell>
          <cell r="M55">
            <v>80444</v>
          </cell>
          <cell r="N55">
            <v>83479</v>
          </cell>
          <cell r="O55">
            <v>90968</v>
          </cell>
          <cell r="P55">
            <v>97823</v>
          </cell>
          <cell r="Q55">
            <v>96381</v>
          </cell>
          <cell r="R55">
            <v>100007</v>
          </cell>
          <cell r="S55">
            <v>97389</v>
          </cell>
          <cell r="T55">
            <v>95916</v>
          </cell>
          <cell r="U55">
            <v>97317</v>
          </cell>
          <cell r="V55">
            <v>94981</v>
          </cell>
          <cell r="W55">
            <v>94337</v>
          </cell>
          <cell r="X55">
            <v>97842</v>
          </cell>
          <cell r="Y55">
            <v>99064</v>
          </cell>
          <cell r="Z55">
            <v>90155</v>
          </cell>
          <cell r="AA55">
            <v>91015</v>
          </cell>
          <cell r="AB55">
            <v>89026</v>
          </cell>
          <cell r="AC55">
            <v>88795</v>
          </cell>
          <cell r="AD55">
            <v>89470</v>
          </cell>
          <cell r="AE55">
            <v>92883</v>
          </cell>
          <cell r="AF55">
            <v>97731</v>
          </cell>
          <cell r="AG55">
            <v>95310</v>
          </cell>
          <cell r="AH55">
            <v>94234</v>
          </cell>
          <cell r="AI55">
            <v>96959</v>
          </cell>
          <cell r="AJ55">
            <v>0</v>
          </cell>
          <cell r="AK55">
            <v>0</v>
          </cell>
          <cell r="AL55">
            <v>0</v>
          </cell>
          <cell r="AM55">
            <v>0</v>
          </cell>
        </row>
        <row r="56">
          <cell r="A56" t="str">
            <v>AR Transportation Ethanol</v>
          </cell>
          <cell r="C56" t="str">
            <v>Transportation Ethanol</v>
          </cell>
          <cell r="D56">
            <v>498</v>
          </cell>
          <cell r="E56">
            <v>314</v>
          </cell>
          <cell r="F56">
            <v>222</v>
          </cell>
          <cell r="G56">
            <v>155</v>
          </cell>
          <cell r="H56">
            <v>28</v>
          </cell>
          <cell r="I56">
            <v>31</v>
          </cell>
          <cell r="J56">
            <v>2</v>
          </cell>
          <cell r="K56">
            <v>0</v>
          </cell>
          <cell r="L56">
            <v>0</v>
          </cell>
          <cell r="M56">
            <v>0</v>
          </cell>
          <cell r="N56">
            <v>0</v>
          </cell>
          <cell r="O56">
            <v>0</v>
          </cell>
          <cell r="P56">
            <v>0</v>
          </cell>
          <cell r="Q56">
            <v>0</v>
          </cell>
          <cell r="R56">
            <v>0</v>
          </cell>
          <cell r="S56">
            <v>93</v>
          </cell>
          <cell r="T56">
            <v>86</v>
          </cell>
          <cell r="U56">
            <v>278</v>
          </cell>
          <cell r="V56">
            <v>2250</v>
          </cell>
          <cell r="W56">
            <v>5855</v>
          </cell>
          <cell r="X56">
            <v>12507</v>
          </cell>
          <cell r="Y56">
            <v>11778</v>
          </cell>
          <cell r="Z56">
            <v>11457</v>
          </cell>
          <cell r="AA56">
            <v>11575</v>
          </cell>
          <cell r="AB56">
            <v>12076</v>
          </cell>
          <cell r="AC56">
            <v>12136</v>
          </cell>
          <cell r="AD56">
            <v>12551</v>
          </cell>
          <cell r="AE56">
            <v>12588</v>
          </cell>
          <cell r="AF56">
            <v>11637</v>
          </cell>
          <cell r="AG56">
            <v>11589</v>
          </cell>
          <cell r="AH56">
            <v>10351</v>
          </cell>
          <cell r="AI56">
            <v>11596</v>
          </cell>
          <cell r="AJ56">
            <v>0</v>
          </cell>
          <cell r="AK56">
            <v>0</v>
          </cell>
          <cell r="AL56">
            <v>0</v>
          </cell>
          <cell r="AM56">
            <v>0</v>
          </cell>
        </row>
        <row r="57">
          <cell r="A57" t="str">
            <v>AR Transportation Jet Fuel, Kerosene</v>
          </cell>
          <cell r="C57" t="str">
            <v>Transportation Jet Fuel, Kerosene</v>
          </cell>
          <cell r="D57">
            <v>3239</v>
          </cell>
          <cell r="E57">
            <v>2534</v>
          </cell>
          <cell r="F57">
            <v>2360</v>
          </cell>
          <cell r="G57">
            <v>2304</v>
          </cell>
          <cell r="H57">
            <v>5757</v>
          </cell>
          <cell r="I57">
            <v>6387</v>
          </cell>
          <cell r="J57">
            <v>8631</v>
          </cell>
          <cell r="K57">
            <v>8707</v>
          </cell>
          <cell r="L57">
            <v>8665</v>
          </cell>
          <cell r="M57">
            <v>25941</v>
          </cell>
          <cell r="N57">
            <v>27600</v>
          </cell>
          <cell r="O57">
            <v>5876</v>
          </cell>
          <cell r="P57">
            <v>4500</v>
          </cell>
          <cell r="Q57">
            <v>4660</v>
          </cell>
          <cell r="R57">
            <v>4096</v>
          </cell>
          <cell r="S57">
            <v>7094</v>
          </cell>
          <cell r="T57">
            <v>6706</v>
          </cell>
          <cell r="U57">
            <v>6951</v>
          </cell>
          <cell r="V57">
            <v>6152</v>
          </cell>
          <cell r="W57">
            <v>4537</v>
          </cell>
          <cell r="X57">
            <v>7858</v>
          </cell>
          <cell r="Y57">
            <v>7788</v>
          </cell>
          <cell r="Z57">
            <v>8056</v>
          </cell>
          <cell r="AA57">
            <v>7615</v>
          </cell>
          <cell r="AB57">
            <v>7851</v>
          </cell>
          <cell r="AC57">
            <v>7378</v>
          </cell>
          <cell r="AD57">
            <v>7140</v>
          </cell>
          <cell r="AE57">
            <v>7599</v>
          </cell>
          <cell r="AF57">
            <v>6556</v>
          </cell>
          <cell r="AG57">
            <v>7007</v>
          </cell>
          <cell r="AH57">
            <v>5284</v>
          </cell>
          <cell r="AI57">
            <v>5659</v>
          </cell>
          <cell r="AJ57">
            <v>0</v>
          </cell>
          <cell r="AK57">
            <v>0</v>
          </cell>
          <cell r="AL57">
            <v>0</v>
          </cell>
          <cell r="AM57">
            <v>0</v>
          </cell>
        </row>
        <row r="58">
          <cell r="A58" t="str">
            <v>AR Transportation Jet Fuel, Naphtha</v>
          </cell>
          <cell r="C58" t="str">
            <v>Transportation Jet Fuel, Naphtha</v>
          </cell>
          <cell r="D58">
            <v>6007</v>
          </cell>
          <cell r="E58">
            <v>7203</v>
          </cell>
          <cell r="F58">
            <v>3844</v>
          </cell>
          <cell r="G58">
            <v>3347</v>
          </cell>
          <cell r="H58">
            <v>3312</v>
          </cell>
          <cell r="I58">
            <v>281</v>
          </cell>
          <cell r="J58">
            <v>64</v>
          </cell>
          <cell r="K58">
            <v>20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t="str">
            <v>AR Transportation Hydrocarbon Gas Liquids</v>
          </cell>
          <cell r="C59" t="str">
            <v>Transportation Hydrocarbon Gas Liquids</v>
          </cell>
          <cell r="D59">
            <v>319</v>
          </cell>
          <cell r="E59">
            <v>301</v>
          </cell>
          <cell r="F59">
            <v>237</v>
          </cell>
          <cell r="G59">
            <v>263</v>
          </cell>
          <cell r="H59">
            <v>478</v>
          </cell>
          <cell r="I59">
            <v>197</v>
          </cell>
          <cell r="J59">
            <v>173</v>
          </cell>
          <cell r="K59">
            <v>162</v>
          </cell>
          <cell r="L59">
            <v>126</v>
          </cell>
          <cell r="M59">
            <v>1755</v>
          </cell>
          <cell r="N59">
            <v>359</v>
          </cell>
          <cell r="O59">
            <v>342</v>
          </cell>
          <cell r="P59">
            <v>209</v>
          </cell>
          <cell r="Q59">
            <v>195</v>
          </cell>
          <cell r="R59">
            <v>196</v>
          </cell>
          <cell r="S59">
            <v>318</v>
          </cell>
          <cell r="T59">
            <v>310</v>
          </cell>
          <cell r="U59">
            <v>228</v>
          </cell>
          <cell r="V59">
            <v>590</v>
          </cell>
          <cell r="W59">
            <v>294</v>
          </cell>
          <cell r="X59">
            <v>73</v>
          </cell>
          <cell r="Y59">
            <v>72</v>
          </cell>
          <cell r="Z59">
            <v>45</v>
          </cell>
          <cell r="AA59">
            <v>64</v>
          </cell>
          <cell r="AB59">
            <v>58</v>
          </cell>
          <cell r="AC59">
            <v>78</v>
          </cell>
          <cell r="AD59">
            <v>77</v>
          </cell>
          <cell r="AE59">
            <v>21</v>
          </cell>
          <cell r="AF59">
            <v>17</v>
          </cell>
          <cell r="AG59">
            <v>20</v>
          </cell>
          <cell r="AH59">
            <v>26</v>
          </cell>
          <cell r="AI59">
            <v>32</v>
          </cell>
          <cell r="AJ59">
            <v>0</v>
          </cell>
          <cell r="AK59">
            <v>0</v>
          </cell>
          <cell r="AL59">
            <v>0</v>
          </cell>
          <cell r="AM59">
            <v>0</v>
          </cell>
        </row>
        <row r="60">
          <cell r="A60" t="str">
            <v>AR Transportation Lubricants</v>
          </cell>
          <cell r="C60" t="str">
            <v>Transportation Lubricants</v>
          </cell>
          <cell r="D60">
            <v>2683</v>
          </cell>
          <cell r="E60">
            <v>2400</v>
          </cell>
          <cell r="F60">
            <v>2447</v>
          </cell>
          <cell r="G60">
            <v>2492</v>
          </cell>
          <cell r="H60">
            <v>2605</v>
          </cell>
          <cell r="I60">
            <v>2560</v>
          </cell>
          <cell r="J60">
            <v>2484</v>
          </cell>
          <cell r="K60">
            <v>2624</v>
          </cell>
          <cell r="L60">
            <v>2747</v>
          </cell>
          <cell r="M60">
            <v>2776</v>
          </cell>
          <cell r="N60">
            <v>2735</v>
          </cell>
          <cell r="O60">
            <v>2505</v>
          </cell>
          <cell r="P60">
            <v>2476</v>
          </cell>
          <cell r="Q60">
            <v>2289</v>
          </cell>
          <cell r="R60">
            <v>2319</v>
          </cell>
          <cell r="S60">
            <v>2307</v>
          </cell>
          <cell r="T60">
            <v>2247</v>
          </cell>
          <cell r="U60">
            <v>2321</v>
          </cell>
          <cell r="V60">
            <v>2155</v>
          </cell>
          <cell r="W60">
            <v>1937</v>
          </cell>
          <cell r="X60">
            <v>2019</v>
          </cell>
          <cell r="Y60">
            <v>1911</v>
          </cell>
          <cell r="Z60">
            <v>1701</v>
          </cell>
          <cell r="AA60">
            <v>1745</v>
          </cell>
          <cell r="AB60">
            <v>1789</v>
          </cell>
          <cell r="AC60">
            <v>1945</v>
          </cell>
          <cell r="AD60">
            <v>1871</v>
          </cell>
          <cell r="AE60">
            <v>1740</v>
          </cell>
          <cell r="AF60">
            <v>1672</v>
          </cell>
          <cell r="AG60">
            <v>1600</v>
          </cell>
          <cell r="AH60">
            <v>1484</v>
          </cell>
          <cell r="AI60">
            <v>1524</v>
          </cell>
          <cell r="AJ60">
            <v>0</v>
          </cell>
          <cell r="AK60">
            <v>0</v>
          </cell>
          <cell r="AL60">
            <v>0</v>
          </cell>
          <cell r="AM60">
            <v>0</v>
          </cell>
        </row>
        <row r="61">
          <cell r="A61" t="str">
            <v>AR Transportation Motor Gasoline</v>
          </cell>
          <cell r="C61" t="str">
            <v>Transportation Motor Gasoline</v>
          </cell>
          <cell r="D61">
            <v>148889</v>
          </cell>
          <cell r="E61">
            <v>149193</v>
          </cell>
          <cell r="F61">
            <v>151541</v>
          </cell>
          <cell r="G61">
            <v>156619</v>
          </cell>
          <cell r="H61">
            <v>158586</v>
          </cell>
          <cell r="I61">
            <v>164644</v>
          </cell>
          <cell r="J61">
            <v>164658</v>
          </cell>
          <cell r="K61">
            <v>170120</v>
          </cell>
          <cell r="L61">
            <v>169538</v>
          </cell>
          <cell r="M61">
            <v>172291</v>
          </cell>
          <cell r="N61">
            <v>170170</v>
          </cell>
          <cell r="O61">
            <v>167888</v>
          </cell>
          <cell r="P61">
            <v>171541</v>
          </cell>
          <cell r="Q61">
            <v>172399</v>
          </cell>
          <cell r="R61">
            <v>172856</v>
          </cell>
          <cell r="S61">
            <v>171964</v>
          </cell>
          <cell r="T61">
            <v>171427</v>
          </cell>
          <cell r="U61">
            <v>173978</v>
          </cell>
          <cell r="V61">
            <v>167976</v>
          </cell>
          <cell r="W61">
            <v>168399</v>
          </cell>
          <cell r="X61">
            <v>159764</v>
          </cell>
          <cell r="Y61">
            <v>154639</v>
          </cell>
          <cell r="Z61">
            <v>155354</v>
          </cell>
          <cell r="AA61">
            <v>152300</v>
          </cell>
          <cell r="AB61">
            <v>157318</v>
          </cell>
          <cell r="AC61">
            <v>157485</v>
          </cell>
          <cell r="AD61">
            <v>163797</v>
          </cell>
          <cell r="AE61">
            <v>163179</v>
          </cell>
          <cell r="AF61">
            <v>160915</v>
          </cell>
          <cell r="AG61">
            <v>165260</v>
          </cell>
          <cell r="AH61">
            <v>153288</v>
          </cell>
          <cell r="AI61">
            <v>163919</v>
          </cell>
          <cell r="AJ61">
            <v>0</v>
          </cell>
          <cell r="AK61">
            <v>0</v>
          </cell>
          <cell r="AL61">
            <v>0</v>
          </cell>
          <cell r="AM61">
            <v>0</v>
          </cell>
        </row>
        <row r="62">
          <cell r="A62" t="str">
            <v>AR Transportation Natural Gas</v>
          </cell>
          <cell r="C62" t="str">
            <v>Transportation Natural Gas</v>
          </cell>
          <cell r="D62">
            <v>8709</v>
          </cell>
          <cell r="E62">
            <v>8478</v>
          </cell>
          <cell r="F62">
            <v>8140</v>
          </cell>
          <cell r="G62">
            <v>9783</v>
          </cell>
          <cell r="H62">
            <v>12125</v>
          </cell>
          <cell r="I62">
            <v>12453</v>
          </cell>
          <cell r="J62">
            <v>12882</v>
          </cell>
          <cell r="K62">
            <v>11812</v>
          </cell>
          <cell r="L62">
            <v>10527</v>
          </cell>
          <cell r="M62">
            <v>9241</v>
          </cell>
          <cell r="N62">
            <v>9025</v>
          </cell>
          <cell r="O62">
            <v>8917</v>
          </cell>
          <cell r="P62">
            <v>8174</v>
          </cell>
          <cell r="Q62">
            <v>8785</v>
          </cell>
          <cell r="R62">
            <v>8036</v>
          </cell>
          <cell r="S62">
            <v>9039</v>
          </cell>
          <cell r="T62">
            <v>10968</v>
          </cell>
          <cell r="U62">
            <v>10345</v>
          </cell>
          <cell r="V62">
            <v>10025</v>
          </cell>
          <cell r="W62">
            <v>9241</v>
          </cell>
          <cell r="X62">
            <v>9631</v>
          </cell>
          <cell r="Y62">
            <v>11476</v>
          </cell>
          <cell r="Z62">
            <v>10734</v>
          </cell>
          <cell r="AA62">
            <v>11685</v>
          </cell>
          <cell r="AB62">
            <v>11844</v>
          </cell>
          <cell r="AC62">
            <v>8938</v>
          </cell>
          <cell r="AD62">
            <v>8371</v>
          </cell>
          <cell r="AE62">
            <v>6896</v>
          </cell>
          <cell r="AF62">
            <v>7427</v>
          </cell>
          <cell r="AG62">
            <v>7861</v>
          </cell>
          <cell r="AH62">
            <v>6301</v>
          </cell>
          <cell r="AI62">
            <v>5328</v>
          </cell>
          <cell r="AJ62">
            <v>0</v>
          </cell>
          <cell r="AK62">
            <v>0</v>
          </cell>
          <cell r="AL62">
            <v>0</v>
          </cell>
          <cell r="AM62">
            <v>0</v>
          </cell>
        </row>
        <row r="63">
          <cell r="A63" t="str">
            <v>AR Transportation Residual Fuel</v>
          </cell>
          <cell r="C63" t="str">
            <v>Transportation Residual Fuel</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7</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t="str">
            <v>AR Transportation Other</v>
          </cell>
          <cell r="C64" t="str">
            <v>Transportation Other</v>
          </cell>
        </row>
        <row r="65">
          <cell r="A65" t="str">
            <v>AR Bunker Fuels Distillate Fuel</v>
          </cell>
          <cell r="C65" t="str">
            <v>Bunker Fuels Distillate Fuel</v>
          </cell>
          <cell r="D65">
            <v>124.95024478949814</v>
          </cell>
          <cell r="E65">
            <v>145.80253320710258</v>
          </cell>
          <cell r="F65">
            <v>117.21784624554674</v>
          </cell>
          <cell r="G65">
            <v>140.59483904665132</v>
          </cell>
          <cell r="H65">
            <v>134.00963254529142</v>
          </cell>
          <cell r="I65">
            <v>167.01949330134889</v>
          </cell>
          <cell r="J65">
            <v>152.774495259585</v>
          </cell>
          <cell r="K65">
            <v>148.579682383039</v>
          </cell>
          <cell r="L65">
            <v>339.56024384185679</v>
          </cell>
          <cell r="M65">
            <v>223.00955541844755</v>
          </cell>
          <cell r="N65">
            <v>4.5939708730456754</v>
          </cell>
          <cell r="O65">
            <v>9.0671782906596725</v>
          </cell>
          <cell r="P65">
            <v>31.926700419320781</v>
          </cell>
          <cell r="Q65">
            <v>427.99399036599448</v>
          </cell>
          <cell r="R65">
            <v>2722.3954245522432</v>
          </cell>
          <cell r="S65">
            <v>1271.7500442146595</v>
          </cell>
          <cell r="T65">
            <v>26.016955605892115</v>
          </cell>
          <cell r="U65">
            <v>24.303549394708163</v>
          </cell>
          <cell r="V65">
            <v>3043.1805354569101</v>
          </cell>
          <cell r="W65">
            <v>2759.8811377911547</v>
          </cell>
          <cell r="X65">
            <v>3057.7399385078529</v>
          </cell>
          <cell r="Y65">
            <v>2781.5647956851553</v>
          </cell>
          <cell r="Z65">
            <v>22.031105205958575</v>
          </cell>
          <cell r="AA65">
            <v>5.4480418963609836</v>
          </cell>
          <cell r="AB65">
            <v>13.336395929317939</v>
          </cell>
          <cell r="AC65">
            <v>9.7662856993416138</v>
          </cell>
          <cell r="AD65">
            <v>18.738221214387099</v>
          </cell>
          <cell r="AE65">
            <v>12.265206867047976</v>
          </cell>
          <cell r="AF65">
            <v>16.466969306071821</v>
          </cell>
          <cell r="AG65">
            <v>10.476507840833511</v>
          </cell>
          <cell r="AH65">
            <v>56.209181766495107</v>
          </cell>
          <cell r="AI65">
            <v>53.599228615876399</v>
          </cell>
          <cell r="AJ65">
            <v>0</v>
          </cell>
          <cell r="AK65">
            <v>0</v>
          </cell>
          <cell r="AL65">
            <v>0</v>
          </cell>
          <cell r="AM65">
            <v>0</v>
          </cell>
        </row>
        <row r="66">
          <cell r="A66" t="str">
            <v>AR Bunker Fuels Residual Fuel</v>
          </cell>
          <cell r="C66" t="str">
            <v>Bunker Fuels Residual Fuel</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4.7121599786407797</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t="str">
            <v>AR Bunker Fuels Jet Fuel, Kerosene</v>
          </cell>
          <cell r="C67" t="str">
            <v>Bunker Fuels Jet Fuel, Kerosene</v>
          </cell>
          <cell r="D67">
            <v>1600.7951952042783</v>
          </cell>
          <cell r="E67">
            <v>2104.5879074693644</v>
          </cell>
          <cell r="F67">
            <v>1363.2323391635441</v>
          </cell>
          <cell r="G67">
            <v>1234.5629049748131</v>
          </cell>
          <cell r="H67">
            <v>1962.053983568062</v>
          </cell>
          <cell r="I67">
            <v>1500.9637753424256</v>
          </cell>
          <cell r="J67">
            <v>1911.4916134039961</v>
          </cell>
          <cell r="K67">
            <v>1993.8891675836537</v>
          </cell>
          <cell r="L67">
            <v>1936.6300024132649</v>
          </cell>
          <cell r="M67">
            <v>5982.3949287180048</v>
          </cell>
          <cell r="N67">
            <v>6794.8731568379981</v>
          </cell>
          <cell r="O67">
            <v>1374.1174175587064</v>
          </cell>
          <cell r="P67">
            <v>1045.689330785299</v>
          </cell>
          <cell r="Q67">
            <v>1119.2697186113539</v>
          </cell>
          <cell r="R67">
            <v>967.68251245299871</v>
          </cell>
          <cell r="S67">
            <v>1744.3260180145926</v>
          </cell>
          <cell r="T67">
            <v>1700.0112797606346</v>
          </cell>
          <cell r="U67">
            <v>1809.0168085382875</v>
          </cell>
          <cell r="V67">
            <v>1537.3611527115022</v>
          </cell>
          <cell r="W67">
            <v>1180.3523034772752</v>
          </cell>
          <cell r="X67">
            <v>2297.9251408621558</v>
          </cell>
          <cell r="Y67">
            <v>2431.0921008544838</v>
          </cell>
          <cell r="Z67">
            <v>2546.5891680493273</v>
          </cell>
          <cell r="AA67">
            <v>2392.0462275120453</v>
          </cell>
          <cell r="AB67">
            <v>2551.8612464364605</v>
          </cell>
          <cell r="AC67">
            <v>2356.1676062084271</v>
          </cell>
          <cell r="AD67">
            <v>2242.436368941409</v>
          </cell>
          <cell r="AE67">
            <v>2410.197586205908</v>
          </cell>
          <cell r="AF67">
            <v>2129.8041982512805</v>
          </cell>
          <cell r="AG67">
            <v>2159.64327656368</v>
          </cell>
          <cell r="AH67">
            <v>1333.312448066697</v>
          </cell>
          <cell r="AI67">
            <v>1440.117948723366</v>
          </cell>
          <cell r="AJ67">
            <v>0</v>
          </cell>
          <cell r="AK67">
            <v>0</v>
          </cell>
          <cell r="AL67">
            <v>0</v>
          </cell>
          <cell r="AM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63">
          <cell r="A63" t="str">
            <v>Industrial Sector</v>
          </cell>
        </row>
        <row r="64">
          <cell r="A64" t="str">
            <v>Coking Coal</v>
          </cell>
          <cell r="B64">
            <v>0</v>
          </cell>
          <cell r="C64">
            <v>0</v>
          </cell>
          <cell r="D64">
            <v>0</v>
          </cell>
          <cell r="E64">
            <v>1</v>
          </cell>
          <cell r="F64">
            <v>1</v>
          </cell>
          <cell r="G64">
            <v>1</v>
          </cell>
          <cell r="H64">
            <v>1</v>
          </cell>
          <cell r="I64">
            <v>0</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1</v>
          </cell>
          <cell r="Z64">
            <v>1</v>
          </cell>
          <cell r="AA64">
            <v>1</v>
          </cell>
          <cell r="AB64">
            <v>1</v>
          </cell>
          <cell r="AC64">
            <v>1</v>
          </cell>
          <cell r="AD64">
            <v>1</v>
          </cell>
          <cell r="AE64">
            <v>1</v>
          </cell>
          <cell r="AF64">
            <v>1</v>
          </cell>
          <cell r="AG64">
            <v>1</v>
          </cell>
        </row>
        <row r="65">
          <cell r="A65" t="str">
            <v>Other Coal</v>
          </cell>
          <cell r="B65">
            <v>4.5416472020804654E-3</v>
          </cell>
          <cell r="C65">
            <v>4.7922786272606484E-3</v>
          </cell>
          <cell r="D65">
            <v>5.5354460395050922E-3</v>
          </cell>
          <cell r="E65">
            <v>5.6985520682306902E-3</v>
          </cell>
          <cell r="F65">
            <v>6.1996842611087956E-3</v>
          </cell>
          <cell r="G65">
            <v>6.6813461782685973E-3</v>
          </cell>
          <cell r="H65">
            <v>7.1063325896762383E-3</v>
          </cell>
          <cell r="I65">
            <v>6.9265189441406081E-3</v>
          </cell>
          <cell r="J65">
            <v>6.407540055518593E-3</v>
          </cell>
          <cell r="K65">
            <v>7.292184793933643E-3</v>
          </cell>
          <cell r="L65">
            <v>8.3797254001046293E-3</v>
          </cell>
          <cell r="M65">
            <v>7.5488424333074915E-3</v>
          </cell>
          <cell r="N65">
            <v>8.790338587456651E-3</v>
          </cell>
          <cell r="O65">
            <v>8.6634158122588425E-3</v>
          </cell>
          <cell r="P65">
            <v>8.5923428374798574E-3</v>
          </cell>
          <cell r="Q65">
            <v>8.7798501039106653E-3</v>
          </cell>
          <cell r="R65">
            <v>8.9501402039970021E-3</v>
          </cell>
          <cell r="S65">
            <v>9.3347003899069154E-3</v>
          </cell>
          <cell r="T65">
            <v>9.7442271758052933E-3</v>
          </cell>
          <cell r="U65">
            <v>1.1846441126425833E-2</v>
          </cell>
          <cell r="V65">
            <v>9.528065570029786E-3</v>
          </cell>
          <cell r="W65">
            <v>1.0428613284787837E-2</v>
          </cell>
          <cell r="X65">
            <v>1.1447143153630093E-2</v>
          </cell>
          <cell r="Y65">
            <v>1.1259441078483439E-2</v>
          </cell>
          <cell r="Z65">
            <v>1.1301799953971648E-2</v>
          </cell>
          <cell r="AA65">
            <v>1.278030660029408E-2</v>
          </cell>
          <cell r="AB65">
            <v>1.4141087569417057E-2</v>
          </cell>
          <cell r="AC65">
            <v>1.5203640000668045E-2</v>
          </cell>
          <cell r="AD65">
            <v>1.6372927844407276E-2</v>
          </cell>
          <cell r="AE65">
            <v>1.7984822051974766E-2</v>
          </cell>
          <cell r="AF65">
            <v>2.0691581393693988E-2</v>
          </cell>
          <cell r="AG65">
            <v>2.0592321427076909E-2</v>
          </cell>
        </row>
        <row r="66">
          <cell r="A66" t="str">
            <v>Natural Gas</v>
          </cell>
          <cell r="B66">
            <v>3.533378751811684E-2</v>
          </cell>
          <cell r="C66">
            <v>3.4080442031295628E-2</v>
          </cell>
          <cell r="D66">
            <v>3.5113197124211591E-2</v>
          </cell>
          <cell r="E66">
            <v>3.5735114329402823E-2</v>
          </cell>
          <cell r="F66">
            <v>3.8266019234562069E-2</v>
          </cell>
          <cell r="G66">
            <v>3.8414037116573964E-2</v>
          </cell>
          <cell r="H66">
            <v>3.8941186226345063E-2</v>
          </cell>
          <cell r="I66">
            <v>4.0318358619789427E-2</v>
          </cell>
          <cell r="J66">
            <v>4.4245174225432109E-2</v>
          </cell>
          <cell r="K66">
            <v>4.5043353202778538E-2</v>
          </cell>
          <cell r="L66">
            <v>4.2597449527596795E-2</v>
          </cell>
          <cell r="M66">
            <v>4.6592844916620677E-2</v>
          </cell>
          <cell r="N66">
            <v>4.3327197680125856E-2</v>
          </cell>
          <cell r="O66">
            <v>3.8916227301246172E-2</v>
          </cell>
          <cell r="P66">
            <v>3.3589578514776793E-2</v>
          </cell>
          <cell r="Q66">
            <v>3.4390669737607918E-2</v>
          </cell>
          <cell r="R66">
            <v>3.0264754630604199E-2</v>
          </cell>
          <cell r="S66">
            <v>3.1150740229987591E-2</v>
          </cell>
          <cell r="T66">
            <v>3.400040004217382E-2</v>
          </cell>
          <cell r="U66">
            <v>3.7425298593968079E-2</v>
          </cell>
          <cell r="V66">
            <v>3.7213292902606311E-2</v>
          </cell>
          <cell r="W66">
            <v>3.6621566032884037E-2</v>
          </cell>
          <cell r="X66">
            <v>3.528425803141947E-2</v>
          </cell>
          <cell r="Y66">
            <v>3.5038045157867924E-2</v>
          </cell>
          <cell r="Z66">
            <v>3.5439525006376288E-2</v>
          </cell>
          <cell r="AA66">
            <v>4.5934122734919008E-2</v>
          </cell>
          <cell r="AB66">
            <v>5.3367082936758806E-2</v>
          </cell>
          <cell r="AC66">
            <v>6.2044159432283245E-2</v>
          </cell>
          <cell r="AD66">
            <v>6.7266025977112121E-2</v>
          </cell>
          <cell r="AE66">
            <v>6.5365525465617788E-2</v>
          </cell>
          <cell r="AF66">
            <v>6.6884257875890363E-2</v>
          </cell>
          <cell r="AG66">
            <v>6.5591632413151857E-2</v>
          </cell>
        </row>
        <row r="67">
          <cell r="A67" t="str">
            <v>Asphalt and Road Oil</v>
          </cell>
          <cell r="B67">
            <v>1</v>
          </cell>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cell r="AG67">
            <v>1</v>
          </cell>
        </row>
        <row r="68">
          <cell r="A68" t="str">
            <v>Hydrocarbon Gas Liquids</v>
          </cell>
          <cell r="B68">
            <v>0.79641254191031563</v>
          </cell>
          <cell r="C68">
            <v>0.80541295821194947</v>
          </cell>
          <cell r="D68">
            <v>0.80691921003126788</v>
          </cell>
          <cell r="E68">
            <v>0.7968811929409152</v>
          </cell>
          <cell r="F68">
            <v>0.83111511719217357</v>
          </cell>
          <cell r="G68">
            <v>0.81219848394228022</v>
          </cell>
          <cell r="H68">
            <v>0.83383779485030296</v>
          </cell>
          <cell r="I68">
            <v>0.83662303561137041</v>
          </cell>
          <cell r="J68">
            <v>0.84705738985441614</v>
          </cell>
          <cell r="K68">
            <v>0.90169676384490294</v>
          </cell>
          <cell r="L68">
            <v>0.78843424293117492</v>
          </cell>
          <cell r="M68">
            <v>0.83625342782262746</v>
          </cell>
          <cell r="N68">
            <v>0.81810735305657312</v>
          </cell>
          <cell r="O68">
            <v>0.80905920315890556</v>
          </cell>
          <cell r="P68">
            <v>0.78169623272151934</v>
          </cell>
          <cell r="Q68">
            <v>0.82936326049414899</v>
          </cell>
          <cell r="R68">
            <v>0.83848953213474653</v>
          </cell>
          <cell r="S68">
            <v>0.81877501428141697</v>
          </cell>
          <cell r="T68">
            <v>0.89140108786567007</v>
          </cell>
          <cell r="U68">
            <v>0.89317250538852355</v>
          </cell>
          <cell r="V68">
            <v>0.89322364828483314</v>
          </cell>
          <cell r="W68">
            <v>0.88614338328653952</v>
          </cell>
          <cell r="X68">
            <v>0.82938635161363672</v>
          </cell>
          <cell r="Y68">
            <v>0.84401357047144787</v>
          </cell>
          <cell r="Z68">
            <v>0.90595488847502303</v>
          </cell>
          <cell r="AA68">
            <v>0.87855774319734059</v>
          </cell>
          <cell r="AB68">
            <v>0.85719740671739386</v>
          </cell>
          <cell r="AC68">
            <v>0.87631135002013949</v>
          </cell>
          <cell r="AD68">
            <v>0.8941870232249115</v>
          </cell>
          <cell r="AE68">
            <v>0.90835416526567581</v>
          </cell>
          <cell r="AF68">
            <v>0.91611820105258779</v>
          </cell>
          <cell r="AG68">
            <v>0.91203481472302939</v>
          </cell>
        </row>
        <row r="69">
          <cell r="A69" t="str">
            <v>Lubricants</v>
          </cell>
          <cell r="B69">
            <v>1</v>
          </cell>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cell r="AG69">
            <v>1</v>
          </cell>
        </row>
        <row r="70">
          <cell r="A70" t="str">
            <v>Pentanes Plus</v>
          </cell>
          <cell r="B70">
            <v>0.46776082543250408</v>
          </cell>
          <cell r="C70">
            <v>0.46556522762754049</v>
          </cell>
          <cell r="D70">
            <v>0.4692921821566704</v>
          </cell>
          <cell r="E70">
            <v>0.46357201445598772</v>
          </cell>
          <cell r="F70">
            <v>0.47114573828163236</v>
          </cell>
          <cell r="G70">
            <v>0.47407349362034878</v>
          </cell>
          <cell r="H70">
            <v>0.47448221459122586</v>
          </cell>
          <cell r="I70">
            <v>0.4720367595305448</v>
          </cell>
          <cell r="J70">
            <v>0.48106655680163474</v>
          </cell>
          <cell r="K70">
            <v>0.48243993083342002</v>
          </cell>
          <cell r="L70">
            <v>0.48166279900363873</v>
          </cell>
          <cell r="M70">
            <v>0.4941451958200429</v>
          </cell>
          <cell r="N70">
            <v>0.48282572784807809</v>
          </cell>
          <cell r="O70">
            <v>0.46702444605106042</v>
          </cell>
          <cell r="P70">
            <v>0.45814037911988076</v>
          </cell>
          <cell r="Q70">
            <v>0.48416030337956412</v>
          </cell>
          <cell r="R70">
            <v>0.48940969416675889</v>
          </cell>
          <cell r="S70">
            <v>0.47996665936947519</v>
          </cell>
          <cell r="T70">
            <v>0.4874894773415902</v>
          </cell>
          <cell r="U70">
            <v>0.47604261866713721</v>
          </cell>
          <cell r="V70">
            <v>0.48147480925935554</v>
          </cell>
          <cell r="W70">
            <v>0.47950896270504806</v>
          </cell>
          <cell r="X70">
            <v>0.47389145270535771</v>
          </cell>
          <cell r="Y70">
            <v>0.47950218898756625</v>
          </cell>
          <cell r="Z70">
            <v>0.4895932377581908</v>
          </cell>
          <cell r="AA70">
            <v>0.48629392418411471</v>
          </cell>
          <cell r="AB70">
            <v>0.47173855666263559</v>
          </cell>
          <cell r="AC70">
            <v>0.47115859631948731</v>
          </cell>
          <cell r="AD70">
            <v>0.46876754352743721</v>
          </cell>
          <cell r="AE70">
            <v>0.46334534319390569</v>
          </cell>
          <cell r="AF70">
            <v>0.46204493815524944</v>
          </cell>
          <cell r="AG70">
            <v>0.46420327915335974</v>
          </cell>
        </row>
        <row r="71">
          <cell r="A71" t="str">
            <v>Feedstocks, Naphtha less than 401 F</v>
          </cell>
          <cell r="B71">
            <v>0.94018525810359199</v>
          </cell>
          <cell r="C71">
            <v>0.93585077544963591</v>
          </cell>
          <cell r="D71">
            <v>0.94320841615256457</v>
          </cell>
          <cell r="E71">
            <v>0.93191583439413228</v>
          </cell>
          <cell r="F71">
            <v>0.94686765049238886</v>
          </cell>
          <cell r="G71">
            <v>0.9526475363721616</v>
          </cell>
          <cell r="H71">
            <v>0.9534544209261423</v>
          </cell>
          <cell r="I71">
            <v>0.94862667764719444</v>
          </cell>
          <cell r="J71">
            <v>0.96645302982060577</v>
          </cell>
          <cell r="K71">
            <v>0.96916430321560565</v>
          </cell>
          <cell r="L71">
            <v>0.96763011310666258</v>
          </cell>
          <cell r="M71">
            <v>0.99227248268952839</v>
          </cell>
          <cell r="N71">
            <v>0.9699259319950343</v>
          </cell>
          <cell r="O71">
            <v>0.93873152024444784</v>
          </cell>
          <cell r="P71">
            <v>0.92119286449290683</v>
          </cell>
          <cell r="Q71">
            <v>0.97257143425664772</v>
          </cell>
          <cell r="R71">
            <v>0.98291389043748567</v>
          </cell>
          <cell r="S71">
            <v>0.96429360484464643</v>
          </cell>
          <cell r="T71">
            <v>0.97911954317129313</v>
          </cell>
          <cell r="U71">
            <v>0.95652774005893904</v>
          </cell>
          <cell r="V71">
            <v>0.96724571649507862</v>
          </cell>
          <cell r="W71">
            <v>0.9633683164775807</v>
          </cell>
          <cell r="X71">
            <v>0.95230310654702888</v>
          </cell>
          <cell r="Y71">
            <v>0.96335662580258052</v>
          </cell>
          <cell r="Z71">
            <v>0.98330882828690336</v>
          </cell>
          <cell r="AA71">
            <v>0.97677829579480668</v>
          </cell>
          <cell r="AB71">
            <v>0.94802995711204108</v>
          </cell>
          <cell r="AC71">
            <v>0.94690353248992509</v>
          </cell>
          <cell r="AD71">
            <v>0.94216867667876958</v>
          </cell>
          <cell r="AE71">
            <v>0.93146901894577872</v>
          </cell>
          <cell r="AF71">
            <v>0.92890245200679378</v>
          </cell>
          <cell r="AG71">
            <v>0.93316639694181025</v>
          </cell>
        </row>
        <row r="72">
          <cell r="A72" t="str">
            <v>Feedstocks, Other Oils greater than 401 F</v>
          </cell>
          <cell r="B72">
            <v>0.88018227116657832</v>
          </cell>
          <cell r="C72">
            <v>0.89916148466230028</v>
          </cell>
          <cell r="D72">
            <v>0.82723252623851296</v>
          </cell>
          <cell r="E72">
            <v>0.79139587911276654</v>
          </cell>
          <cell r="F72">
            <v>0.76639842786899537</v>
          </cell>
          <cell r="G72">
            <v>0.74948007782956216</v>
          </cell>
          <cell r="H72">
            <v>0.71826145741628544</v>
          </cell>
          <cell r="I72">
            <v>0.74614694884221711</v>
          </cell>
          <cell r="J72">
            <v>0.75384460772950634</v>
          </cell>
          <cell r="K72">
            <v>0.78732201519219502</v>
          </cell>
          <cell r="L72">
            <v>0.73911072047388615</v>
          </cell>
          <cell r="M72">
            <v>0.76482394654092356</v>
          </cell>
          <cell r="N72">
            <v>0.69065273834059482</v>
          </cell>
          <cell r="O72">
            <v>0.6905074096792283</v>
          </cell>
          <cell r="P72">
            <v>0.6786206819356797</v>
          </cell>
          <cell r="Q72">
            <v>0.70545630460173436</v>
          </cell>
          <cell r="R72">
            <v>0.72519540712035047</v>
          </cell>
          <cell r="S72">
            <v>0.8989464623384491</v>
          </cell>
          <cell r="T72">
            <v>0.92485787549141518</v>
          </cell>
          <cell r="U72">
            <v>0.92534794229359973</v>
          </cell>
          <cell r="V72">
            <v>0.95718640669901078</v>
          </cell>
          <cell r="W72">
            <v>0.94772287947174449</v>
          </cell>
          <cell r="X72">
            <v>0.93099224901970079</v>
          </cell>
          <cell r="Y72">
            <v>0.93404875958387912</v>
          </cell>
          <cell r="Z72">
            <v>0.9554392788304612</v>
          </cell>
          <cell r="AA72">
            <v>0.94711381439593945</v>
          </cell>
          <cell r="AB72">
            <v>0.91974063564608144</v>
          </cell>
          <cell r="AC72">
            <v>0.92370141568980701</v>
          </cell>
          <cell r="AD72">
            <v>0.91660716030161549</v>
          </cell>
          <cell r="AE72">
            <v>0.90612240538221767</v>
          </cell>
          <cell r="AF72">
            <v>0.90133408221862066</v>
          </cell>
          <cell r="AG72">
            <v>0.90523782212489334</v>
          </cell>
        </row>
        <row r="73">
          <cell r="A73" t="str">
            <v>Still Gas</v>
          </cell>
          <cell r="B73">
            <v>2.4929236157777975E-2</v>
          </cell>
          <cell r="C73">
            <v>2.8482623160427156E-2</v>
          </cell>
          <cell r="D73">
            <v>1.9725493448333076E-2</v>
          </cell>
          <cell r="E73">
            <v>3.1904851802907364E-2</v>
          </cell>
          <cell r="F73">
            <v>2.457263621243766E-2</v>
          </cell>
          <cell r="G73">
            <v>3.3795853404559595E-2</v>
          </cell>
          <cell r="H73">
            <v>1.5030373880550176E-3</v>
          </cell>
          <cell r="I73">
            <v>8.3712020697890317E-3</v>
          </cell>
          <cell r="J73">
            <v>4.3166248502330973E-3</v>
          </cell>
          <cell r="K73">
            <v>1.6019539078156342E-2</v>
          </cell>
          <cell r="L73">
            <v>1.172498083814977E-2</v>
          </cell>
          <cell r="M73">
            <v>3.3592164692020636E-2</v>
          </cell>
          <cell r="N73">
            <v>4.2243457335627503E-2</v>
          </cell>
          <cell r="O73">
            <v>3.841422216667767E-2</v>
          </cell>
          <cell r="P73">
            <v>4.0653656151407376E-2</v>
          </cell>
          <cell r="Q73">
            <v>4.5199868544450461E-2</v>
          </cell>
          <cell r="R73">
            <v>3.6829887250717334E-2</v>
          </cell>
          <cell r="S73">
            <v>2.8961473773558181E-2</v>
          </cell>
          <cell r="T73">
            <v>3.2193429912262816E-2</v>
          </cell>
          <cell r="U73">
            <v>9.200710919040167E-2</v>
          </cell>
          <cell r="V73">
            <v>0.10040052202871165</v>
          </cell>
          <cell r="W73">
            <v>0.11</v>
          </cell>
          <cell r="X73">
            <v>0.10846687219045004</v>
          </cell>
          <cell r="Y73">
            <v>0.10846687219045004</v>
          </cell>
          <cell r="Z73">
            <v>0.10846687219045005</v>
          </cell>
          <cell r="AA73">
            <v>0.10846687219045004</v>
          </cell>
          <cell r="AB73">
            <v>0.10351538621643076</v>
          </cell>
          <cell r="AC73">
            <v>0.10351538621643078</v>
          </cell>
          <cell r="AD73">
            <v>0.10351538621643076</v>
          </cell>
          <cell r="AE73">
            <v>0.10351538621643078</v>
          </cell>
          <cell r="AF73">
            <v>0.10351538621643076</v>
          </cell>
          <cell r="AG73">
            <v>0.10351538621643079</v>
          </cell>
        </row>
        <row r="74">
          <cell r="A74" t="str">
            <v>Petroleum Coke</v>
          </cell>
          <cell r="B74">
            <v>4.0767959316174704E-2</v>
          </cell>
          <cell r="C74">
            <v>1.8512680363790179E-2</v>
          </cell>
          <cell r="D74">
            <v>9.7534209095855223E-2</v>
          </cell>
          <cell r="E74">
            <v>3.1935940278212123E-2</v>
          </cell>
          <cell r="F74">
            <v>6.1060811323265962E-2</v>
          </cell>
          <cell r="G74">
            <v>4.9242051788628796E-2</v>
          </cell>
          <cell r="H74">
            <v>3.9189294436389709E-2</v>
          </cell>
          <cell r="I74">
            <v>0</v>
          </cell>
          <cell r="J74">
            <v>6.7417832504150885E-2</v>
          </cell>
          <cell r="K74">
            <v>0.13082365398814588</v>
          </cell>
          <cell r="L74">
            <v>1.0960632717295429E-2</v>
          </cell>
          <cell r="M74">
            <v>0.11247914017348237</v>
          </cell>
          <cell r="N74">
            <v>7.742448779482157E-2</v>
          </cell>
          <cell r="O74">
            <v>4.8167347685586143E-2</v>
          </cell>
          <cell r="P74">
            <v>0.14437954676073694</v>
          </cell>
          <cell r="Q74">
            <v>0.11661871722340156</v>
          </cell>
          <cell r="R74">
            <v>0.14258913292222333</v>
          </cell>
          <cell r="S74">
            <v>0.12715104200221258</v>
          </cell>
          <cell r="T74">
            <v>0.15895082732135288</v>
          </cell>
          <cell r="U74">
            <v>0.13483979761042428</v>
          </cell>
          <cell r="V74">
            <v>0</v>
          </cell>
          <cell r="W74">
            <v>0</v>
          </cell>
          <cell r="X74">
            <v>0</v>
          </cell>
          <cell r="Y74">
            <v>0</v>
          </cell>
          <cell r="Z74">
            <v>0</v>
          </cell>
          <cell r="AA74">
            <v>0</v>
          </cell>
          <cell r="AB74">
            <v>0</v>
          </cell>
          <cell r="AC74">
            <v>0</v>
          </cell>
          <cell r="AD74">
            <v>0</v>
          </cell>
          <cell r="AE74">
            <v>0</v>
          </cell>
          <cell r="AF74">
            <v>0</v>
          </cell>
          <cell r="AG74">
            <v>0</v>
          </cell>
        </row>
        <row r="75">
          <cell r="A75" t="str">
            <v>Special Naphthas</v>
          </cell>
          <cell r="B75">
            <v>0.94378170814204165</v>
          </cell>
          <cell r="C75">
            <v>0.93970784268400165</v>
          </cell>
          <cell r="D75">
            <v>0.94662309433115588</v>
          </cell>
          <cell r="E75">
            <v>0.93600949579344284</v>
          </cell>
          <cell r="F75">
            <v>0.95006231178108103</v>
          </cell>
          <cell r="G75">
            <v>0.95549467345301653</v>
          </cell>
          <cell r="H75">
            <v>0.95625304287689405</v>
          </cell>
          <cell r="I75">
            <v>0.95171557482025293</v>
          </cell>
          <cell r="J75">
            <v>0.96847009113971172</v>
          </cell>
          <cell r="K75">
            <v>0.97101834520207664</v>
          </cell>
          <cell r="L75">
            <v>0.96957640054803917</v>
          </cell>
          <cell r="M75">
            <v>0.99273711112471408</v>
          </cell>
          <cell r="N75">
            <v>0.97173417992194366</v>
          </cell>
          <cell r="O75">
            <v>0.94241537842700474</v>
          </cell>
          <cell r="P75">
            <v>0.92593126035550977</v>
          </cell>
          <cell r="Q75">
            <v>0.97422061743782984</v>
          </cell>
          <cell r="R75">
            <v>0.983941218106967</v>
          </cell>
          <cell r="S75">
            <v>0.96644050479201682</v>
          </cell>
          <cell r="T75">
            <v>0.98037501159569096</v>
          </cell>
          <cell r="U75">
            <v>0.9591415741402981</v>
          </cell>
          <cell r="V75">
            <v>0.96921511635263691</v>
          </cell>
          <cell r="W75">
            <v>0.9655708507598626</v>
          </cell>
          <cell r="X75">
            <v>0.95517095298177501</v>
          </cell>
          <cell r="Y75">
            <v>0.96555986300402952</v>
          </cell>
          <cell r="Z75">
            <v>0.98431240973264966</v>
          </cell>
          <cell r="AA75">
            <v>0.97817453518887232</v>
          </cell>
          <cell r="AB75">
            <v>0.9511547329919795</v>
          </cell>
          <cell r="AC75">
            <v>0.95009603632031647</v>
          </cell>
          <cell r="AD75">
            <v>0.94564587073475082</v>
          </cell>
          <cell r="AE75">
            <v>0.93558954578637443</v>
          </cell>
          <cell r="AF75">
            <v>0.93317729748981348</v>
          </cell>
          <cell r="AG75">
            <v>0.93718486641384502</v>
          </cell>
        </row>
        <row r="76">
          <cell r="A76" t="str">
            <v>Distillate Fuel</v>
          </cell>
          <cell r="B76">
            <v>6.3718343953068487E-3</v>
          </cell>
          <cell r="C76">
            <v>6.6956232516613787E-3</v>
          </cell>
          <cell r="D76">
            <v>6.7632195823004882E-3</v>
          </cell>
          <cell r="E76">
            <v>6.9449416980314821E-3</v>
          </cell>
          <cell r="F76">
            <v>6.9828339261791446E-3</v>
          </cell>
          <cell r="G76">
            <v>8.2761068039964858E-3</v>
          </cell>
          <cell r="H76">
            <v>8.780385461840819E-3</v>
          </cell>
          <cell r="I76">
            <v>9.8462570545350854E-3</v>
          </cell>
          <cell r="J76">
            <v>1.1247456271645454E-2</v>
          </cell>
          <cell r="K76">
            <v>1.1751883885863618E-2</v>
          </cell>
          <cell r="L76">
            <v>1.1515232578164713E-2</v>
          </cell>
          <cell r="M76">
            <v>9.7943941484905355E-3</v>
          </cell>
          <cell r="N76">
            <v>1.103050293625274E-2</v>
          </cell>
          <cell r="O76">
            <v>1.2325321948086247E-2</v>
          </cell>
          <cell r="P76">
            <v>1.2702515326902772E-2</v>
          </cell>
          <cell r="Q76">
            <v>1.4107787287168773E-2</v>
          </cell>
          <cell r="R76">
            <v>1.4572311933536945E-2</v>
          </cell>
          <cell r="S76">
            <v>1.244772004749922E-2</v>
          </cell>
          <cell r="T76">
            <v>1.0561794342864939E-2</v>
          </cell>
          <cell r="U76">
            <v>8.6222743958855787E-3</v>
          </cell>
          <cell r="V76">
            <v>5.2275079167231316E-3</v>
          </cell>
          <cell r="W76">
            <v>4.7234333492817224E-3</v>
          </cell>
          <cell r="X76">
            <v>5.1587876880787066E-3</v>
          </cell>
          <cell r="Y76">
            <v>5.0890001839019204E-3</v>
          </cell>
          <cell r="Z76">
            <v>4.5539128733938774E-3</v>
          </cell>
          <cell r="AA76">
            <v>5.6891670024481877E-3</v>
          </cell>
          <cell r="AB76">
            <v>6.1585113015710322E-3</v>
          </cell>
          <cell r="AC76">
            <v>6.3937636113848215E-3</v>
          </cell>
          <cell r="AD76">
            <v>5.4750059397215443E-3</v>
          </cell>
          <cell r="AE76">
            <v>5.6720939623009078E-3</v>
          </cell>
          <cell r="AF76">
            <v>6.6304543960779743E-3</v>
          </cell>
          <cell r="AG76">
            <v>7.2207361957087575E-3</v>
          </cell>
        </row>
        <row r="77">
          <cell r="A77" t="str">
            <v>Residual Fuel</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Waxes</v>
          </cell>
          <cell r="B78">
            <v>1</v>
          </cell>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cell r="AG78">
            <v>1</v>
          </cell>
        </row>
        <row r="79">
          <cell r="A79" t="str">
            <v>Misc. Petro Products</v>
          </cell>
          <cell r="B79">
            <v>1</v>
          </cell>
          <cell r="C79">
            <v>1</v>
          </cell>
          <cell r="D79">
            <v>1</v>
          </cell>
          <cell r="E79">
            <v>1</v>
          </cell>
          <cell r="F79">
            <v>1</v>
          </cell>
          <cell r="G79">
            <v>1</v>
          </cell>
          <cell r="H79">
            <v>1</v>
          </cell>
          <cell r="I79">
            <v>1</v>
          </cell>
          <cell r="J79">
            <v>1</v>
          </cell>
          <cell r="K79">
            <v>1</v>
          </cell>
          <cell r="L79">
            <v>1</v>
          </cell>
          <cell r="M79">
            <v>1</v>
          </cell>
          <cell r="N79">
            <v>1</v>
          </cell>
          <cell r="O79">
            <v>1</v>
          </cell>
          <cell r="P79">
            <v>1</v>
          </cell>
          <cell r="Q79">
            <v>1</v>
          </cell>
          <cell r="R79">
            <v>1</v>
          </cell>
          <cell r="S79">
            <v>1</v>
          </cell>
          <cell r="T79">
            <v>1</v>
          </cell>
          <cell r="U79">
            <v>1</v>
          </cell>
          <cell r="V79">
            <v>1</v>
          </cell>
          <cell r="W79">
            <v>1</v>
          </cell>
          <cell r="X79">
            <v>1</v>
          </cell>
          <cell r="Y79">
            <v>1</v>
          </cell>
          <cell r="Z79">
            <v>1</v>
          </cell>
          <cell r="AA79">
            <v>1</v>
          </cell>
          <cell r="AB79">
            <v>1</v>
          </cell>
          <cell r="AC79">
            <v>1</v>
          </cell>
          <cell r="AD79">
            <v>1</v>
          </cell>
          <cell r="AE79">
            <v>1</v>
          </cell>
          <cell r="AF79">
            <v>1</v>
          </cell>
          <cell r="AG79">
            <v>1</v>
          </cell>
        </row>
        <row r="80">
          <cell r="A80" t="str">
            <v>Other Coal</v>
          </cell>
          <cell r="B80">
            <v>4.5416472020804654E-3</v>
          </cell>
          <cell r="C80">
            <v>4.7922786272606484E-3</v>
          </cell>
          <cell r="D80">
            <v>5.5354460395050922E-3</v>
          </cell>
          <cell r="E80">
            <v>5.6985520682306902E-3</v>
          </cell>
          <cell r="F80">
            <v>6.1996842611087956E-3</v>
          </cell>
          <cell r="G80">
            <v>6.6813461782685973E-3</v>
          </cell>
          <cell r="H80">
            <v>7.1063325896762383E-3</v>
          </cell>
          <cell r="I80">
            <v>6.9265189441406081E-3</v>
          </cell>
          <cell r="J80">
            <v>6.407540055518593E-3</v>
          </cell>
          <cell r="K80">
            <v>7.292184793933643E-3</v>
          </cell>
          <cell r="L80">
            <v>8.3797254001046293E-3</v>
          </cell>
          <cell r="M80">
            <v>7.5488424333074915E-3</v>
          </cell>
          <cell r="N80">
            <v>8.790338587456651E-3</v>
          </cell>
          <cell r="O80">
            <v>8.6634158122588425E-3</v>
          </cell>
          <cell r="P80">
            <v>8.5923428374798574E-3</v>
          </cell>
          <cell r="Q80">
            <v>8.7798501039106653E-3</v>
          </cell>
          <cell r="R80">
            <v>8.9501402039970021E-3</v>
          </cell>
          <cell r="S80">
            <v>9.3347003899069154E-3</v>
          </cell>
          <cell r="T80">
            <v>9.7442271758052933E-3</v>
          </cell>
          <cell r="U80">
            <v>1.1846441126425833E-2</v>
          </cell>
          <cell r="V80">
            <v>9.528065570029786E-3</v>
          </cell>
          <cell r="W80">
            <v>1.0428613284787837E-2</v>
          </cell>
          <cell r="X80">
            <v>1.1447143153630093E-2</v>
          </cell>
          <cell r="Y80">
            <v>1.1259441078483439E-2</v>
          </cell>
          <cell r="Z80">
            <v>1.1301799953971648E-2</v>
          </cell>
          <cell r="AA80">
            <v>1.278030660029408E-2</v>
          </cell>
          <cell r="AB80">
            <v>1.4141087569417057E-2</v>
          </cell>
          <cell r="AC80">
            <v>1.5203640000668045E-2</v>
          </cell>
          <cell r="AD80">
            <v>1.6372927844407276E-2</v>
          </cell>
          <cell r="AE80">
            <v>1.7984822051974766E-2</v>
          </cell>
          <cell r="AF80">
            <v>2.0691581393693988E-2</v>
          </cell>
          <cell r="AG80">
            <v>2.0592321427076909E-2</v>
          </cell>
        </row>
        <row r="81">
          <cell r="A81" t="str">
            <v>Aviation Gasoline Blending Components</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row>
        <row r="82">
          <cell r="A82" t="str">
            <v>Crude Oil</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Kerosene</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row>
        <row r="84">
          <cell r="A84" t="str">
            <v>Motor Gasoline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Motor Gasoline Blending Components</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row>
        <row r="86">
          <cell r="A86" t="str">
            <v>Unfinished Oils</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row>
        <row r="87">
          <cell r="A87" t="str">
            <v>Transportation</v>
          </cell>
          <cell r="B87">
            <v>1990</v>
          </cell>
          <cell r="C87">
            <v>1991</v>
          </cell>
          <cell r="D87">
            <v>1992</v>
          </cell>
          <cell r="E87">
            <v>1993</v>
          </cell>
          <cell r="F87">
            <v>1994</v>
          </cell>
          <cell r="G87">
            <v>1995</v>
          </cell>
          <cell r="H87">
            <v>1996</v>
          </cell>
          <cell r="I87">
            <v>1997</v>
          </cell>
          <cell r="J87">
            <v>1998</v>
          </cell>
          <cell r="K87">
            <v>1999</v>
          </cell>
          <cell r="L87">
            <v>2000</v>
          </cell>
          <cell r="M87">
            <v>2001</v>
          </cell>
          <cell r="N87">
            <v>2002</v>
          </cell>
          <cell r="O87">
            <v>2003</v>
          </cell>
          <cell r="P87">
            <v>2004</v>
          </cell>
          <cell r="Q87">
            <v>2005</v>
          </cell>
          <cell r="R87">
            <v>2006</v>
          </cell>
          <cell r="S87">
            <v>2007</v>
          </cell>
          <cell r="T87">
            <v>2008</v>
          </cell>
          <cell r="U87">
            <v>2009</v>
          </cell>
          <cell r="V87">
            <v>2010</v>
          </cell>
          <cell r="W87">
            <v>2011</v>
          </cell>
          <cell r="X87">
            <v>2012</v>
          </cell>
          <cell r="Y87">
            <v>2013</v>
          </cell>
          <cell r="Z87">
            <v>2014</v>
          </cell>
          <cell r="AA87">
            <v>2015</v>
          </cell>
          <cell r="AB87">
            <v>2016</v>
          </cell>
          <cell r="AC87">
            <v>2017</v>
          </cell>
          <cell r="AD87">
            <v>2018</v>
          </cell>
          <cell r="AE87">
            <v>2019</v>
          </cell>
          <cell r="AF87">
            <v>2020</v>
          </cell>
          <cell r="AG87">
            <v>2021</v>
          </cell>
          <cell r="AH87">
            <v>2022</v>
          </cell>
          <cell r="AI87">
            <v>2023</v>
          </cell>
          <cell r="AJ87">
            <v>2024</v>
          </cell>
          <cell r="AK87">
            <v>2025</v>
          </cell>
        </row>
        <row r="88">
          <cell r="A88" t="str">
            <v>Lubricants</v>
          </cell>
          <cell r="B88">
            <v>1</v>
          </cell>
          <cell r="C88">
            <v>1</v>
          </cell>
          <cell r="D88">
            <v>1</v>
          </cell>
          <cell r="E88">
            <v>1</v>
          </cell>
          <cell r="F88">
            <v>1</v>
          </cell>
          <cell r="G88">
            <v>1</v>
          </cell>
          <cell r="H88">
            <v>1</v>
          </cell>
          <cell r="I88">
            <v>1</v>
          </cell>
          <cell r="J88">
            <v>1</v>
          </cell>
          <cell r="K88">
            <v>1</v>
          </cell>
          <cell r="L88">
            <v>1</v>
          </cell>
          <cell r="M88">
            <v>1</v>
          </cell>
          <cell r="N88">
            <v>1</v>
          </cell>
          <cell r="O88">
            <v>1</v>
          </cell>
          <cell r="P88">
            <v>1</v>
          </cell>
          <cell r="Q88">
            <v>1</v>
          </cell>
          <cell r="R88">
            <v>1</v>
          </cell>
          <cell r="S88">
            <v>1</v>
          </cell>
          <cell r="T88">
            <v>1</v>
          </cell>
          <cell r="U88">
            <v>1</v>
          </cell>
          <cell r="V88">
            <v>1</v>
          </cell>
          <cell r="W88">
            <v>1</v>
          </cell>
          <cell r="X88">
            <v>1</v>
          </cell>
          <cell r="Y88">
            <v>1</v>
          </cell>
          <cell r="Z88">
            <v>1</v>
          </cell>
          <cell r="AA88">
            <v>1</v>
          </cell>
          <cell r="AB88">
            <v>1</v>
          </cell>
          <cell r="AC88">
            <v>1</v>
          </cell>
          <cell r="AD88">
            <v>1</v>
          </cell>
          <cell r="AE88">
            <v>1</v>
          </cell>
          <cell r="AF88">
            <v>1</v>
          </cell>
          <cell r="AG88">
            <v>1</v>
          </cell>
        </row>
      </sheetData>
      <sheetData sheetId="18"/>
      <sheetData sheetId="19">
        <row r="7">
          <cell r="A7" t="str">
            <v>State</v>
          </cell>
          <cell r="B7">
            <v>1990</v>
          </cell>
          <cell r="C7">
            <v>1991</v>
          </cell>
          <cell r="D7">
            <v>1992</v>
          </cell>
          <cell r="E7">
            <v>1993</v>
          </cell>
          <cell r="F7">
            <v>1994</v>
          </cell>
          <cell r="G7">
            <v>1995</v>
          </cell>
          <cell r="H7">
            <v>1996</v>
          </cell>
          <cell r="I7">
            <v>1997</v>
          </cell>
          <cell r="J7">
            <v>1998</v>
          </cell>
          <cell r="K7">
            <v>1999</v>
          </cell>
          <cell r="L7">
            <v>2000</v>
          </cell>
          <cell r="M7">
            <v>2001</v>
          </cell>
          <cell r="N7">
            <v>2002</v>
          </cell>
          <cell r="O7">
            <v>2003</v>
          </cell>
          <cell r="P7">
            <v>2004</v>
          </cell>
          <cell r="Q7">
            <v>2005</v>
          </cell>
          <cell r="R7">
            <v>2006</v>
          </cell>
          <cell r="S7">
            <v>2007</v>
          </cell>
          <cell r="T7">
            <v>2008</v>
          </cell>
          <cell r="U7">
            <v>2009</v>
          </cell>
          <cell r="V7">
            <v>2010</v>
          </cell>
          <cell r="W7">
            <v>2011</v>
          </cell>
          <cell r="X7">
            <v>2012</v>
          </cell>
          <cell r="Y7">
            <v>2013</v>
          </cell>
          <cell r="Z7">
            <v>2014</v>
          </cell>
          <cell r="AA7">
            <v>2015</v>
          </cell>
          <cell r="AB7">
            <v>2016</v>
          </cell>
          <cell r="AC7">
            <v>2017</v>
          </cell>
          <cell r="AD7">
            <v>2018</v>
          </cell>
          <cell r="AE7">
            <v>2019</v>
          </cell>
          <cell r="AF7">
            <v>2020</v>
          </cell>
          <cell r="AG7">
            <v>2021</v>
          </cell>
          <cell r="AH7">
            <v>2022</v>
          </cell>
          <cell r="AI7">
            <v>2023</v>
          </cell>
          <cell r="AJ7">
            <v>2024</v>
          </cell>
          <cell r="AK7">
            <v>2025</v>
          </cell>
        </row>
        <row r="8">
          <cell r="A8" t="str">
            <v>Alabama</v>
          </cell>
          <cell r="B8">
            <v>329.28</v>
          </cell>
          <cell r="C8">
            <v>340.964</v>
          </cell>
          <cell r="D8">
            <v>175.78800000000001</v>
          </cell>
          <cell r="E8">
            <v>422.3</v>
          </cell>
          <cell r="F8">
            <v>71.070000000000007</v>
          </cell>
          <cell r="G8">
            <v>0</v>
          </cell>
          <cell r="H8">
            <v>18.593999999999998</v>
          </cell>
          <cell r="I8">
            <v>21.860999999999997</v>
          </cell>
          <cell r="J8">
            <v>2.0779999999999998</v>
          </cell>
          <cell r="K8">
            <v>4.1399999999999997</v>
          </cell>
          <cell r="L8">
            <v>0</v>
          </cell>
          <cell r="M8">
            <v>0</v>
          </cell>
          <cell r="N8">
            <v>0</v>
          </cell>
          <cell r="O8">
            <v>22.637999999999998</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Alaska</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row>
        <row r="10">
          <cell r="A10" t="str">
            <v>Arizona</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row>
        <row r="11">
          <cell r="A11" t="str">
            <v>Arkansas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row>
        <row r="12">
          <cell r="A12" t="str">
            <v>California</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Colorado</v>
          </cell>
          <cell r="B13">
            <v>15455.894999999999</v>
          </cell>
          <cell r="C13">
            <v>6974.561999999999</v>
          </cell>
          <cell r="D13">
            <v>7322.6339999999991</v>
          </cell>
          <cell r="E13">
            <v>8549.0159999999996</v>
          </cell>
          <cell r="F13">
            <v>8208.8399999999983</v>
          </cell>
          <cell r="G13">
            <v>7299.06</v>
          </cell>
          <cell r="H13">
            <v>6949.8879999999999</v>
          </cell>
          <cell r="I13">
            <v>6389.768</v>
          </cell>
          <cell r="J13">
            <v>5355.5039999999999</v>
          </cell>
          <cell r="K13">
            <v>4557.6819999999998</v>
          </cell>
          <cell r="L13">
            <v>4810.1760000000004</v>
          </cell>
          <cell r="M13">
            <v>5698.1249999999991</v>
          </cell>
          <cell r="N13">
            <v>5822.9389999999994</v>
          </cell>
          <cell r="O13">
            <v>5484.7259999999997</v>
          </cell>
          <cell r="P13">
            <v>5377.0039999999999</v>
          </cell>
          <cell r="Q13">
            <v>5438.2649999999994</v>
          </cell>
          <cell r="R13">
            <v>6345.768</v>
          </cell>
          <cell r="S13">
            <v>7075.0700000000006</v>
          </cell>
          <cell r="T13">
            <v>6383.16</v>
          </cell>
          <cell r="U13">
            <v>7670.012999999999</v>
          </cell>
          <cell r="V13">
            <v>5245.8119999999999</v>
          </cell>
          <cell r="W13">
            <v>4404.576</v>
          </cell>
          <cell r="X13">
            <v>4584.0679999999993</v>
          </cell>
          <cell r="Y13">
            <v>4227.8489999999993</v>
          </cell>
          <cell r="Z13">
            <v>4313.6399999999994</v>
          </cell>
          <cell r="AA13">
            <v>4273.92</v>
          </cell>
          <cell r="AB13">
            <v>4048.9669999999996</v>
          </cell>
          <cell r="AC13">
            <v>4475.13</v>
          </cell>
          <cell r="AD13">
            <v>5525.8280000000004</v>
          </cell>
          <cell r="AE13">
            <v>5865.3540000000003</v>
          </cell>
          <cell r="AF13">
            <v>5125.4430000000002</v>
          </cell>
          <cell r="AG13">
            <v>4190.0320000000002</v>
          </cell>
        </row>
        <row r="14">
          <cell r="A14" t="str">
            <v>Connecticut</v>
          </cell>
          <cell r="B14">
            <v>114.663</v>
          </cell>
          <cell r="C14">
            <v>150.52599999999998</v>
          </cell>
          <cell r="D14">
            <v>41.120000000000005</v>
          </cell>
          <cell r="E14">
            <v>96.537999999999997</v>
          </cell>
          <cell r="F14">
            <v>29.87</v>
          </cell>
          <cell r="G14">
            <v>69.903999999999996</v>
          </cell>
          <cell r="H14">
            <v>49.344000000000001</v>
          </cell>
          <cell r="I14">
            <v>37.998999999999995</v>
          </cell>
          <cell r="J14">
            <v>33.858000000000004</v>
          </cell>
          <cell r="K14">
            <v>31.744</v>
          </cell>
          <cell r="L14">
            <v>20.5</v>
          </cell>
          <cell r="M14">
            <v>6.1259999999999994</v>
          </cell>
          <cell r="N14">
            <v>6.1379999999999999</v>
          </cell>
          <cell r="O14">
            <v>58.196999999999996</v>
          </cell>
          <cell r="P14">
            <v>195.011</v>
          </cell>
          <cell r="Q14">
            <v>278.45999999999998</v>
          </cell>
          <cell r="R14">
            <v>92.728999999999985</v>
          </cell>
          <cell r="S14">
            <v>0</v>
          </cell>
          <cell r="T14">
            <v>0</v>
          </cell>
          <cell r="U14">
            <v>1.0189999999999999</v>
          </cell>
          <cell r="V14">
            <v>0</v>
          </cell>
          <cell r="W14">
            <v>0</v>
          </cell>
          <cell r="X14">
            <v>0</v>
          </cell>
          <cell r="Y14">
            <v>0</v>
          </cell>
          <cell r="Z14">
            <v>0</v>
          </cell>
          <cell r="AA14">
            <v>0</v>
          </cell>
          <cell r="AB14">
            <v>0</v>
          </cell>
          <cell r="AC14">
            <v>0</v>
          </cell>
          <cell r="AD14">
            <v>0</v>
          </cell>
          <cell r="AE14">
            <v>0</v>
          </cell>
          <cell r="AF14">
            <v>0</v>
          </cell>
          <cell r="AG14">
            <v>0</v>
          </cell>
        </row>
        <row r="15">
          <cell r="A15" t="str">
            <v>Delaware</v>
          </cell>
          <cell r="B15">
            <v>4524.66</v>
          </cell>
          <cell r="C15">
            <v>4406.9080000000004</v>
          </cell>
          <cell r="D15">
            <v>3793.2749999999996</v>
          </cell>
          <cell r="E15">
            <v>3722.8949999999995</v>
          </cell>
          <cell r="F15">
            <v>3141.152</v>
          </cell>
          <cell r="G15">
            <v>1.034</v>
          </cell>
          <cell r="H15">
            <v>1.0349999999999999</v>
          </cell>
          <cell r="I15">
            <v>2.0699999999999998</v>
          </cell>
          <cell r="J15">
            <v>0</v>
          </cell>
          <cell r="K15">
            <v>0</v>
          </cell>
          <cell r="L15">
            <v>6.2219999999999995</v>
          </cell>
          <cell r="M15">
            <v>0</v>
          </cell>
          <cell r="N15">
            <v>0</v>
          </cell>
          <cell r="O15">
            <v>7.2729999999999997</v>
          </cell>
          <cell r="P15">
            <v>17.594999999999999</v>
          </cell>
          <cell r="Q15">
            <v>0</v>
          </cell>
          <cell r="R15">
            <v>0</v>
          </cell>
          <cell r="S15">
            <v>5.1849999999999996</v>
          </cell>
          <cell r="T15">
            <v>2.0659999999999998</v>
          </cell>
          <cell r="U15">
            <v>2.06</v>
          </cell>
          <cell r="V15">
            <v>1.0229999999999999</v>
          </cell>
          <cell r="W15">
            <v>0</v>
          </cell>
          <cell r="X15">
            <v>0</v>
          </cell>
          <cell r="Y15">
            <v>0</v>
          </cell>
          <cell r="Z15">
            <v>6.3360000000000003</v>
          </cell>
          <cell r="AA15">
            <v>8.4</v>
          </cell>
          <cell r="AB15">
            <v>3.1379999999999999</v>
          </cell>
          <cell r="AC15">
            <v>2.0840000000000001</v>
          </cell>
          <cell r="AD15">
            <v>16.655999999999999</v>
          </cell>
          <cell r="AE15">
            <v>4.1639999999999997</v>
          </cell>
          <cell r="AF15">
            <v>0</v>
          </cell>
          <cell r="AG15">
            <v>0</v>
          </cell>
        </row>
        <row r="16">
          <cell r="A16" t="str">
            <v>District of Columbia</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row>
        <row r="17">
          <cell r="A17" t="str">
            <v>Florida</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Georgia</v>
          </cell>
          <cell r="B18">
            <v>214.64299999999997</v>
          </cell>
          <cell r="C18">
            <v>189.99499999999998</v>
          </cell>
          <cell r="D18">
            <v>170.14999999999998</v>
          </cell>
          <cell r="E18">
            <v>204.37299999999999</v>
          </cell>
          <cell r="F18">
            <v>126.69</v>
          </cell>
          <cell r="G18">
            <v>133.38</v>
          </cell>
          <cell r="H18">
            <v>96.161999999999992</v>
          </cell>
          <cell r="I18">
            <v>14.377999999999998</v>
          </cell>
          <cell r="J18">
            <v>16.431999999999999</v>
          </cell>
          <cell r="K18">
            <v>12.323999999999998</v>
          </cell>
          <cell r="L18">
            <v>74.314000000000007</v>
          </cell>
          <cell r="M18">
            <v>52.682999999999993</v>
          </cell>
          <cell r="N18">
            <v>7.1749999999999989</v>
          </cell>
          <cell r="O18">
            <v>14.405999999999999</v>
          </cell>
          <cell r="P18">
            <v>5.1449999999999996</v>
          </cell>
          <cell r="Q18">
            <v>0</v>
          </cell>
          <cell r="R18">
            <v>3.0960000000000001</v>
          </cell>
          <cell r="S18">
            <v>2.0640000000000001</v>
          </cell>
          <cell r="T18">
            <v>0</v>
          </cell>
          <cell r="U18">
            <v>53.403999999999996</v>
          </cell>
          <cell r="V18">
            <v>748.10400000000004</v>
          </cell>
          <cell r="W18">
            <v>713.61800000000005</v>
          </cell>
          <cell r="X18">
            <v>669.9</v>
          </cell>
          <cell r="Y18">
            <v>652.27200000000005</v>
          </cell>
          <cell r="Z18">
            <v>647.70000000000005</v>
          </cell>
          <cell r="AA18">
            <v>568.95799999999997</v>
          </cell>
          <cell r="AB18">
            <v>552.08000000000004</v>
          </cell>
          <cell r="AC18">
            <v>515</v>
          </cell>
          <cell r="AD18">
            <v>472.88</v>
          </cell>
          <cell r="AE18">
            <v>448.36200000000002</v>
          </cell>
          <cell r="AF18">
            <v>416.74499999999995</v>
          </cell>
          <cell r="AG18">
            <v>393.72399999999999</v>
          </cell>
        </row>
        <row r="19">
          <cell r="A19" t="str">
            <v>Hawaii</v>
          </cell>
          <cell r="B19">
            <v>3014.19</v>
          </cell>
          <cell r="C19">
            <v>2943</v>
          </cell>
          <cell r="D19">
            <v>2908.9029999999998</v>
          </cell>
          <cell r="E19">
            <v>2872.71</v>
          </cell>
          <cell r="F19">
            <v>2975.3809999999999</v>
          </cell>
          <cell r="G19">
            <v>2927.0640000000003</v>
          </cell>
          <cell r="H19">
            <v>2918.377</v>
          </cell>
          <cell r="I19">
            <v>2695.51</v>
          </cell>
          <cell r="J19">
            <v>2867.04</v>
          </cell>
          <cell r="K19">
            <v>2903.3599999999997</v>
          </cell>
          <cell r="L19">
            <v>2899.143</v>
          </cell>
          <cell r="M19">
            <v>2785.8040000000001</v>
          </cell>
          <cell r="N19">
            <v>2758.1200000000003</v>
          </cell>
          <cell r="O19">
            <v>2724.2939999999999</v>
          </cell>
          <cell r="P19">
            <v>2752.0480000000002</v>
          </cell>
          <cell r="Q19">
            <v>2702.4219999999996</v>
          </cell>
          <cell r="R19">
            <v>2735.8109999999997</v>
          </cell>
          <cell r="S19">
            <v>2782.2709999999997</v>
          </cell>
          <cell r="T19">
            <v>2669.0369999999998</v>
          </cell>
          <cell r="U19">
            <v>2544.88</v>
          </cell>
          <cell r="V19">
            <v>2570.88</v>
          </cell>
          <cell r="W19">
            <v>2585.4160000000002</v>
          </cell>
          <cell r="X19">
            <v>2625.46</v>
          </cell>
          <cell r="Y19">
            <v>2673.9479999999999</v>
          </cell>
          <cell r="Z19">
            <v>2629.578</v>
          </cell>
          <cell r="AA19">
            <v>2674.9679999999998</v>
          </cell>
          <cell r="AB19">
            <v>2820.375</v>
          </cell>
          <cell r="AC19">
            <v>2864.5499999999997</v>
          </cell>
          <cell r="AD19">
            <v>2965.846</v>
          </cell>
          <cell r="AE19">
            <v>2892.1759999999999</v>
          </cell>
          <cell r="AF19">
            <v>2099.16</v>
          </cell>
          <cell r="AG19">
            <v>2422.6020000000003</v>
          </cell>
        </row>
        <row r="20">
          <cell r="A20" t="str">
            <v>Idaho</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row>
        <row r="21">
          <cell r="A21" t="str">
            <v>Illinois</v>
          </cell>
          <cell r="B21">
            <v>8319.08</v>
          </cell>
          <cell r="C21">
            <v>6999.5109999999995</v>
          </cell>
          <cell r="D21">
            <v>8186.7560000000003</v>
          </cell>
          <cell r="E21">
            <v>9964.9599999999991</v>
          </cell>
          <cell r="F21">
            <v>8036.2909999999993</v>
          </cell>
          <cell r="G21">
            <v>6381.12</v>
          </cell>
          <cell r="H21">
            <v>3986.3279999999995</v>
          </cell>
          <cell r="I21">
            <v>4252.4649999999992</v>
          </cell>
          <cell r="J21">
            <v>2796.192</v>
          </cell>
          <cell r="K21">
            <v>2582.5940000000001</v>
          </cell>
          <cell r="L21">
            <v>1998.01</v>
          </cell>
          <cell r="M21">
            <v>778.26</v>
          </cell>
          <cell r="N21">
            <v>461.92799999999994</v>
          </cell>
          <cell r="O21">
            <v>52.779999999999994</v>
          </cell>
          <cell r="P21">
            <v>14.196</v>
          </cell>
          <cell r="Q21">
            <v>15.224999999999998</v>
          </cell>
          <cell r="R21">
            <v>13.208</v>
          </cell>
          <cell r="S21">
            <v>11.164999999999999</v>
          </cell>
          <cell r="T21">
            <v>15.21</v>
          </cell>
          <cell r="U21">
            <v>20.259999999999998</v>
          </cell>
          <cell r="V21">
            <v>17.135999999999999</v>
          </cell>
          <cell r="W21">
            <v>1.0109999999999999</v>
          </cell>
          <cell r="X21">
            <v>1.0109999999999999</v>
          </cell>
          <cell r="Y21">
            <v>0</v>
          </cell>
          <cell r="Z21">
            <v>64.448999999999998</v>
          </cell>
          <cell r="AA21">
            <v>1.0289999999999999</v>
          </cell>
          <cell r="AB21">
            <v>2.0619999999999998</v>
          </cell>
          <cell r="AC21">
            <v>2.0579999999999998</v>
          </cell>
          <cell r="AD21">
            <v>2.0579999999999998</v>
          </cell>
          <cell r="AE21">
            <v>5.1649999999999991</v>
          </cell>
          <cell r="AF21">
            <v>1289.82</v>
          </cell>
          <cell r="AG21">
            <v>1330.758</v>
          </cell>
        </row>
        <row r="22">
          <cell r="A22" t="str">
            <v>Indiana</v>
          </cell>
          <cell r="B22">
            <v>3069.27</v>
          </cell>
          <cell r="C22">
            <v>3120.078</v>
          </cell>
          <cell r="D22">
            <v>3545.5769999999998</v>
          </cell>
          <cell r="E22">
            <v>3274.0159999999996</v>
          </cell>
          <cell r="F22">
            <v>2488.9409999999998</v>
          </cell>
          <cell r="G22">
            <v>3237.3879999999999</v>
          </cell>
          <cell r="H22">
            <v>3229.1339999999996</v>
          </cell>
          <cell r="I22">
            <v>3619.3799999999997</v>
          </cell>
          <cell r="J22">
            <v>3202.5329999999999</v>
          </cell>
          <cell r="K22">
            <v>5539.9560000000001</v>
          </cell>
          <cell r="L22">
            <v>5722.5749999999998</v>
          </cell>
          <cell r="M22">
            <v>5344.2560000000003</v>
          </cell>
          <cell r="N22">
            <v>1761.9839999999999</v>
          </cell>
          <cell r="O22">
            <v>2582.712</v>
          </cell>
          <cell r="P22">
            <v>2183.4759999999997</v>
          </cell>
          <cell r="Q22">
            <v>2023.7840000000001</v>
          </cell>
          <cell r="R22">
            <v>1669.9139999999998</v>
          </cell>
          <cell r="S22">
            <v>648.97</v>
          </cell>
          <cell r="T22">
            <v>30.389999999999997</v>
          </cell>
          <cell r="U22">
            <v>1.0149999999999999</v>
          </cell>
          <cell r="V22">
            <v>1.012</v>
          </cell>
          <cell r="W22">
            <v>5.0600000000000005</v>
          </cell>
          <cell r="X22">
            <v>1.012</v>
          </cell>
          <cell r="Y22">
            <v>6.09</v>
          </cell>
          <cell r="Z22">
            <v>70.310999999999993</v>
          </cell>
          <cell r="AA22">
            <v>80.105999999999995</v>
          </cell>
          <cell r="AB22">
            <v>1.038</v>
          </cell>
          <cell r="AC22">
            <v>2.0859999999999999</v>
          </cell>
          <cell r="AD22">
            <v>34.550999999999995</v>
          </cell>
          <cell r="AE22">
            <v>30.508000000000003</v>
          </cell>
          <cell r="AF22">
            <v>2.1059999999999999</v>
          </cell>
          <cell r="AG22">
            <v>1.056</v>
          </cell>
        </row>
        <row r="23">
          <cell r="A23" t="str">
            <v>Iowa</v>
          </cell>
          <cell r="B23">
            <v>81.566999999999993</v>
          </cell>
          <cell r="C23">
            <v>46.368000000000002</v>
          </cell>
          <cell r="D23">
            <v>45.18</v>
          </cell>
          <cell r="E23">
            <v>84.251999999999995</v>
          </cell>
          <cell r="F23">
            <v>123.98399999999999</v>
          </cell>
          <cell r="G23">
            <v>96.47999999999999</v>
          </cell>
          <cell r="H23">
            <v>302.80599999999998</v>
          </cell>
          <cell r="I23">
            <v>138.23299999999998</v>
          </cell>
          <cell r="J23">
            <v>17.186999999999998</v>
          </cell>
          <cell r="K23">
            <v>12.227999999999998</v>
          </cell>
          <cell r="L23">
            <v>44.22</v>
          </cell>
          <cell r="M23">
            <v>39.155999999999999</v>
          </cell>
          <cell r="N23">
            <v>23.068999999999999</v>
          </cell>
          <cell r="O23">
            <v>143.42899999999997</v>
          </cell>
          <cell r="P23">
            <v>30.089999999999996</v>
          </cell>
          <cell r="Q23">
            <v>31.186</v>
          </cell>
          <cell r="R23">
            <v>46.552</v>
          </cell>
          <cell r="S23">
            <v>40.4</v>
          </cell>
          <cell r="T23">
            <v>27.27</v>
          </cell>
          <cell r="U23">
            <v>3.0209999999999999</v>
          </cell>
          <cell r="V23">
            <v>2.012</v>
          </cell>
          <cell r="W23">
            <v>1.0089999999999999</v>
          </cell>
          <cell r="X23">
            <v>0</v>
          </cell>
          <cell r="Y23">
            <v>0</v>
          </cell>
          <cell r="Z23">
            <v>1.04</v>
          </cell>
          <cell r="AA23">
            <v>0</v>
          </cell>
          <cell r="AB23">
            <v>2.1120000000000001</v>
          </cell>
          <cell r="AC23">
            <v>0</v>
          </cell>
          <cell r="AD23">
            <v>0</v>
          </cell>
          <cell r="AE23">
            <v>0</v>
          </cell>
          <cell r="AF23">
            <v>0</v>
          </cell>
          <cell r="AG23">
            <v>0</v>
          </cell>
        </row>
        <row r="24">
          <cell r="A24" t="str">
            <v>Kansas</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Kentucky</v>
          </cell>
          <cell r="B25">
            <v>2.08</v>
          </cell>
          <cell r="C25">
            <v>2.0939999999999999</v>
          </cell>
          <cell r="D25">
            <v>5.29</v>
          </cell>
          <cell r="E25">
            <v>16.768000000000001</v>
          </cell>
          <cell r="F25">
            <v>53.1</v>
          </cell>
          <cell r="G25">
            <v>6.5760000000000005</v>
          </cell>
          <cell r="H25">
            <v>47.204999999999998</v>
          </cell>
          <cell r="I25">
            <v>25.200000000000003</v>
          </cell>
          <cell r="J25">
            <v>2.0680000000000001</v>
          </cell>
          <cell r="K25">
            <v>3.0960000000000001</v>
          </cell>
          <cell r="L25">
            <v>10.4</v>
          </cell>
          <cell r="M25">
            <v>2.0739999999999998</v>
          </cell>
          <cell r="N25">
            <v>1.036</v>
          </cell>
          <cell r="O25">
            <v>101.62599999999999</v>
          </cell>
          <cell r="P25">
            <v>0</v>
          </cell>
          <cell r="Q25">
            <v>15.434999999999999</v>
          </cell>
          <cell r="R25">
            <v>3.0869999999999997</v>
          </cell>
          <cell r="S25">
            <v>127.34799999999998</v>
          </cell>
          <cell r="T25">
            <v>15.524999999999999</v>
          </cell>
          <cell r="U25">
            <v>18.648</v>
          </cell>
          <cell r="V25">
            <v>5.15</v>
          </cell>
          <cell r="W25">
            <v>8.2159999999999993</v>
          </cell>
          <cell r="X25">
            <v>1.03</v>
          </cell>
          <cell r="Y25">
            <v>29.724999999999998</v>
          </cell>
          <cell r="Z25">
            <v>53.403999999999996</v>
          </cell>
          <cell r="AA25">
            <v>52.122</v>
          </cell>
          <cell r="AB25">
            <v>66.95</v>
          </cell>
          <cell r="AC25">
            <v>53.346000000000004</v>
          </cell>
          <cell r="AD25">
            <v>116.43899999999999</v>
          </cell>
          <cell r="AE25">
            <v>24.126999999999999</v>
          </cell>
          <cell r="AF25">
            <v>2.0979999999999999</v>
          </cell>
          <cell r="AG25">
            <v>150.91200000000001</v>
          </cell>
        </row>
        <row r="26">
          <cell r="A26" t="str">
            <v>Louisiana</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254.976</v>
          </cell>
          <cell r="W26">
            <v>443.26499999999999</v>
          </cell>
          <cell r="X26">
            <v>561.29499999999996</v>
          </cell>
          <cell r="Y26">
            <v>570.08000000000004</v>
          </cell>
          <cell r="Z26">
            <v>530.95899999999995</v>
          </cell>
          <cell r="AA26">
            <v>489.94999999999993</v>
          </cell>
          <cell r="AB26">
            <v>447.488</v>
          </cell>
          <cell r="AC26">
            <v>0</v>
          </cell>
          <cell r="AD26">
            <v>0</v>
          </cell>
          <cell r="AE26">
            <v>0</v>
          </cell>
          <cell r="AF26">
            <v>0</v>
          </cell>
          <cell r="AG26">
            <v>0</v>
          </cell>
        </row>
        <row r="27">
          <cell r="A27" t="str">
            <v>Maine</v>
          </cell>
          <cell r="B27">
            <v>0</v>
          </cell>
          <cell r="C27">
            <v>0</v>
          </cell>
          <cell r="D27">
            <v>0</v>
          </cell>
          <cell r="E27">
            <v>0</v>
          </cell>
          <cell r="F27">
            <v>0</v>
          </cell>
          <cell r="G27">
            <v>97.536000000000001</v>
          </cell>
          <cell r="H27">
            <v>61.975999999999999</v>
          </cell>
          <cell r="I27">
            <v>31.434000000000001</v>
          </cell>
          <cell r="J27">
            <v>24.407999999999998</v>
          </cell>
          <cell r="K27">
            <v>43.774000000000001</v>
          </cell>
          <cell r="L27">
            <v>6.4379999999999997</v>
          </cell>
          <cell r="M27">
            <v>0</v>
          </cell>
          <cell r="N27">
            <v>5.1949999999999994</v>
          </cell>
          <cell r="O27">
            <v>6.2279999999999998</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Maryland</v>
          </cell>
          <cell r="B28">
            <v>24.672000000000001</v>
          </cell>
          <cell r="C28">
            <v>73.943999999999988</v>
          </cell>
          <cell r="D28">
            <v>129.52799999999999</v>
          </cell>
          <cell r="E28">
            <v>429.70400000000001</v>
          </cell>
          <cell r="F28">
            <v>1017.5969999999999</v>
          </cell>
          <cell r="G28">
            <v>624.83400000000006</v>
          </cell>
          <cell r="H28">
            <v>907.57799999999997</v>
          </cell>
          <cell r="I28">
            <v>184.05199999999999</v>
          </cell>
          <cell r="J28">
            <v>82.96</v>
          </cell>
          <cell r="K28">
            <v>514.93200000000002</v>
          </cell>
          <cell r="L28">
            <v>329.846</v>
          </cell>
          <cell r="M28">
            <v>192.88199999999998</v>
          </cell>
          <cell r="N28">
            <v>49.775999999999996</v>
          </cell>
          <cell r="O28">
            <v>166.08</v>
          </cell>
          <cell r="P28">
            <v>128.58799999999999</v>
          </cell>
          <cell r="Q28">
            <v>400.33600000000001</v>
          </cell>
          <cell r="R28">
            <v>42.558</v>
          </cell>
          <cell r="S28">
            <v>254.31</v>
          </cell>
          <cell r="T28">
            <v>187.33499999999998</v>
          </cell>
          <cell r="U28">
            <v>176.29</v>
          </cell>
          <cell r="V28">
            <v>118.10499999999999</v>
          </cell>
          <cell r="W28">
            <v>91.402999999999992</v>
          </cell>
          <cell r="X28">
            <v>120.29199999999999</v>
          </cell>
          <cell r="Y28">
            <v>111.815</v>
          </cell>
          <cell r="Z28">
            <v>851.87699999999995</v>
          </cell>
          <cell r="AA28">
            <v>862.9899999999999</v>
          </cell>
          <cell r="AB28">
            <v>685.25199999999995</v>
          </cell>
          <cell r="AC28">
            <v>634.48199999999997</v>
          </cell>
          <cell r="AD28">
            <v>439.72399999999999</v>
          </cell>
          <cell r="AE28">
            <v>105.444</v>
          </cell>
          <cell r="AF28">
            <v>131.04</v>
          </cell>
          <cell r="AG28">
            <v>161.04499999999999</v>
          </cell>
        </row>
        <row r="29">
          <cell r="A29" t="str">
            <v>Massachusetts</v>
          </cell>
          <cell r="B29">
            <v>329.04599999999999</v>
          </cell>
          <cell r="C29">
            <v>124.67999999999999</v>
          </cell>
          <cell r="D29">
            <v>108.88499999999999</v>
          </cell>
          <cell r="E29">
            <v>63.318000000000005</v>
          </cell>
          <cell r="F29">
            <v>158.00399999999999</v>
          </cell>
          <cell r="G29">
            <v>430.92</v>
          </cell>
          <cell r="H29">
            <v>437.50199999999995</v>
          </cell>
          <cell r="I29">
            <v>150.23400000000001</v>
          </cell>
          <cell r="J29">
            <v>69.563999999999993</v>
          </cell>
          <cell r="K29">
            <v>140.43200000000002</v>
          </cell>
          <cell r="L29">
            <v>27.092000000000002</v>
          </cell>
          <cell r="M29">
            <v>16.687999999999999</v>
          </cell>
          <cell r="N29">
            <v>140.97299999999998</v>
          </cell>
          <cell r="O29">
            <v>333.072</v>
          </cell>
          <cell r="P29">
            <v>82.4</v>
          </cell>
          <cell r="Q29">
            <v>47.012</v>
          </cell>
          <cell r="R29">
            <v>52.02</v>
          </cell>
          <cell r="S29">
            <v>15.374999999999998</v>
          </cell>
          <cell r="T29">
            <v>13.273</v>
          </cell>
          <cell r="U29">
            <v>10.32</v>
          </cell>
          <cell r="V29">
            <v>0</v>
          </cell>
          <cell r="W29">
            <v>0</v>
          </cell>
          <cell r="X29">
            <v>0</v>
          </cell>
          <cell r="Y29">
            <v>3.1020000000000003</v>
          </cell>
          <cell r="Z29">
            <v>110.80800000000001</v>
          </cell>
          <cell r="AA29">
            <v>92.609999999999985</v>
          </cell>
          <cell r="AB29">
            <v>58.71</v>
          </cell>
          <cell r="AC29">
            <v>56.65</v>
          </cell>
          <cell r="AD29">
            <v>79.387</v>
          </cell>
          <cell r="AE29">
            <v>36.084999999999994</v>
          </cell>
          <cell r="AF29">
            <v>10.3</v>
          </cell>
          <cell r="AG29">
            <v>15.450000000000001</v>
          </cell>
        </row>
        <row r="30">
          <cell r="A30" t="str">
            <v>Michigan</v>
          </cell>
          <cell r="B30">
            <v>19526.332000000002</v>
          </cell>
          <cell r="C30">
            <v>15316.32</v>
          </cell>
          <cell r="D30">
            <v>14987.880000000001</v>
          </cell>
          <cell r="E30">
            <v>13063.695</v>
          </cell>
          <cell r="F30">
            <v>13975.447999999999</v>
          </cell>
          <cell r="G30">
            <v>21741.425999999999</v>
          </cell>
          <cell r="H30">
            <v>22110.175999999999</v>
          </cell>
          <cell r="I30">
            <v>22593.808000000001</v>
          </cell>
          <cell r="J30">
            <v>22406.34</v>
          </cell>
          <cell r="K30">
            <v>21272.128000000001</v>
          </cell>
          <cell r="L30">
            <v>12696.306</v>
          </cell>
          <cell r="M30">
            <v>4155.3499999999995</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Minnesota</v>
          </cell>
          <cell r="B31">
            <v>56.224000000000004</v>
          </cell>
          <cell r="C31">
            <v>49.588000000000001</v>
          </cell>
          <cell r="D31">
            <v>52.571999999999996</v>
          </cell>
          <cell r="E31">
            <v>78.85799999999999</v>
          </cell>
          <cell r="F31">
            <v>292.17899999999997</v>
          </cell>
          <cell r="G31">
            <v>196.52199999999999</v>
          </cell>
          <cell r="H31">
            <v>721.76200000000006</v>
          </cell>
          <cell r="I31">
            <v>175.096</v>
          </cell>
          <cell r="J31">
            <v>51</v>
          </cell>
          <cell r="K31">
            <v>65.215999999999994</v>
          </cell>
          <cell r="L31">
            <v>102.51499999999999</v>
          </cell>
          <cell r="M31">
            <v>119.416</v>
          </cell>
          <cell r="N31">
            <v>13.090999999999999</v>
          </cell>
          <cell r="O31">
            <v>42.335999999999999</v>
          </cell>
          <cell r="P31">
            <v>71.496999999999986</v>
          </cell>
          <cell r="Q31">
            <v>155.84800000000001</v>
          </cell>
          <cell r="R31">
            <v>13.208</v>
          </cell>
          <cell r="S31">
            <v>55.025999999999996</v>
          </cell>
          <cell r="T31">
            <v>47.057999999999993</v>
          </cell>
          <cell r="U31">
            <v>48.363</v>
          </cell>
          <cell r="V31">
            <v>12.120000000000001</v>
          </cell>
          <cell r="W31">
            <v>20.2</v>
          </cell>
          <cell r="X31">
            <v>9.1709999999999994</v>
          </cell>
          <cell r="Y31">
            <v>22.505999999999997</v>
          </cell>
          <cell r="Z31">
            <v>68.177999999999997</v>
          </cell>
          <cell r="AA31">
            <v>10.4</v>
          </cell>
          <cell r="AB31">
            <v>60.145999999999994</v>
          </cell>
          <cell r="AC31">
            <v>10.329999999999998</v>
          </cell>
          <cell r="AD31">
            <v>15.734999999999999</v>
          </cell>
          <cell r="AE31">
            <v>121.44000000000001</v>
          </cell>
          <cell r="AF31">
            <v>12.696000000000002</v>
          </cell>
          <cell r="AG31">
            <v>30.682000000000002</v>
          </cell>
        </row>
        <row r="32">
          <cell r="A32" t="str">
            <v>Mississippi</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Missouri</v>
          </cell>
          <cell r="B33">
            <v>0</v>
          </cell>
          <cell r="C33">
            <v>0</v>
          </cell>
          <cell r="D33">
            <v>0</v>
          </cell>
          <cell r="E33">
            <v>0</v>
          </cell>
          <cell r="F33">
            <v>373.226</v>
          </cell>
          <cell r="G33">
            <v>4.0279999999999996</v>
          </cell>
          <cell r="H33">
            <v>793.63499999999988</v>
          </cell>
          <cell r="I33">
            <v>726.19</v>
          </cell>
          <cell r="J33">
            <v>40.44</v>
          </cell>
          <cell r="K33">
            <v>209.69099999999997</v>
          </cell>
          <cell r="L33">
            <v>986.57999999999993</v>
          </cell>
          <cell r="M33">
            <v>31.526999999999997</v>
          </cell>
          <cell r="N33">
            <v>62.744</v>
          </cell>
          <cell r="O33">
            <v>1070.7840000000001</v>
          </cell>
          <cell r="P33">
            <v>935.34</v>
          </cell>
          <cell r="Q33">
            <v>15.3</v>
          </cell>
          <cell r="R33">
            <v>79.637999999999991</v>
          </cell>
          <cell r="S33">
            <v>67.320000000000007</v>
          </cell>
          <cell r="T33">
            <v>6.048</v>
          </cell>
          <cell r="U33">
            <v>10.069999999999999</v>
          </cell>
          <cell r="V33">
            <v>18.125999999999998</v>
          </cell>
          <cell r="W33">
            <v>0</v>
          </cell>
          <cell r="X33">
            <v>0</v>
          </cell>
          <cell r="Y33">
            <v>0</v>
          </cell>
          <cell r="Z33">
            <v>174.57999999999998</v>
          </cell>
          <cell r="AA33">
            <v>0</v>
          </cell>
          <cell r="AB33">
            <v>0</v>
          </cell>
          <cell r="AC33">
            <v>0</v>
          </cell>
          <cell r="AD33">
            <v>0</v>
          </cell>
          <cell r="AE33">
            <v>0</v>
          </cell>
          <cell r="AF33">
            <v>0</v>
          </cell>
          <cell r="AG33">
            <v>19.417999999999999</v>
          </cell>
        </row>
        <row r="34">
          <cell r="A34" t="str">
            <v>Montana</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row>
        <row r="35">
          <cell r="A35" t="str">
            <v>Nebraska</v>
          </cell>
          <cell r="B35">
            <v>2320.8629999999998</v>
          </cell>
          <cell r="C35">
            <v>1999.4880000000001</v>
          </cell>
          <cell r="D35">
            <v>1406.8229999999999</v>
          </cell>
          <cell r="E35">
            <v>771.22500000000002</v>
          </cell>
          <cell r="F35">
            <v>876.65</v>
          </cell>
          <cell r="G35">
            <v>14.7</v>
          </cell>
          <cell r="H35">
            <v>317.20499999999998</v>
          </cell>
          <cell r="I35">
            <v>133.732</v>
          </cell>
          <cell r="J35">
            <v>11.032999999999999</v>
          </cell>
          <cell r="K35">
            <v>3.996</v>
          </cell>
          <cell r="L35">
            <v>340.69499999999994</v>
          </cell>
          <cell r="M35">
            <v>6.1019999999999994</v>
          </cell>
          <cell r="N35">
            <v>1.0069999999999999</v>
          </cell>
          <cell r="O35">
            <v>13.090999999999999</v>
          </cell>
          <cell r="P35">
            <v>39.350999999999999</v>
          </cell>
          <cell r="Q35">
            <v>16.143999999999998</v>
          </cell>
          <cell r="R35">
            <v>19.228000000000002</v>
          </cell>
          <cell r="S35">
            <v>33.594000000000001</v>
          </cell>
          <cell r="T35">
            <v>28.307999999999996</v>
          </cell>
          <cell r="U35">
            <v>18.216000000000001</v>
          </cell>
          <cell r="V35">
            <v>12.048</v>
          </cell>
          <cell r="W35">
            <v>9.0989999999999984</v>
          </cell>
          <cell r="X35">
            <v>4.0759999999999996</v>
          </cell>
          <cell r="Y35">
            <v>2.0720000000000001</v>
          </cell>
          <cell r="Z35">
            <v>391.79200000000003</v>
          </cell>
          <cell r="AA35">
            <v>30.652999999999999</v>
          </cell>
          <cell r="AB35">
            <v>72.012</v>
          </cell>
          <cell r="AC35">
            <v>816.96999999999991</v>
          </cell>
          <cell r="AD35">
            <v>659.32</v>
          </cell>
          <cell r="AE35">
            <v>172.27</v>
          </cell>
          <cell r="AF35">
            <v>57.617999999999995</v>
          </cell>
          <cell r="AG35">
            <v>389.05799999999999</v>
          </cell>
        </row>
        <row r="36">
          <cell r="A36" t="str">
            <v>Nevada</v>
          </cell>
          <cell r="B36">
            <v>128.875</v>
          </cell>
          <cell r="C36">
            <v>0</v>
          </cell>
          <cell r="D36">
            <v>30.929999999999996</v>
          </cell>
          <cell r="E36">
            <v>39.292000000000002</v>
          </cell>
          <cell r="F36">
            <v>9.3149999999999995</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row>
        <row r="37">
          <cell r="A37" t="str">
            <v>New Hampshire</v>
          </cell>
          <cell r="B37">
            <v>207.87</v>
          </cell>
          <cell r="C37">
            <v>128.89599999999999</v>
          </cell>
          <cell r="D37">
            <v>96.86399999999999</v>
          </cell>
          <cell r="E37">
            <v>155.54</v>
          </cell>
          <cell r="F37">
            <v>162.07999999999998</v>
          </cell>
          <cell r="G37">
            <v>90.99</v>
          </cell>
          <cell r="H37">
            <v>149.79299999999998</v>
          </cell>
          <cell r="I37">
            <v>103.12199999999999</v>
          </cell>
          <cell r="J37">
            <v>104.133</v>
          </cell>
          <cell r="K37">
            <v>111.999</v>
          </cell>
          <cell r="L37">
            <v>190.44</v>
          </cell>
          <cell r="M37">
            <v>91.332000000000008</v>
          </cell>
          <cell r="N37">
            <v>69.3</v>
          </cell>
          <cell r="O37">
            <v>60.493999999999993</v>
          </cell>
          <cell r="P37">
            <v>95.094999999999999</v>
          </cell>
          <cell r="Q37">
            <v>87.024000000000001</v>
          </cell>
          <cell r="R37">
            <v>95.22</v>
          </cell>
          <cell r="S37">
            <v>9.3960000000000008</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row>
        <row r="38">
          <cell r="A38" t="str">
            <v>New Jersey</v>
          </cell>
          <cell r="B38">
            <v>10221.012000000001</v>
          </cell>
          <cell r="C38">
            <v>15173.514000000001</v>
          </cell>
          <cell r="D38">
            <v>14735.412</v>
          </cell>
          <cell r="E38">
            <v>15488.2</v>
          </cell>
          <cell r="F38">
            <v>8038.7429999999995</v>
          </cell>
          <cell r="G38">
            <v>7538.8940000000002</v>
          </cell>
          <cell r="H38">
            <v>7022.0079999999998</v>
          </cell>
          <cell r="I38">
            <v>6690.24</v>
          </cell>
          <cell r="J38">
            <v>9427.116</v>
          </cell>
          <cell r="K38">
            <v>5985.6789999999992</v>
          </cell>
          <cell r="L38">
            <v>8586.3599999999988</v>
          </cell>
          <cell r="M38">
            <v>12786.21</v>
          </cell>
          <cell r="N38">
            <v>3656.4619999999995</v>
          </cell>
          <cell r="O38">
            <v>490.97399999999999</v>
          </cell>
          <cell r="P38">
            <v>550.66999999999996</v>
          </cell>
          <cell r="Q38">
            <v>451.96499999999997</v>
          </cell>
          <cell r="R38">
            <v>181.3</v>
          </cell>
          <cell r="S38">
            <v>392.26499999999999</v>
          </cell>
          <cell r="T38">
            <v>505.13699999999994</v>
          </cell>
          <cell r="U38">
            <v>467.16599999999994</v>
          </cell>
          <cell r="V38">
            <v>468.88200000000001</v>
          </cell>
          <cell r="W38">
            <v>402.19200000000001</v>
          </cell>
          <cell r="X38">
            <v>143.03099999999998</v>
          </cell>
          <cell r="Y38">
            <v>266.22000000000003</v>
          </cell>
          <cell r="Z38">
            <v>552.26</v>
          </cell>
          <cell r="AA38">
            <v>483.83499999999998</v>
          </cell>
          <cell r="AB38">
            <v>311.25899999999996</v>
          </cell>
          <cell r="AC38">
            <v>0</v>
          </cell>
          <cell r="AD38">
            <v>0</v>
          </cell>
          <cell r="AE38">
            <v>0</v>
          </cell>
          <cell r="AF38">
            <v>0</v>
          </cell>
          <cell r="AG38">
            <v>0</v>
          </cell>
        </row>
        <row r="39">
          <cell r="A39" t="str">
            <v>New Mexico</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row>
        <row r="40">
          <cell r="A40" t="str">
            <v>New York</v>
          </cell>
          <cell r="B40">
            <v>396.55</v>
          </cell>
          <cell r="C40">
            <v>696.98400000000004</v>
          </cell>
          <cell r="D40">
            <v>1224.51</v>
          </cell>
          <cell r="E40">
            <v>1685.502</v>
          </cell>
          <cell r="F40">
            <v>1500.88</v>
          </cell>
          <cell r="G40">
            <v>1531.72</v>
          </cell>
          <cell r="H40">
            <v>1291.7339999999999</v>
          </cell>
          <cell r="I40">
            <v>903.90600000000006</v>
          </cell>
          <cell r="J40">
            <v>718.572</v>
          </cell>
          <cell r="K40">
            <v>471.39299999999997</v>
          </cell>
          <cell r="L40">
            <v>882.024</v>
          </cell>
          <cell r="M40">
            <v>998.12999999999988</v>
          </cell>
          <cell r="N40">
            <v>1.0229999999999999</v>
          </cell>
          <cell r="O40">
            <v>18.485999999999997</v>
          </cell>
          <cell r="P40">
            <v>8.2080000000000002</v>
          </cell>
          <cell r="Q40">
            <v>14.349999999999998</v>
          </cell>
          <cell r="R40">
            <v>4.0839999999999996</v>
          </cell>
          <cell r="S40">
            <v>13.298999999999999</v>
          </cell>
          <cell r="T40">
            <v>7.1469999999999994</v>
          </cell>
          <cell r="U40">
            <v>6.1259999999999994</v>
          </cell>
          <cell r="V40">
            <v>2.044</v>
          </cell>
          <cell r="W40">
            <v>0</v>
          </cell>
          <cell r="X40">
            <v>0</v>
          </cell>
          <cell r="Y40">
            <v>0</v>
          </cell>
          <cell r="Z40">
            <v>0</v>
          </cell>
          <cell r="AA40">
            <v>0</v>
          </cell>
          <cell r="AB40">
            <v>0</v>
          </cell>
          <cell r="AC40">
            <v>0</v>
          </cell>
          <cell r="AD40">
            <v>0</v>
          </cell>
          <cell r="AE40">
            <v>0</v>
          </cell>
          <cell r="AF40">
            <v>0</v>
          </cell>
          <cell r="AG40">
            <v>0</v>
          </cell>
        </row>
        <row r="41">
          <cell r="A41" t="str">
            <v>North Carolina</v>
          </cell>
          <cell r="B41">
            <v>0</v>
          </cell>
          <cell r="C41">
            <v>0</v>
          </cell>
          <cell r="D41">
            <v>2.0680000000000001</v>
          </cell>
          <cell r="E41">
            <v>4.1399999999999997</v>
          </cell>
          <cell r="F41">
            <v>3.1080000000000001</v>
          </cell>
          <cell r="G41">
            <v>0</v>
          </cell>
          <cell r="H41">
            <v>0</v>
          </cell>
          <cell r="I41">
            <v>0</v>
          </cell>
          <cell r="J41">
            <v>0</v>
          </cell>
          <cell r="K41">
            <v>21.734999999999999</v>
          </cell>
          <cell r="L41">
            <v>2.06</v>
          </cell>
          <cell r="M41">
            <v>0</v>
          </cell>
          <cell r="N41">
            <v>1.0329999999999999</v>
          </cell>
          <cell r="O41">
            <v>1.04</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row>
        <row r="42">
          <cell r="A42" t="str">
            <v>North Dakota</v>
          </cell>
          <cell r="B42">
            <v>54844.608</v>
          </cell>
          <cell r="C42">
            <v>54974.622000000003</v>
          </cell>
          <cell r="D42">
            <v>61128.319999999992</v>
          </cell>
          <cell r="E42">
            <v>61140.800000000003</v>
          </cell>
          <cell r="F42">
            <v>60440.366000000002</v>
          </cell>
          <cell r="G42">
            <v>60262.65</v>
          </cell>
          <cell r="H42">
            <v>58716.216999999997</v>
          </cell>
          <cell r="I42">
            <v>55837.950000000004</v>
          </cell>
          <cell r="J42">
            <v>56749.536</v>
          </cell>
          <cell r="K42">
            <v>55578.324999999997</v>
          </cell>
          <cell r="L42">
            <v>50911.649999999994</v>
          </cell>
          <cell r="M42">
            <v>52483.115999999995</v>
          </cell>
          <cell r="N42">
            <v>53343.551999999996</v>
          </cell>
          <cell r="O42">
            <v>53670.727999999996</v>
          </cell>
          <cell r="P42">
            <v>48356.601999999999</v>
          </cell>
          <cell r="Q42">
            <v>53176.844000000005</v>
          </cell>
          <cell r="R42">
            <v>56752.884000000005</v>
          </cell>
          <cell r="S42">
            <v>53453.738000000005</v>
          </cell>
          <cell r="T42">
            <v>52658.512000000002</v>
          </cell>
          <cell r="U42">
            <v>56437.224999999999</v>
          </cell>
          <cell r="V42">
            <v>57827.714999999997</v>
          </cell>
          <cell r="W42">
            <v>55048.118999999999</v>
          </cell>
          <cell r="X42">
            <v>55956.164999999994</v>
          </cell>
          <cell r="Y42">
            <v>48891.784</v>
          </cell>
          <cell r="Z42">
            <v>52555.884000000005</v>
          </cell>
          <cell r="AA42">
            <v>52780.686000000002</v>
          </cell>
          <cell r="AB42">
            <v>52040.315999999999</v>
          </cell>
          <cell r="AC42">
            <v>60595.560000000005</v>
          </cell>
          <cell r="AD42">
            <v>63523.44</v>
          </cell>
          <cell r="AE42">
            <v>55835.794000000002</v>
          </cell>
          <cell r="AF42">
            <v>55977.115999999995</v>
          </cell>
          <cell r="AG42">
            <v>55351.750999999997</v>
          </cell>
        </row>
        <row r="43">
          <cell r="A43" t="str">
            <v>Ohio</v>
          </cell>
          <cell r="B43">
            <v>882.96</v>
          </cell>
          <cell r="C43">
            <v>930.20400000000006</v>
          </cell>
          <cell r="D43">
            <v>1088.836</v>
          </cell>
          <cell r="E43">
            <v>1029.6960000000001</v>
          </cell>
          <cell r="F43">
            <v>1484.9839999999999</v>
          </cell>
          <cell r="G43">
            <v>938.35199999999998</v>
          </cell>
          <cell r="H43">
            <v>1897.4640000000002</v>
          </cell>
          <cell r="I43">
            <v>1487.0349999999999</v>
          </cell>
          <cell r="J43">
            <v>1241.76</v>
          </cell>
          <cell r="K43">
            <v>1244.3999999999999</v>
          </cell>
          <cell r="L43">
            <v>1502.5640000000001</v>
          </cell>
          <cell r="M43">
            <v>1197.258</v>
          </cell>
          <cell r="N43">
            <v>82.00200000000001</v>
          </cell>
          <cell r="O43">
            <v>1038.0720000000001</v>
          </cell>
          <cell r="P43">
            <v>514.14</v>
          </cell>
          <cell r="Q43">
            <v>603.89699999999993</v>
          </cell>
          <cell r="R43">
            <v>439.49699999999996</v>
          </cell>
          <cell r="S43">
            <v>630.49599999999998</v>
          </cell>
          <cell r="T43">
            <v>478.40000000000003</v>
          </cell>
          <cell r="U43">
            <v>543.40199999999993</v>
          </cell>
          <cell r="V43">
            <v>365.00200000000001</v>
          </cell>
          <cell r="W43">
            <v>305.17599999999999</v>
          </cell>
          <cell r="X43">
            <v>377.71199999999999</v>
          </cell>
          <cell r="Y43">
            <v>431.39199999999994</v>
          </cell>
          <cell r="Z43">
            <v>677.53699999999992</v>
          </cell>
          <cell r="AA43">
            <v>498.75600000000003</v>
          </cell>
          <cell r="AB43">
            <v>252.756</v>
          </cell>
          <cell r="AC43">
            <v>411.95000000000005</v>
          </cell>
          <cell r="AD43">
            <v>412.83199999999999</v>
          </cell>
          <cell r="AE43">
            <v>407.89499999999998</v>
          </cell>
          <cell r="AF43">
            <v>358.84800000000001</v>
          </cell>
          <cell r="AG43">
            <v>2816.2400000000002</v>
          </cell>
        </row>
        <row r="44">
          <cell r="A44" t="str">
            <v>Oklahoma</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Oregon</v>
          </cell>
          <cell r="B45">
            <v>3.069</v>
          </cell>
          <cell r="C45">
            <v>4.1159999999999997</v>
          </cell>
          <cell r="D45">
            <v>2.0699999999999998</v>
          </cell>
          <cell r="E45">
            <v>3.1109999999999998</v>
          </cell>
          <cell r="F45">
            <v>2.08</v>
          </cell>
          <cell r="G45">
            <v>2.08</v>
          </cell>
          <cell r="H45">
            <v>2.08</v>
          </cell>
          <cell r="I45">
            <v>2.0920000000000001</v>
          </cell>
          <cell r="J45">
            <v>2.0859999999999999</v>
          </cell>
          <cell r="K45">
            <v>3.1529999999999996</v>
          </cell>
          <cell r="L45">
            <v>2.0539999999999998</v>
          </cell>
          <cell r="M45">
            <v>2.052</v>
          </cell>
          <cell r="N45">
            <v>5.1149999999999993</v>
          </cell>
          <cell r="O45">
            <v>5.0600000000000005</v>
          </cell>
          <cell r="P45">
            <v>2.0259999999999998</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Pennsylvania</v>
          </cell>
          <cell r="B46">
            <v>228.14</v>
          </cell>
          <cell r="C46">
            <v>229.76999999999998</v>
          </cell>
          <cell r="D46">
            <v>136.75200000000001</v>
          </cell>
          <cell r="E46">
            <v>114.07</v>
          </cell>
          <cell r="F46">
            <v>261.072</v>
          </cell>
          <cell r="G46">
            <v>77.625</v>
          </cell>
          <cell r="H46">
            <v>275.04399999999998</v>
          </cell>
          <cell r="I46">
            <v>139.72499999999999</v>
          </cell>
          <cell r="J46">
            <v>82.88</v>
          </cell>
          <cell r="K46">
            <v>123.28400000000001</v>
          </cell>
          <cell r="L46">
            <v>270.13499999999999</v>
          </cell>
          <cell r="M46">
            <v>112.77800000000001</v>
          </cell>
          <cell r="N46">
            <v>106.81099999999999</v>
          </cell>
          <cell r="O46">
            <v>131.04</v>
          </cell>
          <cell r="P46">
            <v>136.10899999999998</v>
          </cell>
          <cell r="Q46">
            <v>137.28</v>
          </cell>
          <cell r="R46">
            <v>128.71200000000002</v>
          </cell>
          <cell r="S46">
            <v>150.36499999999998</v>
          </cell>
          <cell r="T46">
            <v>127.67400000000001</v>
          </cell>
          <cell r="U46">
            <v>212.58499999999998</v>
          </cell>
          <cell r="V46">
            <v>4.1360000000000001</v>
          </cell>
          <cell r="W46">
            <v>2.0720000000000001</v>
          </cell>
          <cell r="X46">
            <v>2.08</v>
          </cell>
          <cell r="Y46">
            <v>3.1440000000000001</v>
          </cell>
          <cell r="Z46">
            <v>20.96</v>
          </cell>
          <cell r="AA46">
            <v>29.288</v>
          </cell>
          <cell r="AB46">
            <v>0</v>
          </cell>
          <cell r="AC46">
            <v>15.600000000000001</v>
          </cell>
          <cell r="AD46">
            <v>42.558</v>
          </cell>
          <cell r="AE46">
            <v>6.2279999999999998</v>
          </cell>
          <cell r="AF46">
            <v>1.038</v>
          </cell>
          <cell r="AG46">
            <v>0</v>
          </cell>
        </row>
        <row r="47">
          <cell r="A47" t="str">
            <v>Rhode Island</v>
          </cell>
          <cell r="B47">
            <v>52.428000000000004</v>
          </cell>
          <cell r="C47">
            <v>94.576000000000008</v>
          </cell>
          <cell r="D47">
            <v>157.79</v>
          </cell>
          <cell r="E47">
            <v>129.654</v>
          </cell>
          <cell r="F47">
            <v>0</v>
          </cell>
          <cell r="G47">
            <v>27.702000000000002</v>
          </cell>
          <cell r="H47">
            <v>44.52</v>
          </cell>
          <cell r="I47">
            <v>18.432000000000002</v>
          </cell>
          <cell r="J47">
            <v>1.0249999999999999</v>
          </cell>
          <cell r="K47">
            <v>1.0229999999999999</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A48" t="str">
            <v>South Carolina</v>
          </cell>
          <cell r="B48">
            <v>17.475999999999999</v>
          </cell>
          <cell r="C48">
            <v>48.268999999999998</v>
          </cell>
          <cell r="D48">
            <v>26.701999999999998</v>
          </cell>
          <cell r="E48">
            <v>34.985999999999997</v>
          </cell>
          <cell r="F48">
            <v>158.774</v>
          </cell>
          <cell r="G48">
            <v>63.673999999999992</v>
          </cell>
          <cell r="H48">
            <v>183.34</v>
          </cell>
          <cell r="I48">
            <v>10.309999999999999</v>
          </cell>
          <cell r="J48">
            <v>0</v>
          </cell>
          <cell r="K48">
            <v>18.558</v>
          </cell>
          <cell r="L48">
            <v>64.826999999999998</v>
          </cell>
          <cell r="M48">
            <v>6.2279999999999998</v>
          </cell>
          <cell r="N48">
            <v>3.0960000000000001</v>
          </cell>
          <cell r="O48">
            <v>15.540000000000001</v>
          </cell>
          <cell r="P48">
            <v>2.0699999999999998</v>
          </cell>
          <cell r="Q48">
            <v>89.181999999999988</v>
          </cell>
          <cell r="R48">
            <v>78.074999999999989</v>
          </cell>
          <cell r="S48">
            <v>0</v>
          </cell>
          <cell r="T48">
            <v>0</v>
          </cell>
          <cell r="U48">
            <v>0</v>
          </cell>
          <cell r="V48">
            <v>0</v>
          </cell>
          <cell r="W48">
            <v>0</v>
          </cell>
          <cell r="X48">
            <v>0</v>
          </cell>
          <cell r="Y48">
            <v>0</v>
          </cell>
          <cell r="Z48">
            <v>17.408000000000001</v>
          </cell>
          <cell r="AA48">
            <v>9.27</v>
          </cell>
          <cell r="AB48">
            <v>0</v>
          </cell>
          <cell r="AC48">
            <v>0</v>
          </cell>
          <cell r="AD48">
            <v>0</v>
          </cell>
          <cell r="AE48">
            <v>0</v>
          </cell>
          <cell r="AF48">
            <v>0</v>
          </cell>
          <cell r="AG48">
            <v>0</v>
          </cell>
        </row>
        <row r="49">
          <cell r="A49" t="str">
            <v>South Dakota</v>
          </cell>
          <cell r="B49">
            <v>10.16</v>
          </cell>
          <cell r="C49">
            <v>3.0540000000000003</v>
          </cell>
          <cell r="D49">
            <v>10.149999999999999</v>
          </cell>
          <cell r="E49">
            <v>9.1169999999999991</v>
          </cell>
          <cell r="F49">
            <v>61.61</v>
          </cell>
          <cell r="G49">
            <v>37.518000000000001</v>
          </cell>
          <cell r="H49">
            <v>88.218000000000004</v>
          </cell>
          <cell r="I49">
            <v>30.54</v>
          </cell>
          <cell r="J49">
            <v>4.04</v>
          </cell>
          <cell r="K49">
            <v>5.03</v>
          </cell>
          <cell r="L49">
            <v>13.064999999999998</v>
          </cell>
          <cell r="M49">
            <v>4.9950000000000001</v>
          </cell>
          <cell r="N49">
            <v>2.9969999999999999</v>
          </cell>
          <cell r="O49">
            <v>57.056999999999995</v>
          </cell>
          <cell r="P49">
            <v>5.01</v>
          </cell>
          <cell r="Q49">
            <v>4.0279999999999996</v>
          </cell>
          <cell r="R49">
            <v>0</v>
          </cell>
          <cell r="S49">
            <v>1.0029999999999999</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Tennessee</v>
          </cell>
          <cell r="B50">
            <v>3.1049999999999995</v>
          </cell>
          <cell r="C50">
            <v>8.2639999999999993</v>
          </cell>
          <cell r="D50">
            <v>12.372</v>
          </cell>
          <cell r="E50">
            <v>13.454999999999998</v>
          </cell>
          <cell r="F50">
            <v>86.688000000000002</v>
          </cell>
          <cell r="G50">
            <v>34.022999999999996</v>
          </cell>
          <cell r="H50">
            <v>75.335999999999999</v>
          </cell>
          <cell r="I50">
            <v>19.588999999999999</v>
          </cell>
          <cell r="J50">
            <v>4.12</v>
          </cell>
          <cell r="K50">
            <v>11.296999999999999</v>
          </cell>
          <cell r="L50">
            <v>13.480999999999998</v>
          </cell>
          <cell r="M50">
            <v>0</v>
          </cell>
          <cell r="N50">
            <v>1.032</v>
          </cell>
          <cell r="O50">
            <v>1.0329999999999999</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A51" t="str">
            <v>Texas</v>
          </cell>
          <cell r="B51">
            <v>1289.6000000000001</v>
          </cell>
          <cell r="C51">
            <v>1115.8119999999999</v>
          </cell>
          <cell r="D51">
            <v>1.0429999999999999</v>
          </cell>
          <cell r="E51">
            <v>3.0840000000000001</v>
          </cell>
          <cell r="F51">
            <v>1.0369999999999999</v>
          </cell>
          <cell r="G51">
            <v>1.0369999999999999</v>
          </cell>
          <cell r="H51">
            <v>0</v>
          </cell>
          <cell r="I51">
            <v>0</v>
          </cell>
          <cell r="J51">
            <v>0</v>
          </cell>
          <cell r="K51">
            <v>17.544</v>
          </cell>
          <cell r="L51">
            <v>0</v>
          </cell>
          <cell r="M51">
            <v>1544.13</v>
          </cell>
          <cell r="N51">
            <v>2.056</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83.024999999999991</v>
          </cell>
          <cell r="AF51">
            <v>1633.1559999999999</v>
          </cell>
          <cell r="AG51">
            <v>2625.518</v>
          </cell>
        </row>
        <row r="52">
          <cell r="A52" t="str">
            <v>Utah</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A53" t="str">
            <v>Vermont</v>
          </cell>
          <cell r="B53">
            <v>0</v>
          </cell>
          <cell r="C53">
            <v>5.9279999999999999</v>
          </cell>
          <cell r="D53">
            <v>2.9849999999999999</v>
          </cell>
          <cell r="E53">
            <v>3.992</v>
          </cell>
          <cell r="F53">
            <v>8.9640000000000004</v>
          </cell>
          <cell r="G53">
            <v>3.984</v>
          </cell>
          <cell r="H53">
            <v>5.0749999999999993</v>
          </cell>
          <cell r="I53">
            <v>6.0720000000000001</v>
          </cell>
          <cell r="J53">
            <v>0</v>
          </cell>
          <cell r="K53">
            <v>1.012</v>
          </cell>
          <cell r="L53">
            <v>7.0839999999999996</v>
          </cell>
          <cell r="M53">
            <v>105.248</v>
          </cell>
          <cell r="N53">
            <v>2.008</v>
          </cell>
          <cell r="O53">
            <v>10.06</v>
          </cell>
          <cell r="P53">
            <v>12.048</v>
          </cell>
          <cell r="Q53">
            <v>9.0359999999999996</v>
          </cell>
          <cell r="R53">
            <v>2.0019999999999998</v>
          </cell>
          <cell r="S53">
            <v>2.0019999999999998</v>
          </cell>
          <cell r="T53">
            <v>1.0049999999999999</v>
          </cell>
          <cell r="U53">
            <v>2.0099999999999998</v>
          </cell>
          <cell r="V53">
            <v>1.0069999999999999</v>
          </cell>
          <cell r="W53">
            <v>2.016</v>
          </cell>
          <cell r="X53">
            <v>3.036</v>
          </cell>
          <cell r="Y53">
            <v>3.0449999999999999</v>
          </cell>
          <cell r="Z53">
            <v>5.0849999999999991</v>
          </cell>
          <cell r="AA53">
            <v>3.0749999999999997</v>
          </cell>
          <cell r="AB53">
            <v>1.024</v>
          </cell>
          <cell r="AC53">
            <v>2.06</v>
          </cell>
          <cell r="AD53">
            <v>1.034</v>
          </cell>
          <cell r="AE53">
            <v>3.1080000000000001</v>
          </cell>
          <cell r="AF53">
            <v>2.0819999999999999</v>
          </cell>
          <cell r="AG53">
            <v>1.04</v>
          </cell>
        </row>
        <row r="54">
          <cell r="A54" t="str">
            <v>Virginia</v>
          </cell>
          <cell r="B54">
            <v>61.478000000000002</v>
          </cell>
          <cell r="C54">
            <v>250.08</v>
          </cell>
          <cell r="D54">
            <v>254.55499999999998</v>
          </cell>
          <cell r="E54">
            <v>561.67200000000003</v>
          </cell>
          <cell r="F54">
            <v>1240.4100000000001</v>
          </cell>
          <cell r="G54">
            <v>458.79499999999996</v>
          </cell>
          <cell r="H54">
            <v>743.92399999999998</v>
          </cell>
          <cell r="I54">
            <v>365.40000000000003</v>
          </cell>
          <cell r="J54">
            <v>154.36399999999998</v>
          </cell>
          <cell r="K54">
            <v>185.80199999999999</v>
          </cell>
          <cell r="L54">
            <v>510.25499999999994</v>
          </cell>
          <cell r="M54">
            <v>247.84299999999999</v>
          </cell>
          <cell r="N54">
            <v>128.21600000000001</v>
          </cell>
          <cell r="O54">
            <v>381.24799999999999</v>
          </cell>
          <cell r="P54">
            <v>149.35</v>
          </cell>
          <cell r="Q54">
            <v>199.68</v>
          </cell>
          <cell r="R54">
            <v>40.326000000000001</v>
          </cell>
          <cell r="S54">
            <v>92.114999999999995</v>
          </cell>
          <cell r="T54">
            <v>92.382000000000005</v>
          </cell>
          <cell r="U54">
            <v>255.892</v>
          </cell>
          <cell r="V54">
            <v>163.452</v>
          </cell>
          <cell r="W54">
            <v>91.402999999999992</v>
          </cell>
          <cell r="X54">
            <v>49.632000000000005</v>
          </cell>
          <cell r="Y54">
            <v>134.68</v>
          </cell>
          <cell r="Z54">
            <v>314.846</v>
          </cell>
          <cell r="AA54">
            <v>189.36</v>
          </cell>
          <cell r="AB54">
            <v>37.908000000000001</v>
          </cell>
          <cell r="AC54">
            <v>51.596999999999994</v>
          </cell>
          <cell r="AD54">
            <v>134.65600000000001</v>
          </cell>
          <cell r="AE54">
            <v>159.75199999999998</v>
          </cell>
          <cell r="AF54">
            <v>25.175999999999998</v>
          </cell>
          <cell r="AG54">
            <v>90.385999999999996</v>
          </cell>
        </row>
        <row r="55">
          <cell r="A55" t="str">
            <v>Washington</v>
          </cell>
          <cell r="B55">
            <v>186.43</v>
          </cell>
          <cell r="C55">
            <v>158.774</v>
          </cell>
          <cell r="D55">
            <v>185.94</v>
          </cell>
          <cell r="E55">
            <v>4.1479999999999997</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row>
        <row r="56">
          <cell r="A56" t="str">
            <v>West Virginia</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A57" t="str">
            <v>Wisconsin</v>
          </cell>
          <cell r="B57">
            <v>1.006</v>
          </cell>
          <cell r="C57">
            <v>1.0069999999999999</v>
          </cell>
          <cell r="D57">
            <v>1.0089999999999999</v>
          </cell>
          <cell r="E57">
            <v>3.0329999999999995</v>
          </cell>
          <cell r="F57">
            <v>5.0600000000000005</v>
          </cell>
          <cell r="G57">
            <v>2.0219999999999998</v>
          </cell>
          <cell r="H57">
            <v>21.272999999999996</v>
          </cell>
          <cell r="I57">
            <v>5.0549999999999997</v>
          </cell>
          <cell r="J57">
            <v>21.230999999999998</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Wyoming</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 xml:space="preserve">United States </v>
          </cell>
          <cell r="B59">
            <v>126490.18000000001</v>
          </cell>
          <cell r="C59">
            <v>115984.18000000001</v>
          </cell>
          <cell r="D59">
            <v>121456.57</v>
          </cell>
          <cell r="E59">
            <v>122330.97200000001</v>
          </cell>
          <cell r="F59">
            <v>114039.95399999998</v>
          </cell>
          <cell r="G59">
            <v>113378.12000000001</v>
          </cell>
          <cell r="H59">
            <v>112629.19499999999</v>
          </cell>
          <cell r="I59">
            <v>106557.04899999998</v>
          </cell>
          <cell r="J59">
            <v>105765.61499999999</v>
          </cell>
          <cell r="K59">
            <v>100999.97200000001</v>
          </cell>
          <cell r="L59">
            <v>92249.999999999985</v>
          </cell>
          <cell r="M59">
            <v>88642.423999999999</v>
          </cell>
          <cell r="N59">
            <v>69611.520000000004</v>
          </cell>
          <cell r="O59">
            <v>69601.767999999996</v>
          </cell>
          <cell r="P59">
            <v>61934.49</v>
          </cell>
          <cell r="Q59">
            <v>65474.347999999998</v>
          </cell>
          <cell r="R59">
            <v>67841.565999999992</v>
          </cell>
          <cell r="S59">
            <v>64836.563999999991</v>
          </cell>
          <cell r="T59">
            <v>62533.002999999997</v>
          </cell>
          <cell r="U59">
            <v>66890.474999999991</v>
          </cell>
          <cell r="V59">
            <v>66060.224999999991</v>
          </cell>
          <cell r="W59">
            <v>61409.936000000002</v>
          </cell>
          <cell r="X59">
            <v>62777.417999999998</v>
          </cell>
          <cell r="Y59">
            <v>56070.9</v>
          </cell>
          <cell r="Z59">
            <v>61550.544000000002</v>
          </cell>
          <cell r="AA59">
            <v>60794.124999999993</v>
          </cell>
          <cell r="AB59">
            <v>59303.955999999998</v>
          </cell>
          <cell r="AC59">
            <v>68061.055999999997</v>
          </cell>
          <cell r="AD59">
            <v>71839.347999999998</v>
          </cell>
          <cell r="AE59">
            <v>63013.304999999993</v>
          </cell>
          <cell r="AF59">
            <v>65481.364999999998</v>
          </cell>
          <cell r="AG59">
            <v>68420.547999999995</v>
          </cell>
        </row>
      </sheetData>
      <sheetData sheetId="20"/>
      <sheetData sheetId="21"/>
      <sheetData sheetId="22"/>
      <sheetData sheetId="23">
        <row r="19">
          <cell r="E19">
            <v>1990</v>
          </cell>
          <cell r="F19">
            <v>0.55316518655435243</v>
          </cell>
        </row>
        <row r="20">
          <cell r="E20">
            <v>1991</v>
          </cell>
          <cell r="F20">
            <v>0.53474111809927805</v>
          </cell>
        </row>
        <row r="21">
          <cell r="E21">
            <v>1992</v>
          </cell>
          <cell r="F21">
            <v>0.53836160308027292</v>
          </cell>
        </row>
        <row r="22">
          <cell r="E22">
            <v>1993</v>
          </cell>
          <cell r="F22">
            <v>0.56701584499313129</v>
          </cell>
        </row>
        <row r="23">
          <cell r="E23">
            <v>1994</v>
          </cell>
          <cell r="F23">
            <v>0.56169491234425173</v>
          </cell>
        </row>
        <row r="24">
          <cell r="E24">
            <v>1995</v>
          </cell>
          <cell r="F24">
            <v>0.57905624018106228</v>
          </cell>
        </row>
        <row r="25">
          <cell r="E25">
            <v>1996</v>
          </cell>
          <cell r="F25">
            <v>0.60017276498951955</v>
          </cell>
        </row>
        <row r="26">
          <cell r="E26">
            <v>1997</v>
          </cell>
          <cell r="F26">
            <v>0.56789804267427824</v>
          </cell>
        </row>
        <row r="27">
          <cell r="E27">
            <v>1998</v>
          </cell>
          <cell r="F27">
            <v>0.57560805229098433</v>
          </cell>
        </row>
        <row r="28">
          <cell r="E28">
            <v>1999</v>
          </cell>
          <cell r="F28">
            <v>0.55943261598138139</v>
          </cell>
        </row>
        <row r="29">
          <cell r="E29">
            <v>2000</v>
          </cell>
          <cell r="F29">
            <v>0.61553625497401032</v>
          </cell>
        </row>
        <row r="30">
          <cell r="E30">
            <v>2001</v>
          </cell>
          <cell r="F30">
            <v>0.60836328972852727</v>
          </cell>
        </row>
        <row r="31">
          <cell r="E31">
            <v>2002</v>
          </cell>
          <cell r="F31">
            <v>0.6150612700006417</v>
          </cell>
        </row>
        <row r="32">
          <cell r="E32">
            <v>2003</v>
          </cell>
          <cell r="F32">
            <v>0.61075674677275216</v>
          </cell>
        </row>
        <row r="33">
          <cell r="E33">
            <v>2004</v>
          </cell>
          <cell r="F33">
            <v>0.62182212243182899</v>
          </cell>
        </row>
        <row r="34">
          <cell r="E34">
            <v>2005</v>
          </cell>
          <cell r="F34">
            <v>0.60695154388453454</v>
          </cell>
        </row>
        <row r="35">
          <cell r="E35">
            <v>2006</v>
          </cell>
          <cell r="F35">
            <v>0.61745196149483106</v>
          </cell>
        </row>
        <row r="36">
          <cell r="E36">
            <v>2007</v>
          </cell>
          <cell r="F36">
            <v>0.64648733682648896</v>
          </cell>
        </row>
        <row r="37">
          <cell r="E37">
            <v>2008</v>
          </cell>
          <cell r="F37">
            <v>0.64121803968238422</v>
          </cell>
        </row>
        <row r="38">
          <cell r="E38">
            <v>2009</v>
          </cell>
          <cell r="F38">
            <v>0.66884012739078857</v>
          </cell>
        </row>
        <row r="39">
          <cell r="E39">
            <v>2010</v>
          </cell>
          <cell r="F39">
            <v>0.67241537638793369</v>
          </cell>
        </row>
        <row r="40">
          <cell r="E40">
            <v>2011</v>
          </cell>
          <cell r="F40">
            <v>0.68363907348270836</v>
          </cell>
        </row>
        <row r="41">
          <cell r="E41">
            <v>2012</v>
          </cell>
          <cell r="F41">
            <v>0.69631719326416741</v>
          </cell>
        </row>
        <row r="42">
          <cell r="E42">
            <v>2013</v>
          </cell>
          <cell r="F42">
            <v>0.66557810842768617</v>
          </cell>
        </row>
        <row r="43">
          <cell r="E43">
            <v>2014</v>
          </cell>
          <cell r="F43">
            <v>0.66314973072518801</v>
          </cell>
        </row>
        <row r="44">
          <cell r="E44">
            <v>2015</v>
          </cell>
          <cell r="F44">
            <v>0.66049962208558499</v>
          </cell>
        </row>
        <row r="45">
          <cell r="E45">
            <v>2016</v>
          </cell>
          <cell r="F45">
            <v>0.67872323970727644</v>
          </cell>
        </row>
        <row r="46">
          <cell r="E46">
            <v>2017</v>
          </cell>
          <cell r="F46">
            <v>0.64367099790896798</v>
          </cell>
        </row>
        <row r="47">
          <cell r="E47">
            <v>2018</v>
          </cell>
          <cell r="F47">
            <v>0.61445169997814597</v>
          </cell>
        </row>
        <row r="48">
          <cell r="E48">
            <v>2019</v>
          </cell>
          <cell r="F48">
            <v>0.61699356710493758</v>
          </cell>
        </row>
        <row r="49">
          <cell r="E49">
            <v>2020</v>
          </cell>
          <cell r="F49">
            <v>0.630671167240627</v>
          </cell>
        </row>
        <row r="50">
          <cell r="E50">
            <v>2021</v>
          </cell>
          <cell r="F50">
            <v>0.59098278295048956</v>
          </cell>
        </row>
        <row r="51">
          <cell r="E51">
            <v>2022</v>
          </cell>
          <cell r="F51">
            <v>0.59098278295048956</v>
          </cell>
        </row>
        <row r="52">
          <cell r="E52">
            <v>2023</v>
          </cell>
          <cell r="F52">
            <v>0.59098278295048956</v>
          </cell>
        </row>
        <row r="53">
          <cell r="E53">
            <v>2024</v>
          </cell>
          <cell r="F53">
            <v>0.59098278295048956</v>
          </cell>
        </row>
        <row r="54">
          <cell r="E54">
            <v>2025</v>
          </cell>
          <cell r="F54">
            <v>0.59098278295048956</v>
          </cell>
        </row>
      </sheetData>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2035 Report Deployment"/>
      <sheetName val="2035 Report Data"/>
      <sheetName val="EPS Output"/>
      <sheetName val="AEO Table 9"/>
      <sheetName val="AEO Table 9 (2019)"/>
      <sheetName val="AEO Table 16"/>
      <sheetName val="BGBSC"/>
      <sheetName val="PAGBSC"/>
      <sheetName val="SYGBSC"/>
    </sheetNames>
    <sheetDataSet>
      <sheetData sheetId="0">
        <row r="31">
          <cell r="A31">
            <v>1000</v>
          </cell>
        </row>
      </sheetData>
      <sheetData sheetId="1"/>
      <sheetData sheetId="2" refreshError="1"/>
      <sheetData sheetId="3" refreshError="1"/>
      <sheetData sheetId="4"/>
      <sheetData sheetId="5" refreshError="1"/>
      <sheetData sheetId="6" refreshError="1"/>
      <sheetData sheetId="7"/>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ountry Selector"/>
      <sheetName val="Multipliers and Adjustments"/>
      <sheetName val="EPA Data"/>
      <sheetName val="Tech to Policy Mapping"/>
      <sheetName val="SNAP Adjustment"/>
      <sheetName val="Cement Data"/>
      <sheetName val="Data Check"/>
      <sheetName val="PERAC-cement"/>
      <sheetName val="PERAC-ngps-mthncptr"/>
      <sheetName val="PERAC-ngps-mthndstr"/>
      <sheetName val="PERAC-fgassubstitution"/>
      <sheetName val="PERAC-fgasdestruction"/>
      <sheetName val="PERAC-fgasrecovery"/>
      <sheetName val="PERAC-inspctmaintretrofit"/>
      <sheetName val="PERAC-coalmining-mthncptr"/>
      <sheetName val="PERAC-coalmining-mthndstr"/>
      <sheetName val="PERAC-waste-mthncptr"/>
      <sheetName val="PERAC-waste-mthndstr"/>
      <sheetName val="PERAC-cropsrice"/>
      <sheetName val="PERAC-livestock"/>
      <sheetName val="PERAC-MCD"/>
    </sheetNames>
    <sheetDataSet>
      <sheetData sheetId="0">
        <row r="123">
          <cell r="A123">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Settings"/>
      <sheetName val="Energy Use Graphs"/>
      <sheetName val="CO2 Emissions Graphs"/>
      <sheetName val="Financi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Pop Density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Steam Use - iForest"/>
      <sheetName val="India Production by Subindustry"/>
      <sheetName val="India Pop Exposure Factor"/>
      <sheetName val="Geography Names Etc."/>
    </sheetNames>
    <sheetDataSet>
      <sheetData sheetId="0">
        <row r="5">
          <cell r="B5">
            <v>2070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User Settings"/>
      <sheetName val="Energy Use Graphs"/>
      <sheetName val="CO2 Emissions Graphs"/>
      <sheetName val="Finanic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Asian 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Production by Subindustry"/>
      <sheetName val="Geography Names Etc."/>
    </sheetNames>
    <sheetDataSet>
      <sheetData sheetId="0"/>
      <sheetData sheetId="1">
        <row r="5">
          <cell r="B5">
            <v>2070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E4">
            <v>2.9308323563892145E-2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ow r="10">
          <cell r="C10">
            <v>0.193</v>
          </cell>
        </row>
      </sheetData>
      <sheetData sheetId="10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mprint"/>
      <sheetName val="Calculator"/>
      <sheetName val="Results"/>
      <sheetName val="Chart table"/>
      <sheetName val="Input_Price"/>
      <sheetName val="Reference technology"/>
      <sheetName val="Heat Pumps"/>
      <sheetName val="Electric boiler"/>
      <sheetName val="Electricity supply scenarios"/>
      <sheetName val="Grid charges"/>
      <sheetName val="Sources"/>
    </sheetNames>
    <sheetDataSet>
      <sheetData sheetId="0" refreshError="1"/>
      <sheetData sheetId="1" refreshError="1"/>
      <sheetData sheetId="2">
        <row r="25">
          <cell r="G25">
            <v>6000</v>
          </cell>
        </row>
      </sheetData>
      <sheetData sheetId="3" refreshError="1"/>
      <sheetData sheetId="4" refreshError="1"/>
      <sheetData sheetId="5">
        <row r="22">
          <cell r="F22">
            <v>2000</v>
          </cell>
        </row>
        <row r="55">
          <cell r="G55">
            <v>6000</v>
          </cell>
        </row>
      </sheetData>
      <sheetData sheetId="6">
        <row r="36">
          <cell r="G36">
            <v>6000</v>
          </cell>
        </row>
      </sheetData>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Nik Anil Sawe" id="{04DE444D-9D1B-4089-AFE5-A6D692FB4808}" userId="S::sawe@stanford.edu::1fed2c22-145d-47f5-8d2a-b4e45e4e3b03" providerId="AD"/>
  <person displayName="Shahriar Mohammadzadeh" id="{B3F984AD-F555-43B9-82DB-292C65F66039}" userId="S::s.mohammadzadeh@agora-energiewende.de::bb558515-39d7-42c4-8be3-93e4fa2db25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8" dT="2025-01-03T22:48:32.17" personId="{04DE444D-9D1B-4089-AFE5-A6D692FB4808}" id="{D998E602-6977-404A-8516-5F3163F500FA}">
    <text>Left as original database, but I think it should be (small) not large, otherwise no difference in this and the next</text>
  </threadedComment>
</ThreadedComments>
</file>

<file path=xl/threadedComments/threadedComment2.xml><?xml version="1.0" encoding="utf-8"?>
<ThreadedComments xmlns="http://schemas.microsoft.com/office/spreadsheetml/2018/threadedcomments" xmlns:x="http://schemas.openxmlformats.org/spreadsheetml/2006/main">
  <threadedComment ref="I179" dT="2022-09-07T13:19:01.78" personId="{B3F984AD-F555-43B9-82DB-292C65F66039}" id="{5E978FEE-3A4F-4D76-BD00-3F86040CCADB}">
    <text>waste heat flow?</text>
  </threadedComment>
  <threadedComment ref="C191" dT="2022-09-07T13:04:50.12" personId="{B3F984AD-F555-43B9-82DB-292C65F66039}" id="{C3F9CBD2-8364-4F75-BCA9-724CEFE14729}">
    <tex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299DCF-922E-481B-815E-B55FD98932AA}">
  <we:reference id="WA200009404" version="1.0.0.8" store="Omex" storeType="OMEX"/>
  <we:alternateReferences>
    <we:reference id="WA200009404" version="1.0.0.8" store="WA200009404" storeType="OMEX"/>
  </we:alternateReferences>
  <we:properties>
    <we:property name="claude.fileId" value="&quot;fbc968f5-f3a5-471a-9b58-ceca04da106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pubs.acs.org/doi/10.1021/acs.iecr.4c02665" TargetMode="External"/><Relationship Id="rId13" Type="http://schemas.openxmlformats.org/officeDocument/2006/relationships/hyperlink" Target="https://www.researchgate.net/publication/330875028_Techno-economic_analysis_of_calcium_looping_processes_for_low_CO_2_emission_cement_plants" TargetMode="External"/><Relationship Id="rId18" Type="http://schemas.openxmlformats.org/officeDocument/2006/relationships/hyperlink" Target="https://www.osti.gov/servlets/purl/1077001" TargetMode="External"/><Relationship Id="rId3" Type="http://schemas.openxmlformats.org/officeDocument/2006/relationships/hyperlink" Target="https://onlinelibrary.wiley.com/doi/pdf/10.1002/9783527611119.app4" TargetMode="External"/><Relationship Id="rId21" Type="http://schemas.openxmlformats.org/officeDocument/2006/relationships/vmlDrawing" Target="../drawings/vmlDrawing1.vml"/><Relationship Id="rId7" Type="http://schemas.openxmlformats.org/officeDocument/2006/relationships/hyperlink" Target="https://www.diw.de/documents/publikationen/73/diw_01.c.901039.de/dp2082.pdf" TargetMode="External"/><Relationship Id="rId12" Type="http://schemas.openxmlformats.org/officeDocument/2006/relationships/hyperlink" Target="https://www.michigan.gov/-/media/Project/Websites/treasury/VOL/Vol236UIP12MiscellaneousIndustrialCosts.pdf?rev=b2a14a143c11493e8d0a30587afaa282" TargetMode="External"/><Relationship Id="rId17" Type="http://schemas.openxmlformats.org/officeDocument/2006/relationships/hyperlink" Target="https://media.copeland.com/1da81099-2c21-4ce5-8096-b16d0037b111/VILTER%20Heat%20Pump%20White%20Paper.pdf" TargetMode="External"/><Relationship Id="rId2" Type="http://schemas.openxmlformats.org/officeDocument/2006/relationships/hyperlink" Target="https://assessccus.globalco2initiative.org/wp-content/uploads/Capital-Equipment-Cost-Database.xlsx" TargetMode="External"/><Relationship Id="rId16" Type="http://schemas.openxmlformats.org/officeDocument/2006/relationships/hyperlink" Target="https://docs.nrel.gov/docs/fy18osti/70485.pdf" TargetMode="External"/><Relationship Id="rId20" Type="http://schemas.openxmlformats.org/officeDocument/2006/relationships/drawing" Target="../drawings/drawing1.xml"/><Relationship Id="rId1" Type="http://schemas.openxmlformats.org/officeDocument/2006/relationships/hyperlink" Target="https://www.globalco2initiative.org/" TargetMode="External"/><Relationship Id="rId6" Type="http://schemas.openxmlformats.org/officeDocument/2006/relationships/hyperlink" Target="https://www.sciencedirect.com/science/article/abs/pii/S0016236123020239" TargetMode="External"/><Relationship Id="rId11" Type="http://schemas.openxmlformats.org/officeDocument/2006/relationships/hyperlink" Target="https://www.cement.heidelbergmaterials.se/sites/default/files/assets/document/65/de/final_cemzero_2018_public_version_2.0.pdf.pdf" TargetMode="External"/><Relationship Id="rId5" Type="http://schemas.openxmlformats.org/officeDocument/2006/relationships/hyperlink" Target="https://liftoff.energy.gov/wp-content/uploads/2023/05/20230320-Liftoff-Clean-H2-vPUB-0329-update.pdf" TargetMode="External"/><Relationship Id="rId15" Type="http://schemas.openxmlformats.org/officeDocument/2006/relationships/hyperlink" Target="https://www.irena.org/-/media/Irena/Files/REmap/IRENA_REmap_2030_technology_cost.xlsx" TargetMode="External"/><Relationship Id="rId10" Type="http://schemas.openxmlformats.org/officeDocument/2006/relationships/hyperlink" Target="https://www.glass-ts.com/site/assets/files/1015/2004_-_a_study_of_the_balance_between_furnace_operating_parameters_and_recycled_glass_in_glass_melting_furnaces.pdf" TargetMode="External"/><Relationship Id="rId19" Type="http://schemas.openxmlformats.org/officeDocument/2006/relationships/hyperlink" Target="https://www.energy.gov/sites/prod/files/2016/06/f32/DOE-BTO%20Comml%20Appl%20Report%20-%20Full%20Report_0.pdf" TargetMode="External"/><Relationship Id="rId4" Type="http://schemas.openxmlformats.org/officeDocument/2006/relationships/hyperlink" Target="https://www.energy.gov/sites/prod/files/2014/04/f15/mtrmkt.pdf" TargetMode="External"/><Relationship Id="rId9" Type="http://schemas.openxmlformats.org/officeDocument/2006/relationships/hyperlink" Target="https://www.energy-transitions.org/wp-content/uploads/2023/03/Unlocking-the-First-Wave-of-Breakthrough-Steel-Investments-in-France-March-2022.pdf" TargetMode="External"/><Relationship Id="rId14" Type="http://schemas.openxmlformats.org/officeDocument/2006/relationships/hyperlink" Target="https://heatpumpingtechnologies.org/project68/task1/" TargetMode="External"/><Relationship Id="rId2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www.unitconverters.net/power/horsepower-boiler-to-kilowatt.htm" TargetMode="External"/><Relationship Id="rId1" Type="http://schemas.openxmlformats.org/officeDocument/2006/relationships/hyperlink" Target="https://www.unitconverters.net/power/horsepower-boiler-to-kilowatt.htm"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8" Type="http://schemas.openxmlformats.org/officeDocument/2006/relationships/hyperlink" Target="https://www.cement.heidelbergmaterials.se/sites/default/files/assets/document/65/de/final_cemzero_2018_public_version_2.0.pdf.pdf" TargetMode="External"/><Relationship Id="rId13" Type="http://schemas.openxmlformats.org/officeDocument/2006/relationships/vmlDrawing" Target="../drawings/vmlDrawing4.vml"/><Relationship Id="rId3" Type="http://schemas.openxmlformats.org/officeDocument/2006/relationships/hyperlink" Target="https://pubs.acs.org/doi/10.1021/acs.iecr.4c02665" TargetMode="External"/><Relationship Id="rId7" Type="http://schemas.openxmlformats.org/officeDocument/2006/relationships/hyperlink" Target="https://www.sciencedirect.com/science/article/pii/S0959652618326301" TargetMode="External"/><Relationship Id="rId12" Type="http://schemas.openxmlformats.org/officeDocument/2006/relationships/hyperlink" Target="https://www.researchgate.net/publication/330875028_Techno-economic_analysis_of_calcium_looping_processes_for_low_CO_2_emission_cement_plants" TargetMode="External"/><Relationship Id="rId2" Type="http://schemas.openxmlformats.org/officeDocument/2006/relationships/hyperlink" Target="https://www.diw.de/documents/publikationen/73/diw_01.c.901039.de/dp2082.pdf" TargetMode="External"/><Relationship Id="rId1" Type="http://schemas.openxmlformats.org/officeDocument/2006/relationships/hyperlink" Target="https://www.energy-transitions.org/wp-content/uploads/2023/03/Unlocking-the-First-Wave-of-Breakthrough-Steel-Investments-in-France-March-2022.pdf" TargetMode="External"/><Relationship Id="rId6" Type="http://schemas.openxmlformats.org/officeDocument/2006/relationships/hyperlink" Target="https://onlinelibrary.wiley.com/doi/epdf/10.1002/srin.202000110" TargetMode="External"/><Relationship Id="rId11" Type="http://schemas.openxmlformats.org/officeDocument/2006/relationships/hyperlink" Target="https://www.wri.org/insights/lower-carbon-blended-cement" TargetMode="External"/><Relationship Id="rId5" Type="http://schemas.openxmlformats.org/officeDocument/2006/relationships/hyperlink" Target="https:/www.glass-ts.com/site/assets/files/1015/2004_-_a_study_of_the_balance_between_furnace_operating_parameters_and_recycled_glass_in_glass_melting_furnaces.pdf" TargetMode="External"/><Relationship Id="rId10" Type="http://schemas.openxmlformats.org/officeDocument/2006/relationships/hyperlink" Target="\Users\sonalideshpande\Library\Containers\com.microsoft.Outlook\Data\tmp\Outlook%20Temp\How%20much%20does%20it%20cost%20to%20build%20a%20rotary%20kiln%20with%20a%20daily%20output%20of%20600%20tons" TargetMode="External"/><Relationship Id="rId4" Type="http://schemas.openxmlformats.org/officeDocument/2006/relationships/hyperlink" Target="https:/www.glass-ts.com/site/assets/files/1015/2004_-_a_study_of_the_balance_between_furnace_operating_parameters_and_recycled_glass_in_glass_melting_furnaces.pdf" TargetMode="External"/><Relationship Id="rId9" Type="http://schemas.openxmlformats.org/officeDocument/2006/relationships/hyperlink" Target="\Users\sonalideshpande\Library\Containers\com.microsoft.Outlook\Data\tmp\Outlook%20Temp\How%20much%20does%20it%20cost%20to%20build%20a%20rotary%20kiln%20with%20a%20daily%20output%20of%20600%20tons" TargetMode="External"/><Relationship Id="rId1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epa.gov/general-conformity/general-conformity-training-modules-appendix-sample-emissions-calculations" TargetMode="External"/><Relationship Id="rId2" Type="http://schemas.openxmlformats.org/officeDocument/2006/relationships/hyperlink" Target="https://www.epa.gov/general-conformity/general-conformity-training-modules-appendix-sample-emissions-calculations" TargetMode="External"/><Relationship Id="rId1" Type="http://schemas.openxmlformats.org/officeDocument/2006/relationships/hyperlink" Target="https://www.rockefellerfoundation.org/wp-content/uploads/2020/12/EE-Download-Opportunity-Datasheet-Detailed-Cost-Models-and-Benchmarks.pdf" TargetMode="External"/><Relationship Id="rId6" Type="http://schemas.microsoft.com/office/2017/10/relationships/threadedComment" Target="../threadedComments/threadedComment1.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hadowindustrial.co.uk/shadow-18kw-industrial-infrared-heater-with-variable-control-system-1641371.html"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4.bin"/><Relationship Id="rId1" Type="http://schemas.openxmlformats.org/officeDocument/2006/relationships/hyperlink" Target="https://iea.blob.core.windows.net/assets/e4a7e1a5-b6ed-4f36-911f-b0111e49aab9/WorldEnergyOutlook2016ExcerptWaterEnergyNexus.pdf" TargetMode="External"/><Relationship Id="rId4" Type="http://schemas.openxmlformats.org/officeDocument/2006/relationships/comments" Target="../comments8.xml"/></Relationships>
</file>

<file path=xl/worksheets/_rels/sheet3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A314-6128-4FC9-9CED-BF85AF9DB226}">
  <dimension ref="A1:D159"/>
  <sheetViews>
    <sheetView tabSelected="1" topLeftCell="A128" workbookViewId="0">
      <selection activeCell="F152" sqref="F152"/>
    </sheetView>
  </sheetViews>
  <sheetFormatPr defaultColWidth="8.85546875" defaultRowHeight="15"/>
  <cols>
    <col min="2" max="2" width="76.42578125" customWidth="1"/>
    <col min="4" max="4" width="49.85546875" customWidth="1"/>
  </cols>
  <sheetData>
    <row r="1" spans="1:4">
      <c r="A1" s="1" t="s">
        <v>357</v>
      </c>
    </row>
    <row r="2" spans="1:4">
      <c r="A2" s="417" t="s">
        <v>1147</v>
      </c>
    </row>
    <row r="3" spans="1:4">
      <c r="A3" s="1" t="s">
        <v>0</v>
      </c>
      <c r="B3" s="16" t="s">
        <v>17</v>
      </c>
      <c r="D3" s="16" t="s">
        <v>245</v>
      </c>
    </row>
    <row r="4" spans="1:4">
      <c r="A4" s="1"/>
      <c r="B4" t="s">
        <v>406</v>
      </c>
      <c r="D4" t="s">
        <v>232</v>
      </c>
    </row>
    <row r="5" spans="1:4">
      <c r="A5" s="1"/>
      <c r="B5" s="13">
        <v>2025</v>
      </c>
      <c r="D5" s="38">
        <v>2016</v>
      </c>
    </row>
    <row r="6" spans="1:4">
      <c r="A6" s="1"/>
      <c r="B6" t="s">
        <v>407</v>
      </c>
      <c r="D6" t="s">
        <v>233</v>
      </c>
    </row>
    <row r="7" spans="1:4">
      <c r="A7" s="1"/>
      <c r="B7" s="58" t="s">
        <v>408</v>
      </c>
      <c r="D7" s="15" t="s">
        <v>234</v>
      </c>
    </row>
    <row r="8" spans="1:4">
      <c r="A8" s="1"/>
      <c r="B8" t="s">
        <v>409</v>
      </c>
    </row>
    <row r="9" spans="1:4">
      <c r="A9" s="1"/>
      <c r="D9" s="16" t="s">
        <v>235</v>
      </c>
    </row>
    <row r="10" spans="1:4">
      <c r="A10" s="1"/>
      <c r="B10" s="16" t="s">
        <v>405</v>
      </c>
      <c r="D10" t="s">
        <v>236</v>
      </c>
    </row>
    <row r="11" spans="1:4">
      <c r="B11" t="s">
        <v>522</v>
      </c>
      <c r="D11" s="38">
        <v>2013</v>
      </c>
    </row>
    <row r="12" spans="1:4">
      <c r="B12" s="13">
        <v>2011</v>
      </c>
      <c r="D12" t="s">
        <v>237</v>
      </c>
    </row>
    <row r="13" spans="1:4">
      <c r="B13" s="14" t="s">
        <v>16</v>
      </c>
      <c r="D13" s="15" t="s">
        <v>238</v>
      </c>
    </row>
    <row r="14" spans="1:4">
      <c r="B14" s="15" t="s">
        <v>523</v>
      </c>
    </row>
    <row r="15" spans="1:4">
      <c r="B15" t="s">
        <v>524</v>
      </c>
    </row>
    <row r="17" spans="2:4">
      <c r="B17" s="16" t="s">
        <v>514</v>
      </c>
      <c r="D17" s="16" t="s">
        <v>39</v>
      </c>
    </row>
    <row r="18" spans="2:4">
      <c r="B18" t="s">
        <v>33</v>
      </c>
      <c r="D18" t="s">
        <v>40</v>
      </c>
    </row>
    <row r="19" spans="2:4">
      <c r="B19" s="13">
        <v>2016</v>
      </c>
      <c r="D19" t="s">
        <v>41</v>
      </c>
    </row>
    <row r="20" spans="2:4">
      <c r="B20" t="s">
        <v>35</v>
      </c>
      <c r="D20" s="14">
        <v>2020</v>
      </c>
    </row>
    <row r="21" spans="2:4">
      <c r="B21" s="15" t="s">
        <v>34</v>
      </c>
      <c r="D21" s="15" t="s">
        <v>42</v>
      </c>
    </row>
    <row r="23" spans="2:4">
      <c r="B23" s="71" t="s">
        <v>519</v>
      </c>
      <c r="D23" s="16" t="s">
        <v>149</v>
      </c>
    </row>
    <row r="24" spans="2:4">
      <c r="B24" t="s">
        <v>263</v>
      </c>
      <c r="D24" s="15" t="s">
        <v>150</v>
      </c>
    </row>
    <row r="25" spans="2:4">
      <c r="B25" s="13">
        <v>2003</v>
      </c>
    </row>
    <row r="26" spans="2:4">
      <c r="B26" t="s">
        <v>264</v>
      </c>
      <c r="D26" t="s">
        <v>152</v>
      </c>
    </row>
    <row r="27" spans="2:4">
      <c r="B27" s="15" t="s">
        <v>265</v>
      </c>
      <c r="D27" s="15" t="s">
        <v>151</v>
      </c>
    </row>
    <row r="28" spans="2:4">
      <c r="B28" t="s">
        <v>266</v>
      </c>
    </row>
    <row r="30" spans="2:4">
      <c r="B30" s="71" t="s">
        <v>519</v>
      </c>
      <c r="D30" s="16" t="s">
        <v>68</v>
      </c>
    </row>
    <row r="31" spans="2:4">
      <c r="B31" t="s">
        <v>515</v>
      </c>
      <c r="D31" t="s">
        <v>69</v>
      </c>
    </row>
    <row r="32" spans="2:4">
      <c r="B32" s="13">
        <v>2017</v>
      </c>
      <c r="D32" t="s">
        <v>70</v>
      </c>
    </row>
    <row r="33" spans="2:4">
      <c r="B33" t="s">
        <v>516</v>
      </c>
      <c r="D33" t="s">
        <v>72</v>
      </c>
    </row>
    <row r="34" spans="2:4">
      <c r="B34" s="15" t="s">
        <v>517</v>
      </c>
      <c r="D34" t="s">
        <v>71</v>
      </c>
    </row>
    <row r="35" spans="2:4">
      <c r="B35" t="s">
        <v>518</v>
      </c>
    </row>
    <row r="37" spans="2:4">
      <c r="B37" s="16" t="s">
        <v>181</v>
      </c>
      <c r="D37" s="16" t="s">
        <v>88</v>
      </c>
    </row>
    <row r="38" spans="2:4">
      <c r="B38" s="1" t="s">
        <v>192</v>
      </c>
      <c r="D38" t="s">
        <v>91</v>
      </c>
    </row>
    <row r="39" spans="2:4">
      <c r="B39" t="s">
        <v>182</v>
      </c>
      <c r="D39" t="s">
        <v>70</v>
      </c>
    </row>
    <row r="40" spans="2:4">
      <c r="B40" t="s">
        <v>183</v>
      </c>
      <c r="D40" t="s">
        <v>89</v>
      </c>
    </row>
    <row r="41" spans="2:4">
      <c r="B41" s="13">
        <v>2024</v>
      </c>
      <c r="D41" t="s">
        <v>90</v>
      </c>
    </row>
    <row r="42" spans="2:4" ht="30">
      <c r="B42" s="3" t="s">
        <v>184</v>
      </c>
    </row>
    <row r="43" spans="2:4">
      <c r="B43" s="35" t="s">
        <v>185</v>
      </c>
    </row>
    <row r="44" spans="2:4">
      <c r="B44" s="35"/>
    </row>
    <row r="45" spans="2:4">
      <c r="B45" t="s">
        <v>157</v>
      </c>
    </row>
    <row r="46" spans="2:4">
      <c r="B46" t="s">
        <v>167</v>
      </c>
    </row>
    <row r="47" spans="2:4">
      <c r="B47" s="13">
        <v>2024</v>
      </c>
    </row>
    <row r="48" spans="2:4" ht="30">
      <c r="B48" s="3" t="s">
        <v>186</v>
      </c>
    </row>
    <row r="49" spans="2:2">
      <c r="B49" s="3" t="s">
        <v>187</v>
      </c>
    </row>
    <row r="50" spans="2:2">
      <c r="B50" s="35" t="s">
        <v>188</v>
      </c>
    </row>
    <row r="51" spans="2:2">
      <c r="B51" s="3"/>
    </row>
    <row r="52" spans="2:2">
      <c r="B52" s="3" t="s">
        <v>189</v>
      </c>
    </row>
    <row r="53" spans="2:2">
      <c r="B53" s="3" t="s">
        <v>170</v>
      </c>
    </row>
    <row r="54" spans="2:2">
      <c r="B54" s="36">
        <v>44621</v>
      </c>
    </row>
    <row r="55" spans="2:2">
      <c r="B55" s="36" t="s">
        <v>190</v>
      </c>
    </row>
    <row r="56" spans="2:2" ht="30">
      <c r="B56" s="37" t="s">
        <v>191</v>
      </c>
    </row>
    <row r="57" spans="2:2">
      <c r="B57" s="37"/>
    </row>
    <row r="58" spans="2:2">
      <c r="B58" s="1" t="s">
        <v>206</v>
      </c>
    </row>
    <row r="59" spans="2:2">
      <c r="B59" t="s">
        <v>207</v>
      </c>
    </row>
    <row r="60" spans="2:2">
      <c r="B60" s="13">
        <v>2018</v>
      </c>
    </row>
    <row r="61" spans="2:2">
      <c r="B61" s="15" t="s">
        <v>208</v>
      </c>
    </row>
    <row r="62" spans="2:2">
      <c r="B62" s="15"/>
    </row>
    <row r="63" spans="2:2">
      <c r="B63" t="s">
        <v>229</v>
      </c>
    </row>
    <row r="64" spans="2:2">
      <c r="B64" s="13">
        <v>2024</v>
      </c>
    </row>
    <row r="65" spans="2:2">
      <c r="B65" t="s">
        <v>230</v>
      </c>
    </row>
    <row r="66" spans="2:2">
      <c r="B66" t="s">
        <v>231</v>
      </c>
    </row>
    <row r="68" spans="2:2">
      <c r="B68" s="1" t="s">
        <v>289</v>
      </c>
    </row>
    <row r="69" spans="2:2">
      <c r="B69" t="s">
        <v>290</v>
      </c>
    </row>
    <row r="70" spans="2:2">
      <c r="B70" s="13">
        <v>2019</v>
      </c>
    </row>
    <row r="71" spans="2:2">
      <c r="B71" t="s">
        <v>291</v>
      </c>
    </row>
    <row r="72" spans="2:2">
      <c r="B72" s="15" t="s">
        <v>286</v>
      </c>
    </row>
    <row r="73" spans="2:2">
      <c r="B73" t="s">
        <v>292</v>
      </c>
    </row>
    <row r="76" spans="2:2">
      <c r="B76" s="31" t="s">
        <v>193</v>
      </c>
    </row>
    <row r="77" spans="2:2">
      <c r="B77" s="36" t="s">
        <v>194</v>
      </c>
    </row>
    <row r="78" spans="2:2">
      <c r="B78" s="36">
        <v>38231</v>
      </c>
    </row>
    <row r="79" spans="2:2" ht="30">
      <c r="B79" s="36" t="s">
        <v>195</v>
      </c>
    </row>
    <row r="80" spans="2:2" ht="45">
      <c r="B80" s="37" t="s">
        <v>196</v>
      </c>
    </row>
    <row r="81" spans="2:2">
      <c r="B81" s="36"/>
    </row>
    <row r="82" spans="2:2">
      <c r="B82" s="16" t="s">
        <v>294</v>
      </c>
    </row>
    <row r="83" spans="2:2">
      <c r="B83" s="15" t="s">
        <v>114</v>
      </c>
    </row>
    <row r="84" spans="2:2">
      <c r="B84" s="15" t="s">
        <v>115</v>
      </c>
    </row>
    <row r="85" spans="2:2">
      <c r="B85" t="s">
        <v>119</v>
      </c>
    </row>
    <row r="87" spans="2:2">
      <c r="B87" t="s">
        <v>116</v>
      </c>
    </row>
    <row r="88" spans="2:2">
      <c r="B88" t="s">
        <v>117</v>
      </c>
    </row>
    <row r="89" spans="2:2">
      <c r="B89" s="13">
        <v>2007</v>
      </c>
    </row>
    <row r="90" spans="2:2">
      <c r="B90" s="15" t="s">
        <v>118</v>
      </c>
    </row>
    <row r="92" spans="2:2">
      <c r="B92" t="s">
        <v>345</v>
      </c>
    </row>
    <row r="93" spans="2:2">
      <c r="B93" t="s">
        <v>123</v>
      </c>
    </row>
    <row r="94" spans="2:2">
      <c r="B94" t="s">
        <v>122</v>
      </c>
    </row>
    <row r="95" spans="2:2">
      <c r="B95" s="15" t="s">
        <v>124</v>
      </c>
    </row>
    <row r="97" spans="1:2">
      <c r="B97" s="1" t="s">
        <v>544</v>
      </c>
    </row>
    <row r="98" spans="1:2">
      <c r="B98" t="s">
        <v>548</v>
      </c>
    </row>
    <row r="99" spans="1:2">
      <c r="B99">
        <v>2025</v>
      </c>
    </row>
    <row r="100" spans="1:2">
      <c r="B100" t="s">
        <v>545</v>
      </c>
    </row>
    <row r="101" spans="1:2">
      <c r="B101" t="s">
        <v>546</v>
      </c>
    </row>
    <row r="102" spans="1:2">
      <c r="B102" t="s">
        <v>547</v>
      </c>
    </row>
    <row r="111" spans="1:2">
      <c r="A111" t="s">
        <v>370</v>
      </c>
    </row>
    <row r="112" spans="1:2">
      <c r="A112">
        <v>138490</v>
      </c>
      <c r="B112" t="s">
        <v>371</v>
      </c>
    </row>
    <row r="113" spans="1:3">
      <c r="A113" t="s">
        <v>372</v>
      </c>
    </row>
    <row r="114" spans="1:3">
      <c r="A114">
        <v>3412.14</v>
      </c>
      <c r="B114" t="s">
        <v>30</v>
      </c>
    </row>
    <row r="117" spans="1:3">
      <c r="A117">
        <v>0.78452102304761584</v>
      </c>
      <c r="B117" t="s">
        <v>392</v>
      </c>
    </row>
    <row r="118" spans="1:3">
      <c r="A118">
        <v>0.84730412960844359</v>
      </c>
      <c r="B118" t="s">
        <v>401</v>
      </c>
    </row>
    <row r="120" spans="1:3">
      <c r="A120" s="1" t="s">
        <v>550</v>
      </c>
    </row>
    <row r="121" spans="1:3">
      <c r="A121" t="s">
        <v>551</v>
      </c>
      <c r="B121" t="s">
        <v>552</v>
      </c>
      <c r="C121" t="s">
        <v>553</v>
      </c>
    </row>
    <row r="122" spans="1:3">
      <c r="A122">
        <v>2004</v>
      </c>
      <c r="B122">
        <v>188.9</v>
      </c>
      <c r="C122">
        <f t="shared" ref="C122:C130" si="0">$B$123/B122</f>
        <v>1.2154261514028586</v>
      </c>
    </row>
    <row r="123" spans="1:3">
      <c r="A123">
        <v>2012</v>
      </c>
      <c r="B123">
        <v>229.59399999999999</v>
      </c>
      <c r="C123">
        <f t="shared" si="0"/>
        <v>1</v>
      </c>
    </row>
    <row r="124" spans="1:3">
      <c r="A124">
        <v>2013</v>
      </c>
      <c r="B124">
        <v>232.95699999999999</v>
      </c>
      <c r="C124">
        <f t="shared" si="0"/>
        <v>0.98556385942470071</v>
      </c>
    </row>
    <row r="125" spans="1:3">
      <c r="A125">
        <v>2015</v>
      </c>
      <c r="B125">
        <v>237.017</v>
      </c>
      <c r="C125">
        <f t="shared" si="0"/>
        <v>0.9686815713640794</v>
      </c>
    </row>
    <row r="126" spans="1:3">
      <c r="A126">
        <v>2016</v>
      </c>
      <c r="B126">
        <v>240.00700000000001</v>
      </c>
      <c r="C126">
        <f t="shared" si="0"/>
        <v>0.95661376543184151</v>
      </c>
    </row>
    <row r="127" spans="1:3">
      <c r="A127">
        <v>2020</v>
      </c>
      <c r="B127">
        <v>258.81099999999998</v>
      </c>
      <c r="C127">
        <f t="shared" si="0"/>
        <v>0.88711067149387013</v>
      </c>
    </row>
    <row r="128" spans="1:3">
      <c r="A128">
        <v>2021</v>
      </c>
      <c r="B128">
        <v>270.97000000000003</v>
      </c>
      <c r="C128">
        <f t="shared" si="0"/>
        <v>0.84730412960844359</v>
      </c>
    </row>
    <row r="129" spans="1:4">
      <c r="A129">
        <v>2022</v>
      </c>
      <c r="B129">
        <v>292.65499999999997</v>
      </c>
      <c r="C129">
        <f t="shared" si="0"/>
        <v>0.78452102304761584</v>
      </c>
    </row>
    <row r="130" spans="1:4">
      <c r="A130">
        <v>2024</v>
      </c>
      <c r="B130">
        <v>313.68900000000002</v>
      </c>
      <c r="C130">
        <f t="shared" si="0"/>
        <v>0.73191600598044548</v>
      </c>
    </row>
    <row r="131" spans="1:4">
      <c r="A131">
        <v>1987</v>
      </c>
      <c r="B131" s="188">
        <f>cpi!D25</f>
        <v>113.6</v>
      </c>
      <c r="C131">
        <f>$B$123/B131</f>
        <v>2.021073943661972</v>
      </c>
      <c r="D131" s="38" t="s">
        <v>840</v>
      </c>
    </row>
    <row r="132" spans="1:4">
      <c r="A132">
        <v>2011</v>
      </c>
      <c r="B132" s="188">
        <f>cpi!D49</f>
        <v>224.93899999999999</v>
      </c>
      <c r="C132">
        <f>$B$123/B132</f>
        <v>1.0206944993976144</v>
      </c>
      <c r="D132" s="38" t="s">
        <v>848</v>
      </c>
    </row>
    <row r="133" spans="1:4">
      <c r="A133">
        <v>2019</v>
      </c>
      <c r="B133" s="188">
        <f>cpi!D57</f>
        <v>255.65700000000001</v>
      </c>
      <c r="C133">
        <f>$B$123/B133</f>
        <v>0.89805481563188172</v>
      </c>
      <c r="D133" s="38" t="s">
        <v>1145</v>
      </c>
    </row>
    <row r="136" spans="1:4">
      <c r="A136" s="78" t="s">
        <v>1225</v>
      </c>
    </row>
    <row r="137" spans="1:4">
      <c r="A137" s="38" t="s">
        <v>1226</v>
      </c>
    </row>
    <row r="138" spans="1:4">
      <c r="A138" s="38" t="s">
        <v>1227</v>
      </c>
    </row>
    <row r="139" spans="1:4">
      <c r="A139" s="38" t="s">
        <v>1228</v>
      </c>
    </row>
    <row r="140" spans="1:4">
      <c r="A140" s="38" t="s">
        <v>1229</v>
      </c>
    </row>
    <row r="141" spans="1:4">
      <c r="A141" s="38" t="s">
        <v>1230</v>
      </c>
    </row>
    <row r="142" spans="1:4">
      <c r="A142" s="38" t="s">
        <v>1231</v>
      </c>
    </row>
    <row r="143" spans="1:4">
      <c r="A143" s="38" t="s">
        <v>1232</v>
      </c>
    </row>
    <row r="144" spans="1:4">
      <c r="A144" s="38" t="s">
        <v>1233</v>
      </c>
    </row>
    <row r="145" spans="1:1">
      <c r="A145" s="38" t="s">
        <v>1234</v>
      </c>
    </row>
    <row r="147" spans="1:1">
      <c r="A147" s="78" t="s">
        <v>1235</v>
      </c>
    </row>
    <row r="148" spans="1:1">
      <c r="A148" s="38" t="s">
        <v>1236</v>
      </c>
    </row>
    <row r="149" spans="1:1">
      <c r="A149" s="38" t="s">
        <v>1237</v>
      </c>
    </row>
    <row r="150" spans="1:1">
      <c r="A150" s="38" t="s">
        <v>1238</v>
      </c>
    </row>
    <row r="151" spans="1:1">
      <c r="A151" s="38" t="s">
        <v>1239</v>
      </c>
    </row>
    <row r="152" spans="1:1">
      <c r="A152" s="38" t="s">
        <v>1240</v>
      </c>
    </row>
    <row r="153" spans="1:1">
      <c r="A153" s="38" t="s">
        <v>1241</v>
      </c>
    </row>
    <row r="154" spans="1:1">
      <c r="A154" s="38" t="s">
        <v>1242</v>
      </c>
    </row>
    <row r="156" spans="1:1">
      <c r="A156" s="83" t="s">
        <v>1243</v>
      </c>
    </row>
    <row r="157" spans="1:1">
      <c r="A157" s="38" t="s">
        <v>1244</v>
      </c>
    </row>
    <row r="158" spans="1:1">
      <c r="A158" s="80" t="s">
        <v>1247</v>
      </c>
    </row>
    <row r="159" spans="1:1">
      <c r="A159" s="38" t="s">
        <v>1245</v>
      </c>
    </row>
  </sheetData>
  <hyperlinks>
    <hyperlink ref="B83" r:id="rId1" xr:uid="{810625CC-59B0-4E09-BD8A-7942EF52112A}"/>
    <hyperlink ref="B84" r:id="rId2" xr:uid="{DE5DC99A-D169-4E5D-98F4-A0C74D220DA2}"/>
    <hyperlink ref="B90" r:id="rId3" xr:uid="{EC39133E-2B1E-4926-9BAB-A0BC92F6703D}"/>
    <hyperlink ref="B95" r:id="rId4" xr:uid="{5CBB2DBF-381E-4F40-8899-29D4B5FC9B35}"/>
    <hyperlink ref="D24" r:id="rId5" display="Data from the DOE's Pathways to Commercial Liftoff: Clean Hydrogen (p.13, p.88)" xr:uid="{451B96CC-C781-4216-8C03-8132EE3013B2}"/>
    <hyperlink ref="D27" r:id="rId6" xr:uid="{8276223D-26B3-43EA-A781-2BDC0C41D374}"/>
    <hyperlink ref="B43" r:id="rId7" xr:uid="{C723E247-B6C1-46C7-B576-CF146861E8AC}"/>
    <hyperlink ref="B50" r:id="rId8" xr:uid="{BA83290A-C082-4AAB-AFC4-39DE2DEA36E6}"/>
    <hyperlink ref="B56" r:id="rId9" xr:uid="{437DE8DA-77A2-48D0-8792-6CEB29629218}"/>
    <hyperlink ref="B80" r:id="rId10" xr:uid="{8C5AD67E-D9AA-4BD2-BE55-FC759DD68FCE}"/>
    <hyperlink ref="B61" r:id="rId11" xr:uid="{D30485F8-6CEE-4196-A36A-BE4A2803E3DD}"/>
    <hyperlink ref="B27" r:id="rId12" xr:uid="{27F2C98F-DA26-4901-A0EB-6AC6A38F1C0C}"/>
    <hyperlink ref="B72" r:id="rId13" xr:uid="{561EFB21-D77A-400A-A718-A022D22539BB}"/>
    <hyperlink ref="B7" r:id="rId14" xr:uid="{5D5D64FB-C534-49E1-91CF-E9DAD8703987}"/>
    <hyperlink ref="B21" r:id="rId15" xr:uid="{889A0153-4527-40B1-9E1F-CD0F47C08845}"/>
    <hyperlink ref="B34" r:id="rId16" xr:uid="{914B6605-732A-4137-9624-39ADEA1A5BC5}"/>
    <hyperlink ref="B14" r:id="rId17" xr:uid="{A729C781-885E-416E-A374-5F19DB0179E8}"/>
    <hyperlink ref="D13" r:id="rId18" xr:uid="{D0781D44-31AC-BC44-B7B2-E83275B62102}"/>
    <hyperlink ref="D7" r:id="rId19" xr:uid="{07F897CB-7353-674E-92F0-010511F2EA56}"/>
  </hyperlinks>
  <pageMargins left="0.7" right="0.7" top="0.75" bottom="0.75" header="0.3" footer="0.3"/>
  <drawing r:id="rId20"/>
  <legacyDrawing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A0AA-44F7-4D80-A921-78BF341543E0}">
  <dimension ref="A1:O64"/>
  <sheetViews>
    <sheetView topLeftCell="A45" workbookViewId="0">
      <selection activeCell="K71" sqref="K71"/>
    </sheetView>
  </sheetViews>
  <sheetFormatPr defaultRowHeight="15"/>
  <cols>
    <col min="14" max="14" width="10.5703125" customWidth="1"/>
    <col min="15" max="15" width="28.140625" customWidth="1"/>
  </cols>
  <sheetData>
    <row r="1" spans="1:7">
      <c r="A1" t="s">
        <v>1148</v>
      </c>
    </row>
    <row r="2" spans="1:7">
      <c r="A2" t="s">
        <v>1149</v>
      </c>
    </row>
    <row r="3" spans="1:7">
      <c r="A3" t="s">
        <v>1150</v>
      </c>
    </row>
    <row r="4" spans="1:7">
      <c r="A4" t="s">
        <v>551</v>
      </c>
      <c r="B4" t="s">
        <v>1151</v>
      </c>
      <c r="D4" t="s">
        <v>1152</v>
      </c>
      <c r="E4" t="s">
        <v>1153</v>
      </c>
      <c r="G4" s="1" t="s">
        <v>1154</v>
      </c>
    </row>
    <row r="5" spans="1:7">
      <c r="B5" t="s">
        <v>1155</v>
      </c>
      <c r="C5" t="s">
        <v>1156</v>
      </c>
      <c r="E5" t="s">
        <v>1157</v>
      </c>
      <c r="F5" t="s">
        <v>1152</v>
      </c>
    </row>
    <row r="6" spans="1:7">
      <c r="A6" t="s">
        <v>1158</v>
      </c>
      <c r="B6" t="s">
        <v>1159</v>
      </c>
      <c r="C6" t="s">
        <v>1159</v>
      </c>
      <c r="D6">
        <v>34.799999999999997</v>
      </c>
      <c r="E6">
        <v>4.7</v>
      </c>
      <c r="F6">
        <v>4.2</v>
      </c>
    </row>
    <row r="7" spans="1:7">
      <c r="A7" t="s">
        <v>1160</v>
      </c>
      <c r="B7" t="s">
        <v>1159</v>
      </c>
      <c r="C7" t="s">
        <v>1159</v>
      </c>
      <c r="D7">
        <v>36.700000000000003</v>
      </c>
      <c r="E7">
        <v>6.2</v>
      </c>
      <c r="F7">
        <v>5.5</v>
      </c>
    </row>
    <row r="8" spans="1:7">
      <c r="A8" t="s">
        <v>1161</v>
      </c>
      <c r="B8" t="s">
        <v>1159</v>
      </c>
      <c r="C8" t="s">
        <v>1159</v>
      </c>
      <c r="D8">
        <v>38.799999999999997</v>
      </c>
      <c r="E8">
        <v>5.6</v>
      </c>
      <c r="F8">
        <v>5.7</v>
      </c>
    </row>
    <row r="9" spans="1:7">
      <c r="A9" t="s">
        <v>1162</v>
      </c>
      <c r="B9" t="s">
        <v>1159</v>
      </c>
      <c r="C9" t="s">
        <v>1159</v>
      </c>
      <c r="D9">
        <v>40.5</v>
      </c>
      <c r="E9">
        <v>3.3</v>
      </c>
      <c r="F9">
        <v>4.4000000000000004</v>
      </c>
    </row>
    <row r="10" spans="1:7">
      <c r="A10" t="s">
        <v>1163</v>
      </c>
      <c r="B10" t="s">
        <v>1159</v>
      </c>
      <c r="C10" t="s">
        <v>1159</v>
      </c>
      <c r="D10">
        <v>41.8</v>
      </c>
      <c r="E10">
        <v>3.4</v>
      </c>
      <c r="F10">
        <v>3.2</v>
      </c>
    </row>
    <row r="11" spans="1:7">
      <c r="A11" t="s">
        <v>1164</v>
      </c>
      <c r="B11" t="s">
        <v>1159</v>
      </c>
      <c r="C11" t="s">
        <v>1159</v>
      </c>
      <c r="D11">
        <v>44.4</v>
      </c>
      <c r="E11">
        <v>8.6999999999999993</v>
      </c>
      <c r="F11">
        <v>6.2</v>
      </c>
    </row>
    <row r="12" spans="1:7">
      <c r="A12" t="s">
        <v>1165</v>
      </c>
      <c r="B12" t="s">
        <v>1159</v>
      </c>
      <c r="C12" t="s">
        <v>1159</v>
      </c>
      <c r="D12">
        <v>49.3</v>
      </c>
      <c r="E12">
        <v>12.3</v>
      </c>
      <c r="F12">
        <v>11</v>
      </c>
    </row>
    <row r="13" spans="1:7">
      <c r="A13" t="s">
        <v>1166</v>
      </c>
      <c r="B13" t="s">
        <v>1159</v>
      </c>
      <c r="C13" t="s">
        <v>1159</v>
      </c>
      <c r="D13">
        <v>53.8</v>
      </c>
      <c r="E13">
        <v>6.9</v>
      </c>
      <c r="F13">
        <v>9.1</v>
      </c>
    </row>
    <row r="14" spans="1:7">
      <c r="A14" t="s">
        <v>1167</v>
      </c>
      <c r="B14" t="s">
        <v>1159</v>
      </c>
      <c r="C14" t="s">
        <v>1159</v>
      </c>
      <c r="D14">
        <v>56.9</v>
      </c>
      <c r="E14">
        <v>4.9000000000000004</v>
      </c>
      <c r="F14">
        <v>5.8</v>
      </c>
    </row>
    <row r="15" spans="1:7">
      <c r="A15" t="s">
        <v>1168</v>
      </c>
      <c r="B15" t="s">
        <v>1159</v>
      </c>
      <c r="C15" t="s">
        <v>1159</v>
      </c>
      <c r="D15">
        <v>60.6</v>
      </c>
      <c r="E15">
        <v>6.7</v>
      </c>
      <c r="F15">
        <v>6.5</v>
      </c>
    </row>
    <row r="16" spans="1:7">
      <c r="A16" t="s">
        <v>1169</v>
      </c>
      <c r="B16" t="s">
        <v>1159</v>
      </c>
      <c r="C16" t="s">
        <v>1159</v>
      </c>
      <c r="D16">
        <v>65.2</v>
      </c>
      <c r="E16">
        <v>9</v>
      </c>
      <c r="F16">
        <v>7.6</v>
      </c>
    </row>
    <row r="17" spans="1:15">
      <c r="A17" t="s">
        <v>1170</v>
      </c>
      <c r="B17" t="s">
        <v>1159</v>
      </c>
      <c r="C17" t="s">
        <v>1159</v>
      </c>
      <c r="D17">
        <v>72.599999999999994</v>
      </c>
      <c r="E17">
        <v>13.3</v>
      </c>
      <c r="F17">
        <v>11.3</v>
      </c>
    </row>
    <row r="18" spans="1:15">
      <c r="A18" t="s">
        <v>1171</v>
      </c>
      <c r="B18" t="s">
        <v>1159</v>
      </c>
      <c r="C18" t="s">
        <v>1159</v>
      </c>
      <c r="D18">
        <v>82.4</v>
      </c>
      <c r="E18">
        <v>12.5</v>
      </c>
      <c r="F18">
        <v>13.5</v>
      </c>
    </row>
    <row r="19" spans="1:15">
      <c r="A19" t="s">
        <v>1172</v>
      </c>
      <c r="B19" t="s">
        <v>1159</v>
      </c>
      <c r="C19" t="s">
        <v>1159</v>
      </c>
      <c r="D19">
        <v>90.9</v>
      </c>
      <c r="E19">
        <v>8.9</v>
      </c>
      <c r="F19">
        <v>10.3</v>
      </c>
    </row>
    <row r="20" spans="1:15">
      <c r="A20" t="s">
        <v>1173</v>
      </c>
      <c r="B20" t="s">
        <v>1159</v>
      </c>
      <c r="C20" t="s">
        <v>1159</v>
      </c>
      <c r="D20">
        <v>96.5</v>
      </c>
      <c r="E20">
        <v>3.8</v>
      </c>
      <c r="F20">
        <v>6.2</v>
      </c>
    </row>
    <row r="21" spans="1:15">
      <c r="A21" t="s">
        <v>1174</v>
      </c>
      <c r="B21" t="s">
        <v>1159</v>
      </c>
      <c r="C21" t="s">
        <v>1159</v>
      </c>
      <c r="D21">
        <v>99.6</v>
      </c>
      <c r="E21">
        <v>3.8</v>
      </c>
      <c r="F21">
        <v>3.2</v>
      </c>
    </row>
    <row r="22" spans="1:15">
      <c r="A22" t="s">
        <v>1175</v>
      </c>
      <c r="B22" s="418">
        <v>102.9</v>
      </c>
      <c r="C22" s="418">
        <v>104.9</v>
      </c>
      <c r="D22" s="418">
        <v>103.9</v>
      </c>
      <c r="E22">
        <v>3.9</v>
      </c>
      <c r="F22">
        <v>4.3</v>
      </c>
    </row>
    <row r="23" spans="1:15">
      <c r="A23" t="s">
        <v>1176</v>
      </c>
      <c r="B23" s="418">
        <v>106.6</v>
      </c>
      <c r="C23" s="418">
        <v>108.5</v>
      </c>
      <c r="D23" s="418">
        <v>107.6</v>
      </c>
      <c r="E23">
        <v>3.8</v>
      </c>
      <c r="F23">
        <v>3.6</v>
      </c>
    </row>
    <row r="24" spans="1:15">
      <c r="A24" t="s">
        <v>1177</v>
      </c>
      <c r="B24" s="418">
        <v>109.1</v>
      </c>
      <c r="C24" s="418">
        <v>110.1</v>
      </c>
      <c r="D24" s="418">
        <v>109.6</v>
      </c>
      <c r="E24">
        <v>1.1000000000000001</v>
      </c>
      <c r="F24">
        <v>1.9</v>
      </c>
    </row>
    <row r="25" spans="1:15">
      <c r="A25" t="s">
        <v>1178</v>
      </c>
      <c r="B25" s="418">
        <v>112.4</v>
      </c>
      <c r="C25" s="418">
        <v>114.9</v>
      </c>
      <c r="D25" s="418">
        <v>113.6</v>
      </c>
      <c r="E25">
        <v>4.4000000000000004</v>
      </c>
      <c r="F25">
        <v>3.6</v>
      </c>
    </row>
    <row r="26" spans="1:15">
      <c r="A26" t="s">
        <v>1179</v>
      </c>
      <c r="B26" s="418">
        <v>116.8</v>
      </c>
      <c r="C26" s="418">
        <v>119.7</v>
      </c>
      <c r="D26" s="418">
        <v>118.3</v>
      </c>
      <c r="E26">
        <v>4.4000000000000004</v>
      </c>
      <c r="F26">
        <v>4.0999999999999996</v>
      </c>
    </row>
    <row r="27" spans="1:15">
      <c r="A27" t="s">
        <v>1180</v>
      </c>
      <c r="B27" s="418">
        <v>122.7</v>
      </c>
      <c r="C27" s="418">
        <v>125.3</v>
      </c>
      <c r="D27" s="418">
        <v>124</v>
      </c>
      <c r="E27">
        <v>4.5999999999999996</v>
      </c>
      <c r="F27">
        <v>4.8</v>
      </c>
    </row>
    <row r="28" spans="1:15">
      <c r="A28" t="s">
        <v>1181</v>
      </c>
      <c r="B28" s="418">
        <v>128.69999999999999</v>
      </c>
      <c r="C28" s="418">
        <v>132.6</v>
      </c>
      <c r="D28" s="418">
        <v>130.69999999999999</v>
      </c>
      <c r="E28">
        <v>6.1</v>
      </c>
      <c r="F28">
        <v>5.4</v>
      </c>
      <c r="G28" s="389">
        <f>$D$50/D28</f>
        <v>1.7566488140780414</v>
      </c>
    </row>
    <row r="29" spans="1:15">
      <c r="A29" t="s">
        <v>1182</v>
      </c>
      <c r="B29" s="418">
        <v>135.19999999999999</v>
      </c>
      <c r="C29" s="418">
        <v>137.19999999999999</v>
      </c>
      <c r="D29" s="418">
        <v>136.19999999999999</v>
      </c>
      <c r="E29">
        <v>3.1</v>
      </c>
      <c r="F29">
        <v>4.2</v>
      </c>
      <c r="G29" s="389">
        <f t="shared" ref="G29:G63" si="0">$D$50/D29</f>
        <v>1.6857121879588841</v>
      </c>
      <c r="M29" s="1"/>
      <c r="N29" s="1"/>
      <c r="O29" s="1"/>
    </row>
    <row r="30" spans="1:15">
      <c r="A30" t="s">
        <v>1183</v>
      </c>
      <c r="B30" s="418">
        <v>139.19999999999999</v>
      </c>
      <c r="C30" s="418">
        <v>141.4</v>
      </c>
      <c r="D30" s="418">
        <v>140.30000000000001</v>
      </c>
      <c r="E30">
        <v>2.9</v>
      </c>
      <c r="F30">
        <v>3</v>
      </c>
      <c r="G30" s="389">
        <f t="shared" si="0"/>
        <v>1.6364504632929435</v>
      </c>
      <c r="M30" s="13"/>
      <c r="N30" s="13"/>
      <c r="O30" s="419"/>
    </row>
    <row r="31" spans="1:15">
      <c r="A31" t="s">
        <v>1184</v>
      </c>
      <c r="B31" s="418">
        <v>143.69999999999999</v>
      </c>
      <c r="C31" s="418">
        <v>145.30000000000001</v>
      </c>
      <c r="D31" s="418">
        <v>144.5</v>
      </c>
      <c r="E31">
        <v>2.7</v>
      </c>
      <c r="F31">
        <v>3</v>
      </c>
      <c r="G31" s="389">
        <f t="shared" si="0"/>
        <v>1.5888858131487889</v>
      </c>
      <c r="M31" s="13"/>
      <c r="N31" s="13"/>
      <c r="O31" s="419"/>
    </row>
    <row r="32" spans="1:15">
      <c r="A32" t="s">
        <v>1185</v>
      </c>
      <c r="B32" s="418">
        <v>147.19999999999999</v>
      </c>
      <c r="C32" s="418">
        <v>149.30000000000001</v>
      </c>
      <c r="D32" s="418">
        <v>148.19999999999999</v>
      </c>
      <c r="E32">
        <v>2.7</v>
      </c>
      <c r="F32">
        <v>2.6</v>
      </c>
      <c r="G32" s="389">
        <f t="shared" si="0"/>
        <v>1.5492172739541161</v>
      </c>
      <c r="M32" s="13"/>
      <c r="N32" s="13"/>
      <c r="O32" s="419"/>
    </row>
    <row r="33" spans="1:15">
      <c r="A33" t="s">
        <v>1186</v>
      </c>
      <c r="B33" s="418">
        <v>151.5</v>
      </c>
      <c r="C33" s="418">
        <v>153.19999999999999</v>
      </c>
      <c r="D33" s="418">
        <v>152.4</v>
      </c>
      <c r="E33">
        <v>2.5</v>
      </c>
      <c r="F33">
        <v>2.8</v>
      </c>
      <c r="G33" s="389">
        <f t="shared" si="0"/>
        <v>1.5065223097112861</v>
      </c>
      <c r="M33" s="13"/>
      <c r="N33" s="13"/>
      <c r="O33" s="419"/>
    </row>
    <row r="34" spans="1:15">
      <c r="A34" t="s">
        <v>1187</v>
      </c>
      <c r="B34" s="418">
        <v>155.80000000000001</v>
      </c>
      <c r="C34" s="418">
        <v>157.9</v>
      </c>
      <c r="D34" s="418">
        <v>156.9</v>
      </c>
      <c r="E34">
        <v>3.3</v>
      </c>
      <c r="F34">
        <v>3</v>
      </c>
      <c r="G34" s="389">
        <f t="shared" si="0"/>
        <v>1.4633142128744423</v>
      </c>
      <c r="M34" s="13"/>
      <c r="N34" s="13"/>
      <c r="O34" s="419"/>
    </row>
    <row r="35" spans="1:15">
      <c r="A35" t="s">
        <v>1188</v>
      </c>
      <c r="B35" s="418">
        <v>159.9</v>
      </c>
      <c r="C35" s="418">
        <v>161.19999999999999</v>
      </c>
      <c r="D35" s="418">
        <v>160.5</v>
      </c>
      <c r="E35">
        <v>1.7</v>
      </c>
      <c r="F35">
        <v>2.2999999999999998</v>
      </c>
      <c r="G35" s="389">
        <f t="shared" si="0"/>
        <v>1.4304922118380061</v>
      </c>
      <c r="M35" s="13"/>
      <c r="N35" s="13"/>
      <c r="O35" s="419"/>
    </row>
    <row r="36" spans="1:15">
      <c r="A36" t="s">
        <v>1189</v>
      </c>
      <c r="B36" s="418">
        <v>162.30000000000001</v>
      </c>
      <c r="C36" s="418">
        <v>163.69999999999999</v>
      </c>
      <c r="D36" s="418">
        <v>163</v>
      </c>
      <c r="E36">
        <v>1.6</v>
      </c>
      <c r="F36">
        <v>1.6</v>
      </c>
      <c r="G36" s="389">
        <f t="shared" si="0"/>
        <v>1.4085521472392637</v>
      </c>
      <c r="M36" s="13"/>
      <c r="N36" s="13"/>
      <c r="O36" s="419"/>
    </row>
    <row r="37" spans="1:15">
      <c r="A37" t="s">
        <v>1190</v>
      </c>
      <c r="B37" s="418">
        <v>165.4</v>
      </c>
      <c r="C37" s="418">
        <v>167.8</v>
      </c>
      <c r="D37" s="418">
        <v>166.6</v>
      </c>
      <c r="E37">
        <v>2.7</v>
      </c>
      <c r="F37">
        <v>2.2000000000000002</v>
      </c>
      <c r="G37" s="389">
        <f t="shared" si="0"/>
        <v>1.3781152460984394</v>
      </c>
      <c r="M37" s="13"/>
      <c r="N37" s="13"/>
      <c r="O37" s="419"/>
    </row>
    <row r="38" spans="1:15">
      <c r="A38" t="s">
        <v>1191</v>
      </c>
      <c r="B38" s="418">
        <v>170.8</v>
      </c>
      <c r="C38" s="418">
        <v>173.6</v>
      </c>
      <c r="D38" s="418">
        <v>172.2</v>
      </c>
      <c r="E38">
        <v>3.4</v>
      </c>
      <c r="F38">
        <v>3.4</v>
      </c>
      <c r="G38" s="389">
        <f t="shared" si="0"/>
        <v>1.3332984901277585</v>
      </c>
      <c r="M38" s="13"/>
      <c r="N38" s="420"/>
      <c r="O38" s="419"/>
    </row>
    <row r="39" spans="1:15">
      <c r="A39" t="s">
        <v>1192</v>
      </c>
      <c r="B39" s="418">
        <v>176.6</v>
      </c>
      <c r="C39" s="418">
        <v>177.5</v>
      </c>
      <c r="D39" s="418">
        <v>177.1</v>
      </c>
      <c r="E39">
        <v>1.6</v>
      </c>
      <c r="F39">
        <v>2.8</v>
      </c>
      <c r="G39" s="389">
        <f t="shared" si="0"/>
        <v>1.2964088085827217</v>
      </c>
      <c r="M39" s="13"/>
      <c r="N39" s="13"/>
      <c r="O39" s="419"/>
    </row>
    <row r="40" spans="1:15">
      <c r="A40" t="s">
        <v>1193</v>
      </c>
      <c r="B40" s="418">
        <v>178.9</v>
      </c>
      <c r="C40" s="418">
        <v>180.9</v>
      </c>
      <c r="D40" s="418">
        <v>179.9</v>
      </c>
      <c r="E40">
        <v>2.4</v>
      </c>
      <c r="F40">
        <v>1.6</v>
      </c>
      <c r="G40" s="389">
        <f t="shared" si="0"/>
        <v>1.276231239577543</v>
      </c>
      <c r="M40" s="13"/>
      <c r="N40" s="13"/>
      <c r="O40" s="419"/>
    </row>
    <row r="41" spans="1:15">
      <c r="A41" t="s">
        <v>1194</v>
      </c>
      <c r="B41" s="418">
        <v>183.3</v>
      </c>
      <c r="C41" s="418">
        <v>184.6</v>
      </c>
      <c r="D41" s="418">
        <v>184</v>
      </c>
      <c r="E41">
        <v>1.9</v>
      </c>
      <c r="F41">
        <v>2.2999999999999998</v>
      </c>
      <c r="G41" s="389">
        <f t="shared" si="0"/>
        <v>1.2477934782608695</v>
      </c>
      <c r="M41" s="13"/>
      <c r="N41" s="13"/>
      <c r="O41" s="419"/>
    </row>
    <row r="42" spans="1:15">
      <c r="A42" t="s">
        <v>1195</v>
      </c>
      <c r="B42" s="418">
        <v>187.6</v>
      </c>
      <c r="C42" s="418">
        <v>190.2</v>
      </c>
      <c r="D42" s="418">
        <v>188.9</v>
      </c>
      <c r="E42">
        <v>3.3</v>
      </c>
      <c r="F42">
        <v>2.7</v>
      </c>
      <c r="G42" s="389">
        <f t="shared" si="0"/>
        <v>1.2154261514028586</v>
      </c>
      <c r="M42" s="13"/>
      <c r="N42" s="13"/>
      <c r="O42" s="419"/>
    </row>
    <row r="43" spans="1:15">
      <c r="A43" t="s">
        <v>1196</v>
      </c>
      <c r="B43" s="418">
        <v>193.2</v>
      </c>
      <c r="C43" s="418">
        <v>197.4</v>
      </c>
      <c r="D43" s="418">
        <v>195.3</v>
      </c>
      <c r="E43">
        <v>3.4</v>
      </c>
      <c r="F43">
        <v>3.4</v>
      </c>
      <c r="G43" s="389">
        <f t="shared" si="0"/>
        <v>1.1755965181771633</v>
      </c>
      <c r="M43" s="13"/>
      <c r="N43" s="420"/>
      <c r="O43" s="419"/>
    </row>
    <row r="44" spans="1:15">
      <c r="A44" t="s">
        <v>1197</v>
      </c>
      <c r="B44" s="418">
        <v>200.6</v>
      </c>
      <c r="C44" s="418">
        <v>202.6</v>
      </c>
      <c r="D44" s="418">
        <v>201.6</v>
      </c>
      <c r="E44">
        <v>2.5</v>
      </c>
      <c r="F44">
        <v>3.2</v>
      </c>
      <c r="G44" s="389">
        <f t="shared" si="0"/>
        <v>1.1388591269841271</v>
      </c>
      <c r="M44" s="13"/>
      <c r="N44" s="13"/>
      <c r="O44" s="419"/>
    </row>
    <row r="45" spans="1:15">
      <c r="A45" t="s">
        <v>1198</v>
      </c>
      <c r="B45" s="421">
        <v>205.709</v>
      </c>
      <c r="C45" s="421">
        <v>208.976</v>
      </c>
      <c r="D45" s="421">
        <v>207.34200000000001</v>
      </c>
      <c r="E45">
        <v>4.0999999999999996</v>
      </c>
      <c r="F45">
        <v>2.8</v>
      </c>
      <c r="G45" s="389">
        <f t="shared" si="0"/>
        <v>1.107320272786025</v>
      </c>
      <c r="M45" s="13"/>
      <c r="N45" s="13"/>
      <c r="O45" s="419"/>
    </row>
    <row r="46" spans="1:15">
      <c r="A46" t="s">
        <v>1199</v>
      </c>
      <c r="B46" s="421">
        <v>214.429</v>
      </c>
      <c r="C46" s="421">
        <v>216.17699999999999</v>
      </c>
      <c r="D46" s="421">
        <v>215.303</v>
      </c>
      <c r="E46">
        <v>0.1</v>
      </c>
      <c r="F46">
        <v>3.8</v>
      </c>
      <c r="G46" s="389">
        <f t="shared" si="0"/>
        <v>1.0663762232760343</v>
      </c>
      <c r="M46" s="13"/>
      <c r="N46" s="13"/>
      <c r="O46" s="419"/>
    </row>
    <row r="47" spans="1:15">
      <c r="A47" t="s">
        <v>1200</v>
      </c>
      <c r="B47" s="421">
        <v>213.13900000000001</v>
      </c>
      <c r="C47" s="421">
        <v>215.935</v>
      </c>
      <c r="D47" s="421">
        <v>214.53700000000001</v>
      </c>
      <c r="E47">
        <v>2.7</v>
      </c>
      <c r="F47">
        <v>-0.4</v>
      </c>
      <c r="G47" s="389">
        <f t="shared" si="0"/>
        <v>1.0701836979169095</v>
      </c>
      <c r="M47" s="13"/>
      <c r="N47" s="13"/>
      <c r="O47" s="419"/>
    </row>
    <row r="48" spans="1:15">
      <c r="A48" t="s">
        <v>1201</v>
      </c>
      <c r="B48" s="421">
        <v>217.535</v>
      </c>
      <c r="C48" s="421">
        <v>218.57599999999999</v>
      </c>
      <c r="D48" s="421">
        <v>218.05600000000001</v>
      </c>
      <c r="E48">
        <v>1.5</v>
      </c>
      <c r="F48">
        <v>1.6</v>
      </c>
      <c r="G48" s="389">
        <f t="shared" si="0"/>
        <v>1.0529130131709286</v>
      </c>
      <c r="M48" s="13"/>
      <c r="N48" s="13"/>
      <c r="O48" s="419"/>
    </row>
    <row r="49" spans="1:15">
      <c r="A49" t="s">
        <v>1202</v>
      </c>
      <c r="B49" s="421">
        <v>223.59800000000001</v>
      </c>
      <c r="C49" s="421">
        <v>226.28</v>
      </c>
      <c r="D49" s="421">
        <v>224.93899999999999</v>
      </c>
      <c r="E49">
        <v>3</v>
      </c>
      <c r="F49">
        <v>3.2</v>
      </c>
      <c r="G49" s="389">
        <f t="shared" si="0"/>
        <v>1.0206944993976144</v>
      </c>
      <c r="M49" s="13"/>
      <c r="N49" s="13"/>
      <c r="O49" s="419"/>
    </row>
    <row r="50" spans="1:15">
      <c r="A50" t="s">
        <v>1203</v>
      </c>
      <c r="B50" s="421">
        <v>228.85</v>
      </c>
      <c r="C50" s="421">
        <v>230.33799999999999</v>
      </c>
      <c r="D50" s="421">
        <v>229.59399999999999</v>
      </c>
      <c r="E50">
        <v>1.7</v>
      </c>
      <c r="F50">
        <v>2.1</v>
      </c>
      <c r="G50" s="389">
        <f t="shared" si="0"/>
        <v>1</v>
      </c>
      <c r="M50" s="13"/>
      <c r="N50" s="13"/>
      <c r="O50" s="419"/>
    </row>
    <row r="51" spans="1:15">
      <c r="A51" t="s">
        <v>1204</v>
      </c>
      <c r="B51" s="421">
        <v>232.36600000000001</v>
      </c>
      <c r="C51" s="421">
        <v>233.548</v>
      </c>
      <c r="D51" s="421">
        <v>232.95699999999999</v>
      </c>
      <c r="E51">
        <v>1.5</v>
      </c>
      <c r="F51">
        <v>1.5</v>
      </c>
      <c r="G51" s="389">
        <f t="shared" si="0"/>
        <v>0.98556385942470071</v>
      </c>
      <c r="M51" s="13"/>
      <c r="N51" s="13"/>
      <c r="O51" s="419"/>
    </row>
    <row r="52" spans="1:15">
      <c r="A52" t="s">
        <v>1205</v>
      </c>
      <c r="B52" s="421">
        <v>236.38399999999999</v>
      </c>
      <c r="C52" s="421">
        <v>237.08799999999999</v>
      </c>
      <c r="D52" s="421">
        <v>236.73599999999999</v>
      </c>
      <c r="E52">
        <v>0.8</v>
      </c>
      <c r="F52">
        <v>1.6</v>
      </c>
      <c r="G52" s="389">
        <f t="shared" si="0"/>
        <v>0.96983137334414704</v>
      </c>
      <c r="M52" s="13"/>
      <c r="N52" s="13"/>
      <c r="O52" s="419"/>
    </row>
    <row r="53" spans="1:15">
      <c r="A53" t="s">
        <v>1206</v>
      </c>
      <c r="B53" s="421">
        <v>236.26499999999999</v>
      </c>
      <c r="C53" s="421">
        <v>237.76900000000001</v>
      </c>
      <c r="D53" s="421">
        <v>237.017</v>
      </c>
      <c r="E53">
        <v>0.7</v>
      </c>
      <c r="F53">
        <v>0.1</v>
      </c>
      <c r="G53" s="389">
        <f t="shared" si="0"/>
        <v>0.9686815713640794</v>
      </c>
      <c r="M53" s="13"/>
      <c r="N53" s="13"/>
      <c r="O53" s="419"/>
    </row>
    <row r="54" spans="1:15">
      <c r="A54" t="s">
        <v>1207</v>
      </c>
      <c r="B54" s="421">
        <v>238.77799999999999</v>
      </c>
      <c r="C54" s="421">
        <v>241.23699999999999</v>
      </c>
      <c r="D54" s="421">
        <v>240.00700000000001</v>
      </c>
      <c r="E54">
        <v>2.1</v>
      </c>
      <c r="F54">
        <v>1.3</v>
      </c>
      <c r="G54" s="389">
        <f t="shared" si="0"/>
        <v>0.95661376543184151</v>
      </c>
      <c r="M54" s="13"/>
      <c r="N54" s="13"/>
      <c r="O54" s="419"/>
    </row>
    <row r="55" spans="1:15">
      <c r="A55" t="s">
        <v>1208</v>
      </c>
      <c r="B55" s="421">
        <v>244.07599999999999</v>
      </c>
      <c r="C55" s="421">
        <v>246.16300000000001</v>
      </c>
      <c r="D55" s="421">
        <v>245.12</v>
      </c>
      <c r="E55">
        <v>2.1</v>
      </c>
      <c r="F55">
        <v>2.1</v>
      </c>
      <c r="G55" s="389">
        <f t="shared" si="0"/>
        <v>0.93665959530026111</v>
      </c>
      <c r="M55" s="13"/>
      <c r="N55" s="13"/>
      <c r="O55" s="419"/>
    </row>
    <row r="56" spans="1:15">
      <c r="A56" t="s">
        <v>1209</v>
      </c>
      <c r="B56" s="421">
        <v>250.089</v>
      </c>
      <c r="C56" s="421">
        <v>252.125</v>
      </c>
      <c r="D56" s="421">
        <v>251.107</v>
      </c>
      <c r="E56">
        <v>1.9</v>
      </c>
      <c r="F56">
        <v>2.4</v>
      </c>
      <c r="G56" s="389">
        <f t="shared" si="0"/>
        <v>0.9143273584567535</v>
      </c>
      <c r="M56" s="13"/>
      <c r="N56" s="13"/>
      <c r="O56" s="419"/>
    </row>
    <row r="57" spans="1:15">
      <c r="A57" t="s">
        <v>1210</v>
      </c>
      <c r="B57" s="421">
        <v>254.41200000000001</v>
      </c>
      <c r="C57" s="421">
        <v>256.90300000000002</v>
      </c>
      <c r="D57" s="421">
        <v>255.65700000000001</v>
      </c>
      <c r="E57">
        <v>2.2999999999999998</v>
      </c>
      <c r="F57">
        <v>1.8</v>
      </c>
      <c r="G57" s="389">
        <f t="shared" si="0"/>
        <v>0.89805481563188172</v>
      </c>
    </row>
    <row r="58" spans="1:15">
      <c r="A58" t="s">
        <v>1211</v>
      </c>
      <c r="B58" s="421">
        <v>257.55700000000002</v>
      </c>
      <c r="C58" s="421">
        <v>260.065</v>
      </c>
      <c r="D58" s="421">
        <v>258.81099999999998</v>
      </c>
      <c r="E58">
        <v>1.4</v>
      </c>
      <c r="F58">
        <v>1.2</v>
      </c>
      <c r="G58" s="389">
        <f t="shared" si="0"/>
        <v>0.88711067149387013</v>
      </c>
    </row>
    <row r="59" spans="1:15">
      <c r="A59" t="s">
        <v>1212</v>
      </c>
      <c r="B59" s="421">
        <v>266.23599999999999</v>
      </c>
      <c r="C59" s="421">
        <v>275.70299999999997</v>
      </c>
      <c r="D59" s="421">
        <v>270.97000000000003</v>
      </c>
      <c r="E59">
        <v>7</v>
      </c>
      <c r="F59">
        <v>4.7</v>
      </c>
      <c r="G59" s="389">
        <f t="shared" si="0"/>
        <v>0.84730412960844359</v>
      </c>
    </row>
    <row r="60" spans="1:15">
      <c r="A60" t="s">
        <v>1213</v>
      </c>
      <c r="B60" s="421">
        <v>288.34699999999998</v>
      </c>
      <c r="C60" s="421">
        <v>296.96300000000002</v>
      </c>
      <c r="D60" s="421">
        <v>292.65499999999997</v>
      </c>
      <c r="E60">
        <v>6.5</v>
      </c>
      <c r="F60">
        <v>8</v>
      </c>
      <c r="G60" s="389">
        <f t="shared" si="0"/>
        <v>0.78452102304761584</v>
      </c>
    </row>
    <row r="61" spans="1:15">
      <c r="A61" t="s">
        <v>1214</v>
      </c>
      <c r="B61" s="421">
        <v>302.40800000000002</v>
      </c>
      <c r="C61" s="421">
        <v>306.99599999999998</v>
      </c>
      <c r="D61" s="421">
        <v>304.702</v>
      </c>
      <c r="G61" s="389">
        <f t="shared" si="0"/>
        <v>0.75350342301658668</v>
      </c>
    </row>
    <row r="62" spans="1:15">
      <c r="A62" t="s">
        <v>1215</v>
      </c>
      <c r="B62">
        <v>312.14499999999998</v>
      </c>
      <c r="C62">
        <v>315.233</v>
      </c>
      <c r="D62">
        <v>313.68900000000002</v>
      </c>
      <c r="G62" s="389">
        <f t="shared" si="0"/>
        <v>0.73191600598044548</v>
      </c>
    </row>
    <row r="63" spans="1:15">
      <c r="A63" t="s">
        <v>1216</v>
      </c>
      <c r="B63" s="421">
        <v>320.13</v>
      </c>
      <c r="C63" s="421">
        <v>324.16000000000003</v>
      </c>
      <c r="D63" s="421">
        <v>321.96199999999999</v>
      </c>
      <c r="G63" s="389">
        <f t="shared" si="0"/>
        <v>0.71310900044104586</v>
      </c>
    </row>
    <row r="64" spans="1:15">
      <c r="G64" s="38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C19FD-7E25-465C-BF9B-84ECCFD8C3AD}">
  <dimension ref="A1:H83"/>
  <sheetViews>
    <sheetView zoomScaleNormal="100" workbookViewId="0">
      <selection activeCell="D16" sqref="D16"/>
    </sheetView>
  </sheetViews>
  <sheetFormatPr defaultColWidth="8.85546875" defaultRowHeight="15"/>
  <cols>
    <col min="1" max="1" width="30.42578125" customWidth="1"/>
    <col min="2" max="2" width="20.42578125" customWidth="1"/>
    <col min="3" max="3" width="19.85546875" customWidth="1"/>
    <col min="4" max="4" width="18.42578125" customWidth="1"/>
    <col min="5" max="5" width="18.28515625" customWidth="1"/>
    <col min="6" max="6" width="17.7109375" customWidth="1"/>
    <col min="7" max="7" width="22.28515625" customWidth="1"/>
    <col min="8" max="8" width="23.85546875" customWidth="1"/>
  </cols>
  <sheetData>
    <row r="1" spans="1:4">
      <c r="A1" s="17" t="s">
        <v>15</v>
      </c>
      <c r="B1" s="18"/>
      <c r="C1" s="18"/>
      <c r="D1" s="18"/>
    </row>
    <row r="2" spans="1:4">
      <c r="A2" s="24" t="s">
        <v>46</v>
      </c>
    </row>
    <row r="3" spans="1:4">
      <c r="A3" s="24" t="s">
        <v>47</v>
      </c>
    </row>
    <row r="4" spans="1:4">
      <c r="A4" s="1"/>
    </row>
    <row r="5" spans="1:4">
      <c r="A5" s="59" t="s">
        <v>410</v>
      </c>
      <c r="B5" s="60" t="s">
        <v>31</v>
      </c>
      <c r="C5" s="61" t="s">
        <v>29</v>
      </c>
      <c r="D5" s="64"/>
    </row>
    <row r="6" spans="1:4">
      <c r="A6" t="s">
        <v>411</v>
      </c>
      <c r="B6" s="422">
        <v>600</v>
      </c>
      <c r="C6" s="62" t="s">
        <v>527</v>
      </c>
      <c r="D6" s="13" t="s">
        <v>530</v>
      </c>
    </row>
    <row r="7" spans="1:4">
      <c r="A7" t="s">
        <v>528</v>
      </c>
      <c r="B7" s="65">
        <v>1.0822000000000001</v>
      </c>
      <c r="C7" s="62" t="s">
        <v>529</v>
      </c>
      <c r="D7" s="13"/>
    </row>
    <row r="8" spans="1:4">
      <c r="A8" t="s">
        <v>411</v>
      </c>
      <c r="B8">
        <f>B6*B7</f>
        <v>649.32000000000005</v>
      </c>
      <c r="C8" s="62" t="s">
        <v>525</v>
      </c>
    </row>
    <row r="9" spans="1:4">
      <c r="A9" t="s">
        <v>412</v>
      </c>
      <c r="B9">
        <v>8760</v>
      </c>
      <c r="C9" s="62" t="s">
        <v>413</v>
      </c>
      <c r="D9" s="62"/>
    </row>
    <row r="10" spans="1:4">
      <c r="A10" t="s">
        <v>414</v>
      </c>
      <c r="B10" s="19">
        <f>AVERAGE(5944,2503,6257,6257)/B9</f>
        <v>0.5982020547945206</v>
      </c>
      <c r="C10" s="62" t="s">
        <v>138</v>
      </c>
      <c r="D10" s="62"/>
    </row>
    <row r="11" spans="1:4">
      <c r="A11" t="s">
        <v>415</v>
      </c>
      <c r="B11" s="63">
        <f>B8/(B9*B10)</f>
        <v>0.12391011879204238</v>
      </c>
      <c r="C11" s="62" t="s">
        <v>526</v>
      </c>
      <c r="D11" s="13" t="s">
        <v>417</v>
      </c>
    </row>
    <row r="12" spans="1:4">
      <c r="A12" s="1"/>
    </row>
    <row r="13" spans="1:4">
      <c r="A13" t="s">
        <v>26</v>
      </c>
      <c r="B13">
        <v>3412.14</v>
      </c>
      <c r="C13" s="62" t="s">
        <v>30</v>
      </c>
    </row>
    <row r="14" spans="1:4">
      <c r="A14" s="1"/>
    </row>
    <row r="15" spans="1:4">
      <c r="A15" t="s">
        <v>416</v>
      </c>
      <c r="B15" s="12">
        <f>B11/B13</f>
        <v>3.6314488500484264E-5</v>
      </c>
      <c r="C15" s="62" t="s">
        <v>513</v>
      </c>
      <c r="D15" s="13" t="s">
        <v>418</v>
      </c>
    </row>
    <row r="16" spans="1:4">
      <c r="A16" s="1"/>
      <c r="D16" s="423" t="s">
        <v>1246</v>
      </c>
    </row>
    <row r="19" spans="1:8">
      <c r="A19" s="17" t="s">
        <v>21</v>
      </c>
      <c r="B19" s="18"/>
      <c r="C19" s="18"/>
      <c r="D19" s="18"/>
      <c r="E19" s="18"/>
    </row>
    <row r="20" spans="1:8" s="3" customFormat="1" ht="75">
      <c r="B20" s="6" t="s">
        <v>25</v>
      </c>
      <c r="C20" s="192" t="s">
        <v>867</v>
      </c>
      <c r="D20" s="6" t="s">
        <v>32</v>
      </c>
      <c r="E20" s="6" t="s">
        <v>37</v>
      </c>
      <c r="F20" s="23" t="s">
        <v>38</v>
      </c>
      <c r="G20" s="23" t="s">
        <v>510</v>
      </c>
      <c r="H20" s="23" t="s">
        <v>509</v>
      </c>
    </row>
    <row r="21" spans="1:8">
      <c r="A21" t="s">
        <v>22</v>
      </c>
      <c r="B21">
        <v>2000</v>
      </c>
      <c r="C21">
        <v>300</v>
      </c>
      <c r="D21" s="32">
        <f>B21*C21</f>
        <v>600000</v>
      </c>
      <c r="E21" s="77">
        <v>0.90300000000000002</v>
      </c>
      <c r="F21">
        <f>$B$29/E21</f>
        <v>39902766777.408638</v>
      </c>
      <c r="G21" s="9">
        <f>D21/F21</f>
        <v>1.5036551308509669E-5</v>
      </c>
      <c r="H21" s="12">
        <f>G21*$B$30</f>
        <v>1.988884641576574E-5</v>
      </c>
    </row>
    <row r="22" spans="1:8">
      <c r="A22" t="s">
        <v>23</v>
      </c>
      <c r="B22">
        <v>2000</v>
      </c>
      <c r="C22">
        <v>200</v>
      </c>
      <c r="D22">
        <f>B22*C22</f>
        <v>400000</v>
      </c>
      <c r="E22" s="77">
        <v>0.89200000000000002</v>
      </c>
      <c r="F22">
        <f>$B$29/E22</f>
        <v>40394841255.605377</v>
      </c>
      <c r="G22" s="9">
        <f>D22/F22</f>
        <v>9.9022545346553169E-6</v>
      </c>
      <c r="H22" s="12">
        <f>G22*$B$30</f>
        <v>1.3097712072988588E-5</v>
      </c>
    </row>
    <row r="23" spans="1:8">
      <c r="A23" t="s">
        <v>24</v>
      </c>
      <c r="B23">
        <v>2000</v>
      </c>
      <c r="C23">
        <v>100</v>
      </c>
      <c r="D23">
        <f>B23*C23</f>
        <v>200000</v>
      </c>
      <c r="E23" s="77">
        <v>0.85699999999999998</v>
      </c>
      <c r="F23">
        <f>$B$29/E23</f>
        <v>42044572228.704788</v>
      </c>
      <c r="G23" s="9">
        <f>D23/F23</f>
        <v>4.7568565785872225E-6</v>
      </c>
      <c r="H23" s="12">
        <f>G23*$B$30</f>
        <v>6.2918941964973188E-6</v>
      </c>
    </row>
    <row r="25" spans="1:8">
      <c r="B25" s="7" t="s">
        <v>31</v>
      </c>
      <c r="C25" s="64" t="s">
        <v>29</v>
      </c>
    </row>
    <row r="26" spans="1:8">
      <c r="A26" t="s">
        <v>520</v>
      </c>
      <c r="B26" s="65">
        <v>5280</v>
      </c>
      <c r="C26" s="62" t="s">
        <v>521</v>
      </c>
    </row>
    <row r="27" spans="1:8">
      <c r="A27" t="s">
        <v>36</v>
      </c>
      <c r="B27">
        <f>B21*B26</f>
        <v>10560000</v>
      </c>
      <c r="C27" s="62" t="s">
        <v>28</v>
      </c>
    </row>
    <row r="28" spans="1:8">
      <c r="A28" t="s">
        <v>26</v>
      </c>
      <c r="B28">
        <v>3412.14</v>
      </c>
      <c r="C28" s="62" t="s">
        <v>30</v>
      </c>
    </row>
    <row r="29" spans="1:8">
      <c r="A29" t="s">
        <v>36</v>
      </c>
      <c r="B29">
        <f>B27*B28</f>
        <v>36032198400</v>
      </c>
      <c r="C29" s="62" t="s">
        <v>18</v>
      </c>
    </row>
    <row r="30" spans="1:8">
      <c r="A30" t="s">
        <v>508</v>
      </c>
      <c r="B30">
        <v>1.3227</v>
      </c>
      <c r="C30" s="62" t="s">
        <v>500</v>
      </c>
    </row>
    <row r="32" spans="1:8">
      <c r="A32" s="17" t="s">
        <v>43</v>
      </c>
      <c r="B32" s="18"/>
      <c r="C32" s="18"/>
      <c r="D32" s="18"/>
    </row>
    <row r="34" spans="1:5">
      <c r="A34" t="s">
        <v>44</v>
      </c>
      <c r="B34" s="8"/>
    </row>
    <row r="35" spans="1:5">
      <c r="A35" t="s">
        <v>45</v>
      </c>
      <c r="B35" s="20"/>
    </row>
    <row r="37" spans="1:5">
      <c r="A37" s="12">
        <f>H23*1.5</f>
        <v>9.4378412947459783E-6</v>
      </c>
      <c r="B37" t="s">
        <v>513</v>
      </c>
    </row>
    <row r="40" spans="1:5">
      <c r="A40" s="71" t="s">
        <v>511</v>
      </c>
      <c r="B40" s="72"/>
      <c r="C40" s="72"/>
      <c r="D40" s="72"/>
      <c r="E40" s="72"/>
    </row>
    <row r="42" spans="1:5">
      <c r="A42" t="s">
        <v>259</v>
      </c>
    </row>
    <row r="44" spans="1:5">
      <c r="A44" t="s">
        <v>260</v>
      </c>
      <c r="B44" s="8">
        <v>80375</v>
      </c>
      <c r="C44" s="62" t="s">
        <v>498</v>
      </c>
    </row>
    <row r="45" spans="1:5">
      <c r="A45" t="s">
        <v>261</v>
      </c>
      <c r="B45" s="8">
        <v>91475</v>
      </c>
      <c r="C45" s="62" t="s">
        <v>498</v>
      </c>
    </row>
    <row r="46" spans="1:5">
      <c r="A46" t="s">
        <v>501</v>
      </c>
      <c r="B46" s="8">
        <f>AVERAGE(B44:B45)</f>
        <v>85925</v>
      </c>
      <c r="C46" s="62" t="s">
        <v>498</v>
      </c>
    </row>
    <row r="48" spans="1:5">
      <c r="A48" t="s">
        <v>499</v>
      </c>
      <c r="B48">
        <v>1.7041999999999999</v>
      </c>
      <c r="C48" s="62" t="s">
        <v>500</v>
      </c>
    </row>
    <row r="50" spans="1:4">
      <c r="A50" t="s">
        <v>502</v>
      </c>
      <c r="B50" s="25">
        <f>B46*B48</f>
        <v>146433.38499999998</v>
      </c>
      <c r="C50" s="62" t="s">
        <v>503</v>
      </c>
    </row>
    <row r="52" spans="1:4">
      <c r="A52" t="s">
        <v>494</v>
      </c>
      <c r="B52">
        <v>400</v>
      </c>
    </row>
    <row r="53" spans="1:4">
      <c r="A53" t="s">
        <v>495</v>
      </c>
      <c r="B53">
        <v>9.8094999999999999</v>
      </c>
      <c r="C53" s="65" t="s">
        <v>496</v>
      </c>
      <c r="D53" s="15" t="s">
        <v>497</v>
      </c>
    </row>
    <row r="54" spans="1:4">
      <c r="A54" t="s">
        <v>85</v>
      </c>
      <c r="B54">
        <f>B52*B53</f>
        <v>3923.8</v>
      </c>
    </row>
    <row r="56" spans="1:4">
      <c r="A56" s="11" t="s">
        <v>27</v>
      </c>
      <c r="B56" s="22">
        <v>5280</v>
      </c>
    </row>
    <row r="58" spans="1:4">
      <c r="A58" t="s">
        <v>262</v>
      </c>
      <c r="B58">
        <f>B54*B56</f>
        <v>20717664</v>
      </c>
      <c r="C58" s="62" t="s">
        <v>161</v>
      </c>
    </row>
    <row r="59" spans="1:4">
      <c r="A59" t="s">
        <v>26</v>
      </c>
      <c r="B59">
        <v>3412.14</v>
      </c>
      <c r="C59" s="62" t="s">
        <v>30</v>
      </c>
    </row>
    <row r="60" spans="1:4">
      <c r="A60" t="s">
        <v>262</v>
      </c>
      <c r="B60">
        <f>B58*B59</f>
        <v>70691570040.959991</v>
      </c>
      <c r="C60" s="62" t="s">
        <v>228</v>
      </c>
    </row>
    <row r="62" spans="1:4">
      <c r="A62" s="1" t="s">
        <v>419</v>
      </c>
    </row>
    <row r="63" spans="1:4">
      <c r="A63" s="12">
        <f>B50/B60</f>
        <v>2.0714405538758552E-6</v>
      </c>
      <c r="B63" t="s">
        <v>513</v>
      </c>
    </row>
    <row r="66" spans="1:5">
      <c r="A66" s="71" t="s">
        <v>512</v>
      </c>
      <c r="B66" s="72"/>
      <c r="C66" s="72"/>
      <c r="D66" s="72"/>
      <c r="E66" s="72"/>
    </row>
    <row r="68" spans="1:5">
      <c r="A68" t="s">
        <v>504</v>
      </c>
      <c r="B68" s="8">
        <v>87540</v>
      </c>
      <c r="C68" s="62" t="s">
        <v>505</v>
      </c>
      <c r="D68" t="s">
        <v>507</v>
      </c>
    </row>
    <row r="69" spans="1:5">
      <c r="A69" t="s">
        <v>506</v>
      </c>
      <c r="B69">
        <v>1.3062</v>
      </c>
      <c r="C69" s="62" t="s">
        <v>500</v>
      </c>
    </row>
    <row r="70" spans="1:5">
      <c r="A70" t="s">
        <v>504</v>
      </c>
      <c r="B70" s="25">
        <f>B68*B69</f>
        <v>114344.74800000001</v>
      </c>
      <c r="C70" s="62" t="s">
        <v>503</v>
      </c>
    </row>
    <row r="72" spans="1:5">
      <c r="A72" t="s">
        <v>494</v>
      </c>
      <c r="B72">
        <v>100</v>
      </c>
    </row>
    <row r="73" spans="1:5">
      <c r="A73" t="s">
        <v>495</v>
      </c>
      <c r="B73">
        <v>9.8094999999999999</v>
      </c>
      <c r="C73" s="65" t="s">
        <v>496</v>
      </c>
      <c r="D73" s="15" t="s">
        <v>497</v>
      </c>
    </row>
    <row r="74" spans="1:5">
      <c r="A74" t="s">
        <v>85</v>
      </c>
      <c r="B74">
        <f>B72*B73</f>
        <v>980.95</v>
      </c>
    </row>
    <row r="76" spans="1:5">
      <c r="A76" s="11" t="s">
        <v>27</v>
      </c>
      <c r="B76" s="22">
        <v>5280</v>
      </c>
    </row>
    <row r="78" spans="1:5">
      <c r="A78" t="s">
        <v>262</v>
      </c>
      <c r="B78">
        <f>B74*B76</f>
        <v>5179416</v>
      </c>
    </row>
    <row r="79" spans="1:5">
      <c r="A79" t="s">
        <v>26</v>
      </c>
      <c r="B79">
        <v>3412.14</v>
      </c>
    </row>
    <row r="80" spans="1:5">
      <c r="A80" t="s">
        <v>262</v>
      </c>
      <c r="B80">
        <f>B78*B79</f>
        <v>17672892510.239998</v>
      </c>
    </row>
    <row r="82" spans="1:2">
      <c r="A82" s="1" t="s">
        <v>419</v>
      </c>
    </row>
    <row r="83" spans="1:2">
      <c r="A83" s="12">
        <f>B70/B80</f>
        <v>6.4700641354405657E-6</v>
      </c>
      <c r="B83" t="s">
        <v>513</v>
      </c>
    </row>
  </sheetData>
  <phoneticPr fontId="10" type="noConversion"/>
  <hyperlinks>
    <hyperlink ref="D53" r:id="rId1" xr:uid="{A6DC4AC4-74B1-4E7B-BA41-28F0B5652653}"/>
    <hyperlink ref="D73" r:id="rId2" xr:uid="{710D1754-3D51-4D73-AC41-A0B063FC700A}"/>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1FE5-63BE-403B-999E-6276154EBF72}">
  <dimension ref="A1:D49"/>
  <sheetViews>
    <sheetView workbookViewId="0"/>
  </sheetViews>
  <sheetFormatPr defaultColWidth="8.85546875" defaultRowHeight="15"/>
  <cols>
    <col min="1" max="1" width="53.28515625" customWidth="1"/>
    <col min="2" max="2" width="12" bestFit="1" customWidth="1"/>
  </cols>
  <sheetData>
    <row r="1" spans="1:3">
      <c r="A1" s="17" t="s">
        <v>49</v>
      </c>
      <c r="B1" s="18"/>
      <c r="C1" s="18"/>
    </row>
    <row r="3" spans="1:3">
      <c r="A3" s="11" t="s">
        <v>73</v>
      </c>
    </row>
    <row r="5" spans="1:3">
      <c r="A5" t="s">
        <v>50</v>
      </c>
      <c r="B5" s="8">
        <v>307500</v>
      </c>
      <c r="C5" t="s">
        <v>54</v>
      </c>
    </row>
    <row r="6" spans="1:3">
      <c r="A6" t="s">
        <v>51</v>
      </c>
      <c r="B6">
        <v>4000</v>
      </c>
      <c r="C6" t="s">
        <v>55</v>
      </c>
    </row>
    <row r="8" spans="1:3">
      <c r="A8" t="s">
        <v>52</v>
      </c>
      <c r="B8" s="8">
        <v>75863</v>
      </c>
      <c r="C8" t="s">
        <v>54</v>
      </c>
    </row>
    <row r="9" spans="1:3">
      <c r="A9" t="s">
        <v>53</v>
      </c>
      <c r="B9" s="8">
        <v>6226</v>
      </c>
      <c r="C9" t="s">
        <v>54</v>
      </c>
    </row>
    <row r="11" spans="1:3">
      <c r="A11" t="s">
        <v>56</v>
      </c>
      <c r="B11" s="25">
        <v>0.45</v>
      </c>
      <c r="C11" t="s">
        <v>57</v>
      </c>
    </row>
    <row r="12" spans="1:3">
      <c r="A12" t="s">
        <v>58</v>
      </c>
      <c r="B12" s="25">
        <v>0.15</v>
      </c>
      <c r="C12" t="s">
        <v>59</v>
      </c>
    </row>
    <row r="14" spans="1:3">
      <c r="A14" t="s">
        <v>60</v>
      </c>
      <c r="B14" s="21">
        <f>B8/B11</f>
        <v>168584.44444444444</v>
      </c>
      <c r="C14" t="s">
        <v>61</v>
      </c>
    </row>
    <row r="15" spans="1:3">
      <c r="A15" t="s">
        <v>62</v>
      </c>
      <c r="B15" s="21">
        <f>B9/B12</f>
        <v>41506.666666666672</v>
      </c>
      <c r="C15" t="s">
        <v>28</v>
      </c>
    </row>
    <row r="17" spans="1:3">
      <c r="A17" t="s">
        <v>26</v>
      </c>
      <c r="B17">
        <v>100000</v>
      </c>
      <c r="C17" t="s">
        <v>63</v>
      </c>
    </row>
    <row r="18" spans="1:3">
      <c r="A18" t="s">
        <v>26</v>
      </c>
      <c r="B18">
        <v>3412.14</v>
      </c>
      <c r="C18" t="s">
        <v>30</v>
      </c>
    </row>
    <row r="20" spans="1:3">
      <c r="A20" t="s">
        <v>60</v>
      </c>
      <c r="B20" s="9">
        <f>B14*B17</f>
        <v>16858444444.444445</v>
      </c>
      <c r="C20" t="s">
        <v>18</v>
      </c>
    </row>
    <row r="21" spans="1:3">
      <c r="A21" t="s">
        <v>62</v>
      </c>
      <c r="B21" s="9">
        <f>B15*B18</f>
        <v>141626557.60000002</v>
      </c>
      <c r="C21" t="s">
        <v>18</v>
      </c>
    </row>
    <row r="23" spans="1:3">
      <c r="A23" t="s">
        <v>64</v>
      </c>
    </row>
    <row r="24" spans="1:3">
      <c r="A24" t="s">
        <v>65</v>
      </c>
    </row>
    <row r="26" spans="1:3">
      <c r="A26" t="s">
        <v>66</v>
      </c>
      <c r="B26" s="9">
        <f>SUM(B20:B21)</f>
        <v>17000071002.044445</v>
      </c>
      <c r="C26" t="s">
        <v>18</v>
      </c>
    </row>
    <row r="27" spans="1:3">
      <c r="A27" t="s">
        <v>67</v>
      </c>
      <c r="B27" s="12">
        <f>B5/B26</f>
        <v>1.8088159747275158E-5</v>
      </c>
      <c r="C27" t="s">
        <v>19</v>
      </c>
    </row>
    <row r="29" spans="1:3">
      <c r="A29" s="17" t="s">
        <v>74</v>
      </c>
      <c r="B29" s="18"/>
      <c r="C29" s="18"/>
    </row>
    <row r="31" spans="1:3">
      <c r="A31" s="1" t="s">
        <v>75</v>
      </c>
    </row>
    <row r="32" spans="1:3">
      <c r="A32" t="s">
        <v>77</v>
      </c>
      <c r="B32" s="8">
        <v>200</v>
      </c>
      <c r="C32" t="s">
        <v>76</v>
      </c>
    </row>
    <row r="33" spans="1:4">
      <c r="A33" t="s">
        <v>78</v>
      </c>
      <c r="B33" s="8">
        <v>500</v>
      </c>
      <c r="C33" t="s">
        <v>76</v>
      </c>
    </row>
    <row r="34" spans="1:4">
      <c r="A34" t="s">
        <v>79</v>
      </c>
      <c r="B34" s="8">
        <f>AVERAGE(B32:B33)</f>
        <v>350</v>
      </c>
      <c r="C34" t="s">
        <v>76</v>
      </c>
    </row>
    <row r="36" spans="1:4">
      <c r="A36" t="s">
        <v>80</v>
      </c>
      <c r="B36">
        <v>500</v>
      </c>
      <c r="C36" t="s">
        <v>81</v>
      </c>
      <c r="D36" t="s">
        <v>86</v>
      </c>
    </row>
    <row r="38" spans="1:4">
      <c r="A38" t="s">
        <v>82</v>
      </c>
      <c r="B38" s="8">
        <f>B34*B36</f>
        <v>175000</v>
      </c>
      <c r="C38" t="s">
        <v>54</v>
      </c>
    </row>
    <row r="41" spans="1:4">
      <c r="A41" t="s">
        <v>83</v>
      </c>
      <c r="B41">
        <v>0.57599999999999996</v>
      </c>
      <c r="C41" t="s">
        <v>84</v>
      </c>
    </row>
    <row r="42" spans="1:4">
      <c r="A42" t="s">
        <v>87</v>
      </c>
      <c r="B42">
        <f>B41*B36</f>
        <v>288</v>
      </c>
      <c r="C42" t="s">
        <v>85</v>
      </c>
    </row>
    <row r="44" spans="1:4">
      <c r="A44" t="s">
        <v>51</v>
      </c>
      <c r="B44">
        <f>B6</f>
        <v>4000</v>
      </c>
      <c r="C44" t="s">
        <v>55</v>
      </c>
      <c r="D44" t="s">
        <v>86</v>
      </c>
    </row>
    <row r="46" spans="1:4">
      <c r="A46" t="s">
        <v>62</v>
      </c>
      <c r="B46">
        <f>B42*B44</f>
        <v>1152000</v>
      </c>
      <c r="C46" t="s">
        <v>28</v>
      </c>
    </row>
    <row r="47" spans="1:4">
      <c r="A47" t="s">
        <v>62</v>
      </c>
      <c r="B47" s="9">
        <f>B46*B18</f>
        <v>3930785280</v>
      </c>
      <c r="C47" t="s">
        <v>18</v>
      </c>
    </row>
    <row r="49" spans="1:3">
      <c r="A49" t="s">
        <v>67</v>
      </c>
      <c r="B49" s="12">
        <f>B38/B47</f>
        <v>4.4520366169683022E-5</v>
      </c>
      <c r="C49" t="s">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C022-A310-4BEE-BA08-E19CC60071F1}">
  <dimension ref="A1:E68"/>
  <sheetViews>
    <sheetView topLeftCell="A32" workbookViewId="0">
      <selection activeCell="B59" sqref="B59"/>
    </sheetView>
  </sheetViews>
  <sheetFormatPr defaultColWidth="11.42578125" defaultRowHeight="15"/>
  <cols>
    <col min="1" max="1" width="34.42578125" customWidth="1"/>
    <col min="2" max="2" width="19.85546875" customWidth="1"/>
    <col min="3" max="3" width="22.7109375" customWidth="1"/>
    <col min="4" max="4" width="20.85546875" customWidth="1"/>
    <col min="5" max="6" width="20.7109375" customWidth="1"/>
    <col min="7" max="7" width="17" customWidth="1"/>
    <col min="8" max="8" width="18.85546875" customWidth="1"/>
  </cols>
  <sheetData>
    <row r="1" spans="1:4">
      <c r="A1" s="17" t="s">
        <v>331</v>
      </c>
      <c r="B1" s="18"/>
      <c r="C1" s="18"/>
      <c r="D1" s="18"/>
    </row>
    <row r="3" spans="1:4">
      <c r="A3" s="41" t="s">
        <v>302</v>
      </c>
      <c r="B3" s="42"/>
      <c r="C3" s="11" t="s">
        <v>311</v>
      </c>
    </row>
    <row r="4" spans="1:4">
      <c r="A4" s="1" t="s">
        <v>295</v>
      </c>
      <c r="B4" s="1" t="s">
        <v>303</v>
      </c>
      <c r="C4" s="1"/>
    </row>
    <row r="5" spans="1:4">
      <c r="A5" t="s">
        <v>297</v>
      </c>
      <c r="B5">
        <v>492000</v>
      </c>
      <c r="C5" s="43"/>
    </row>
    <row r="6" spans="1:4">
      <c r="A6" t="s">
        <v>304</v>
      </c>
      <c r="B6">
        <v>135000</v>
      </c>
      <c r="C6" s="43"/>
    </row>
    <row r="7" spans="1:4">
      <c r="A7" t="s">
        <v>305</v>
      </c>
      <c r="B7">
        <v>474000</v>
      </c>
      <c r="C7" s="43"/>
    </row>
    <row r="8" spans="1:4">
      <c r="A8" t="s">
        <v>306</v>
      </c>
      <c r="B8">
        <v>70000</v>
      </c>
      <c r="C8" s="43"/>
    </row>
    <row r="9" spans="1:4">
      <c r="A9" t="s">
        <v>307</v>
      </c>
      <c r="B9">
        <v>22000</v>
      </c>
      <c r="C9" s="43"/>
    </row>
    <row r="10" spans="1:4">
      <c r="A10" t="s">
        <v>308</v>
      </c>
      <c r="B10">
        <v>18000</v>
      </c>
      <c r="C10" s="43"/>
    </row>
    <row r="11" spans="1:4">
      <c r="A11" t="s">
        <v>309</v>
      </c>
      <c r="B11">
        <v>216000</v>
      </c>
      <c r="C11" s="43"/>
    </row>
    <row r="12" spans="1:4">
      <c r="A12" t="s">
        <v>301</v>
      </c>
      <c r="B12">
        <v>51000</v>
      </c>
      <c r="C12" s="43"/>
    </row>
    <row r="13" spans="1:4">
      <c r="A13" t="s">
        <v>310</v>
      </c>
      <c r="B13">
        <v>125000</v>
      </c>
      <c r="C13" s="43"/>
    </row>
    <row r="15" spans="1:4">
      <c r="A15" s="41" t="s">
        <v>316</v>
      </c>
      <c r="B15" s="42"/>
      <c r="C15" s="11" t="s">
        <v>319</v>
      </c>
    </row>
    <row r="16" spans="1:4">
      <c r="A16" s="1" t="s">
        <v>295</v>
      </c>
      <c r="B16" s="1" t="s">
        <v>317</v>
      </c>
    </row>
    <row r="17" spans="1:5">
      <c r="A17" t="s">
        <v>297</v>
      </c>
      <c r="B17" s="20">
        <v>13400</v>
      </c>
    </row>
    <row r="18" spans="1:5">
      <c r="A18" t="s">
        <v>300</v>
      </c>
      <c r="B18" s="20">
        <v>5300</v>
      </c>
    </row>
    <row r="19" spans="1:5">
      <c r="A19" t="s">
        <v>318</v>
      </c>
      <c r="B19" s="20">
        <v>13600</v>
      </c>
    </row>
    <row r="21" spans="1:5">
      <c r="A21" s="41" t="s">
        <v>321</v>
      </c>
      <c r="B21" s="42"/>
      <c r="C21" s="42"/>
      <c r="D21" s="42"/>
      <c r="E21" s="11" t="s">
        <v>325</v>
      </c>
    </row>
    <row r="22" spans="1:5">
      <c r="A22" s="1" t="s">
        <v>296</v>
      </c>
      <c r="B22" s="1" t="s">
        <v>322</v>
      </c>
      <c r="C22" s="1" t="s">
        <v>323</v>
      </c>
      <c r="D22" s="1" t="s">
        <v>324</v>
      </c>
    </row>
    <row r="23" spans="1:5">
      <c r="A23" t="s">
        <v>298</v>
      </c>
      <c r="B23">
        <v>4380</v>
      </c>
      <c r="D23">
        <v>15</v>
      </c>
    </row>
    <row r="24" spans="1:5">
      <c r="A24" t="s">
        <v>299</v>
      </c>
      <c r="B24">
        <v>4380</v>
      </c>
      <c r="C24">
        <v>56000</v>
      </c>
    </row>
    <row r="27" spans="1:5">
      <c r="A27" s="16" t="s">
        <v>338</v>
      </c>
      <c r="B27" s="40"/>
      <c r="C27" s="40"/>
      <c r="D27" s="40"/>
    </row>
    <row r="28" spans="1:5">
      <c r="A28" t="s">
        <v>332</v>
      </c>
    </row>
    <row r="29" spans="1:5">
      <c r="A29" t="s">
        <v>333</v>
      </c>
    </row>
    <row r="30" spans="1:5">
      <c r="A30" t="s">
        <v>334</v>
      </c>
    </row>
    <row r="31" spans="1:5">
      <c r="A31" t="s">
        <v>335</v>
      </c>
    </row>
    <row r="32" spans="1:5">
      <c r="A32" t="s">
        <v>336</v>
      </c>
    </row>
    <row r="33" spans="1:4">
      <c r="A33" s="1" t="s">
        <v>337</v>
      </c>
      <c r="B33" s="1">
        <f>'Boilers &amp; Heat Pumps'!B56</f>
        <v>5280</v>
      </c>
    </row>
    <row r="36" spans="1:4">
      <c r="A36" s="16" t="s">
        <v>26</v>
      </c>
      <c r="B36" s="46">
        <v>3412.14</v>
      </c>
      <c r="C36" s="40" t="s">
        <v>30</v>
      </c>
    </row>
    <row r="37" spans="1:4">
      <c r="B37" s="32"/>
    </row>
    <row r="38" spans="1:4">
      <c r="A38" s="45" t="s">
        <v>326</v>
      </c>
      <c r="B38" s="44"/>
      <c r="C38" s="44"/>
      <c r="D38" s="44"/>
    </row>
    <row r="39" spans="1:4">
      <c r="A39" s="1" t="s">
        <v>296</v>
      </c>
      <c r="B39" s="7" t="s">
        <v>327</v>
      </c>
      <c r="C39" s="7" t="s">
        <v>328</v>
      </c>
      <c r="D39" s="7" t="s">
        <v>329</v>
      </c>
    </row>
    <row r="40" spans="1:4">
      <c r="A40" t="s">
        <v>298</v>
      </c>
      <c r="B40">
        <f>$B$33*D23*B36</f>
        <v>270241488</v>
      </c>
      <c r="C40" s="25">
        <f>($B$17*$B$5+$B$18*SUM($B$6:$B$7)+$B$19*$B$13)/SUM($B$5:$B$7,$B$13)</f>
        <v>9396.8189233278954</v>
      </c>
      <c r="D40" s="12">
        <f>C40/B40</f>
        <v>3.4771933032458345E-5</v>
      </c>
    </row>
    <row r="41" spans="1:4">
      <c r="A41" t="s">
        <v>299</v>
      </c>
      <c r="B41">
        <f>$B$33*C24</f>
        <v>295680000</v>
      </c>
      <c r="C41" s="25">
        <f>($B$17*$B$5+$B$18*SUM($B$6:$B$7)+$B$19*$B$13)/SUM($B$5:$B$7,$B$13)</f>
        <v>9396.8189233278954</v>
      </c>
      <c r="D41" s="12">
        <f>C41/B41</f>
        <v>3.1780367029653324E-5</v>
      </c>
    </row>
    <row r="50" spans="1:5">
      <c r="A50" s="11" t="s">
        <v>330</v>
      </c>
    </row>
    <row r="51" spans="1:5">
      <c r="A51" s="41" t="s">
        <v>312</v>
      </c>
      <c r="B51" s="42"/>
      <c r="C51" s="42"/>
      <c r="D51" s="11" t="s">
        <v>320</v>
      </c>
    </row>
    <row r="52" spans="1:5">
      <c r="A52" s="1" t="s">
        <v>313</v>
      </c>
      <c r="B52" s="7" t="s">
        <v>314</v>
      </c>
      <c r="C52" s="1" t="s">
        <v>315</v>
      </c>
    </row>
    <row r="53" spans="1:5">
      <c r="A53" t="s">
        <v>298</v>
      </c>
      <c r="B53">
        <v>722000</v>
      </c>
      <c r="C53" s="43">
        <f>B53/SUM($B$53:$B$54)</f>
        <v>0.45012468827930174</v>
      </c>
    </row>
    <row r="54" spans="1:5">
      <c r="A54" t="s">
        <v>299</v>
      </c>
      <c r="B54">
        <v>882000</v>
      </c>
      <c r="C54" s="43">
        <f>B54/SUM($B$53:$B$54)</f>
        <v>0.54987531172069826</v>
      </c>
    </row>
    <row r="56" spans="1:5">
      <c r="A56" s="78" t="s">
        <v>852</v>
      </c>
    </row>
    <row r="57" spans="1:5">
      <c r="A57" s="38" t="s">
        <v>853</v>
      </c>
    </row>
    <row r="58" spans="1:5">
      <c r="A58" s="79" t="s">
        <v>854</v>
      </c>
      <c r="B58" s="79" t="s">
        <v>855</v>
      </c>
      <c r="C58" s="79" t="s">
        <v>856</v>
      </c>
      <c r="D58" s="79" t="s">
        <v>857</v>
      </c>
      <c r="E58" s="79" t="s">
        <v>858</v>
      </c>
    </row>
    <row r="59" spans="1:5">
      <c r="A59" s="38" t="s">
        <v>859</v>
      </c>
      <c r="B59" s="189">
        <f>'Boilers &amp; Heat Pumps'!H21</f>
        <v>1.988884641576574E-5</v>
      </c>
      <c r="C59" s="68">
        <f>$D$41*$B$64</f>
        <v>4.1536919978021148E-5</v>
      </c>
      <c r="D59" s="68">
        <f>$B$63*B59+(1-$B$63)*C59</f>
        <v>2.9630479518780673E-5</v>
      </c>
      <c r="E59" s="190">
        <f>D59/$D$41-1</f>
        <v>-6.7648290810066958E-2</v>
      </c>
    </row>
    <row r="60" spans="1:5">
      <c r="A60" s="38" t="s">
        <v>860</v>
      </c>
      <c r="B60" s="189">
        <f>'Boilers &amp; Heat Pumps'!H22</f>
        <v>1.3097712072988588E-5</v>
      </c>
      <c r="C60" s="68">
        <f>$D$41*$B$64</f>
        <v>4.1536919978021148E-5</v>
      </c>
      <c r="D60" s="68">
        <f>$B$63*B60+(1-$B$63)*C60</f>
        <v>2.5895355630253241E-5</v>
      </c>
      <c r="E60" s="190">
        <f>D60/$D$41-1</f>
        <v>-0.18517757815411484</v>
      </c>
    </row>
    <row r="61" spans="1:5">
      <c r="A61" s="38" t="s">
        <v>861</v>
      </c>
      <c r="B61" s="189">
        <f>'Boilers &amp; Heat Pumps'!H23</f>
        <v>6.2918941964973188E-6</v>
      </c>
      <c r="C61" s="68">
        <f>$D$41*$B$64</f>
        <v>4.1536919978021148E-5</v>
      </c>
      <c r="D61" s="68">
        <f>$B$63*B61+(1-$B$63)*C61</f>
        <v>2.2152155798183041E-5</v>
      </c>
      <c r="E61" s="190">
        <f>D61/$D$41-1</f>
        <v>-0.3029609828762041</v>
      </c>
    </row>
    <row r="63" spans="1:5">
      <c r="A63" s="38" t="s">
        <v>862</v>
      </c>
      <c r="B63" s="191">
        <v>0.55000000000000004</v>
      </c>
    </row>
    <row r="64" spans="1:5">
      <c r="A64" s="38" t="s">
        <v>1223</v>
      </c>
      <c r="B64" s="389">
        <f>cpi!D62/cpi!D54</f>
        <v>1.3069993791847738</v>
      </c>
    </row>
    <row r="65" spans="1:1">
      <c r="A65" s="83" t="s">
        <v>863</v>
      </c>
    </row>
    <row r="66" spans="1:1">
      <c r="A66" s="80" t="s">
        <v>865</v>
      </c>
    </row>
    <row r="67" spans="1:1">
      <c r="A67" s="80" t="s">
        <v>864</v>
      </c>
    </row>
    <row r="68" spans="1:1">
      <c r="A68" s="38" t="s">
        <v>866</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7825-E51A-4EE8-BEA7-048823A51DEE}">
  <dimension ref="A1:I146"/>
  <sheetViews>
    <sheetView topLeftCell="A71" zoomScaleNormal="100" workbookViewId="0">
      <selection activeCell="B111" sqref="B111"/>
    </sheetView>
  </sheetViews>
  <sheetFormatPr defaultColWidth="8.85546875" defaultRowHeight="15"/>
  <cols>
    <col min="1" max="1" width="13.85546875" customWidth="1"/>
    <col min="4" max="4" width="11.42578125" customWidth="1"/>
    <col min="6" max="6" width="17.7109375" customWidth="1"/>
    <col min="9" max="9" width="9.28515625" customWidth="1"/>
  </cols>
  <sheetData>
    <row r="1" spans="1:9">
      <c r="A1" s="17" t="s">
        <v>154</v>
      </c>
      <c r="B1" s="18"/>
      <c r="C1" s="18"/>
      <c r="D1" s="18"/>
      <c r="E1" s="18"/>
      <c r="F1" s="18"/>
      <c r="G1" s="18"/>
    </row>
    <row r="2" spans="1:9">
      <c r="I2" s="1" t="s">
        <v>166</v>
      </c>
    </row>
    <row r="3" spans="1:9">
      <c r="A3" t="s">
        <v>155</v>
      </c>
      <c r="C3" s="25"/>
      <c r="F3" s="25">
        <f>254*1.04</f>
        <v>264.16000000000003</v>
      </c>
      <c r="G3" t="s">
        <v>156</v>
      </c>
      <c r="I3" s="15" t="s">
        <v>172</v>
      </c>
    </row>
    <row r="4" spans="1:9">
      <c r="A4" t="s">
        <v>157</v>
      </c>
      <c r="F4">
        <v>450</v>
      </c>
      <c r="G4" t="s">
        <v>158</v>
      </c>
      <c r="I4" s="15" t="s">
        <v>168</v>
      </c>
    </row>
    <row r="5" spans="1:9">
      <c r="A5" t="s">
        <v>159</v>
      </c>
      <c r="C5" s="32"/>
      <c r="F5" s="32">
        <v>800000</v>
      </c>
      <c r="G5" t="s">
        <v>160</v>
      </c>
      <c r="I5" s="15" t="s">
        <v>170</v>
      </c>
    </row>
    <row r="7" spans="1:9">
      <c r="A7" t="s">
        <v>420</v>
      </c>
      <c r="F7">
        <f>F4*F5</f>
        <v>360000000</v>
      </c>
      <c r="G7" t="s">
        <v>161</v>
      </c>
    </row>
    <row r="8" spans="1:9">
      <c r="A8" t="s">
        <v>421</v>
      </c>
      <c r="F8">
        <f>F7*0.003412</f>
        <v>1228320</v>
      </c>
      <c r="G8" t="s">
        <v>162</v>
      </c>
    </row>
    <row r="9" spans="1:9">
      <c r="A9" t="s">
        <v>163</v>
      </c>
      <c r="F9" s="25">
        <f>F3*F5</f>
        <v>211328000.00000003</v>
      </c>
      <c r="G9" t="s">
        <v>164</v>
      </c>
    </row>
    <row r="10" spans="1:9">
      <c r="A10" t="s">
        <v>165</v>
      </c>
      <c r="F10" s="12">
        <f>F9/(F8*10^6)</f>
        <v>1.7204637228083889E-4</v>
      </c>
      <c r="G10" t="s">
        <v>165</v>
      </c>
      <c r="I10" s="24" t="s">
        <v>342</v>
      </c>
    </row>
    <row r="12" spans="1:9">
      <c r="A12" t="s">
        <v>169</v>
      </c>
      <c r="E12">
        <f>8760*155</f>
        <v>1357800</v>
      </c>
      <c r="F12" t="s">
        <v>171</v>
      </c>
    </row>
    <row r="14" spans="1:9">
      <c r="A14" s="17" t="s">
        <v>293</v>
      </c>
      <c r="B14" s="18"/>
      <c r="C14" s="18"/>
      <c r="D14" s="18"/>
      <c r="E14" s="18"/>
      <c r="F14" s="18"/>
      <c r="G14" s="18"/>
    </row>
    <row r="16" spans="1:9">
      <c r="A16" t="s">
        <v>267</v>
      </c>
      <c r="F16" s="20">
        <v>170</v>
      </c>
      <c r="G16" t="s">
        <v>268</v>
      </c>
    </row>
    <row r="17" spans="1:9">
      <c r="F17" s="39">
        <f>F16/F23</f>
        <v>26.356589147286826</v>
      </c>
      <c r="G17" t="s">
        <v>271</v>
      </c>
    </row>
    <row r="18" spans="1:9">
      <c r="F18" s="39">
        <f>F17/277.778</f>
        <v>9.4883645023316546E-2</v>
      </c>
      <c r="G18" t="s">
        <v>272</v>
      </c>
    </row>
    <row r="19" spans="1:9">
      <c r="F19" s="9">
        <f>F18/3412</f>
        <v>2.7808805692648461E-5</v>
      </c>
      <c r="G19" t="s">
        <v>19</v>
      </c>
      <c r="I19" s="24" t="s">
        <v>343</v>
      </c>
    </row>
    <row r="21" spans="1:9">
      <c r="A21" t="s">
        <v>204</v>
      </c>
      <c r="F21">
        <v>36000000</v>
      </c>
      <c r="G21" t="s">
        <v>214</v>
      </c>
      <c r="I21" s="15" t="s">
        <v>213</v>
      </c>
    </row>
    <row r="22" spans="1:9">
      <c r="A22" t="s">
        <v>204</v>
      </c>
      <c r="F22" s="20">
        <f>F21*0.14</f>
        <v>5040000.0000000009</v>
      </c>
      <c r="G22" t="s">
        <v>54</v>
      </c>
      <c r="I22" s="15"/>
    </row>
    <row r="23" spans="1:9">
      <c r="A23" t="s">
        <v>180</v>
      </c>
      <c r="F23">
        <f>AVERAGE(5.1,7.8)</f>
        <v>6.4499999999999993</v>
      </c>
      <c r="G23" t="s">
        <v>205</v>
      </c>
      <c r="I23" t="s">
        <v>212</v>
      </c>
    </row>
    <row r="24" spans="1:9">
      <c r="A24" t="s">
        <v>209</v>
      </c>
      <c r="F24">
        <v>8000</v>
      </c>
      <c r="G24" t="s">
        <v>210</v>
      </c>
      <c r="I24" s="15" t="s">
        <v>211</v>
      </c>
    </row>
    <row r="25" spans="1:9">
      <c r="A25" t="s">
        <v>216</v>
      </c>
      <c r="F25">
        <v>600</v>
      </c>
      <c r="G25" t="s">
        <v>215</v>
      </c>
      <c r="I25" s="15" t="s">
        <v>213</v>
      </c>
    </row>
    <row r="26" spans="1:9">
      <c r="F26">
        <f>F23*F25</f>
        <v>3869.9999999999995</v>
      </c>
      <c r="G26" t="s">
        <v>269</v>
      </c>
      <c r="I26" s="15"/>
    </row>
    <row r="27" spans="1:9">
      <c r="F27">
        <f>F26*(F24/24)</f>
        <v>1289999.9999999998</v>
      </c>
      <c r="G27" t="s">
        <v>270</v>
      </c>
      <c r="I27" s="15"/>
    </row>
    <row r="28" spans="1:9">
      <c r="A28" t="s">
        <v>420</v>
      </c>
      <c r="F28">
        <f>F27*277.778</f>
        <v>358333619.99999994</v>
      </c>
      <c r="G28" t="s">
        <v>161</v>
      </c>
      <c r="I28" t="s">
        <v>217</v>
      </c>
    </row>
    <row r="29" spans="1:9">
      <c r="A29" t="s">
        <v>421</v>
      </c>
      <c r="F29">
        <f>F28*0.003412</f>
        <v>1222634.3114399998</v>
      </c>
      <c r="G29" t="s">
        <v>162</v>
      </c>
    </row>
    <row r="30" spans="1:9">
      <c r="A30" t="s">
        <v>165</v>
      </c>
      <c r="F30" s="12">
        <f>(F21*0.14)/(F29*10^6)</f>
        <v>4.1222464909102436E-6</v>
      </c>
      <c r="G30" t="s">
        <v>165</v>
      </c>
      <c r="I30" t="s">
        <v>218</v>
      </c>
    </row>
    <row r="32" spans="1:9">
      <c r="A32" s="1" t="s">
        <v>273</v>
      </c>
    </row>
    <row r="34" spans="1:9">
      <c r="A34" t="s">
        <v>274</v>
      </c>
      <c r="F34">
        <v>21.08</v>
      </c>
      <c r="G34" t="s">
        <v>275</v>
      </c>
      <c r="I34" s="15" t="s">
        <v>286</v>
      </c>
    </row>
    <row r="35" spans="1:9">
      <c r="A35" t="s">
        <v>276</v>
      </c>
      <c r="F35">
        <v>0.76</v>
      </c>
      <c r="G35" t="s">
        <v>138</v>
      </c>
      <c r="I35" s="15" t="s">
        <v>278</v>
      </c>
    </row>
    <row r="36" spans="1:9">
      <c r="A36" t="s">
        <v>274</v>
      </c>
      <c r="F36" s="34">
        <f>F34*F35</f>
        <v>16.020799999999998</v>
      </c>
      <c r="G36" t="s">
        <v>277</v>
      </c>
    </row>
    <row r="37" spans="1:9">
      <c r="F37">
        <v>1.3284</v>
      </c>
      <c r="G37" t="s">
        <v>279</v>
      </c>
    </row>
    <row r="38" spans="1:9">
      <c r="F38" s="34">
        <f>F36*F37</f>
        <v>21.282030719999998</v>
      </c>
      <c r="G38" t="s">
        <v>280</v>
      </c>
    </row>
    <row r="39" spans="1:9">
      <c r="F39">
        <v>1.32</v>
      </c>
      <c r="G39" t="s">
        <v>281</v>
      </c>
    </row>
    <row r="40" spans="1:9">
      <c r="F40" s="34">
        <f>F38*F39</f>
        <v>28.092280550399998</v>
      </c>
      <c r="G40" t="s">
        <v>282</v>
      </c>
    </row>
    <row r="41" spans="1:9">
      <c r="F41" s="34">
        <f>F40/F23</f>
        <v>4.3553923333953488</v>
      </c>
      <c r="G41" t="s">
        <v>283</v>
      </c>
    </row>
    <row r="42" spans="1:9">
      <c r="F42">
        <v>277.77800000000002</v>
      </c>
      <c r="G42" t="s">
        <v>284</v>
      </c>
    </row>
    <row r="43" spans="1:9">
      <c r="F43">
        <f>F41/F42</f>
        <v>1.5679399856703368E-2</v>
      </c>
      <c r="G43" t="s">
        <v>285</v>
      </c>
    </row>
    <row r="44" spans="1:9">
      <c r="F44">
        <v>3412.14</v>
      </c>
      <c r="G44" t="s">
        <v>287</v>
      </c>
    </row>
    <row r="45" spans="1:9">
      <c r="F45" s="12">
        <f>F43/F44</f>
        <v>4.5951806950193628E-6</v>
      </c>
      <c r="G45" t="s">
        <v>288</v>
      </c>
    </row>
    <row r="47" spans="1:9">
      <c r="A47" s="17" t="s">
        <v>173</v>
      </c>
      <c r="B47" s="18"/>
      <c r="C47" s="18"/>
      <c r="D47" s="18"/>
      <c r="E47" s="18"/>
      <c r="F47" s="18"/>
      <c r="G47" s="18"/>
    </row>
    <row r="49" spans="1:9">
      <c r="A49" t="s">
        <v>174</v>
      </c>
      <c r="F49" s="32">
        <v>6000000</v>
      </c>
      <c r="G49" s="33" t="s">
        <v>175</v>
      </c>
      <c r="I49" s="15" t="s">
        <v>194</v>
      </c>
    </row>
    <row r="50" spans="1:9">
      <c r="A50" t="s">
        <v>176</v>
      </c>
      <c r="F50">
        <v>300</v>
      </c>
      <c r="G50" t="s">
        <v>177</v>
      </c>
      <c r="I50" s="15" t="s">
        <v>194</v>
      </c>
    </row>
    <row r="51" spans="1:9">
      <c r="A51" t="s">
        <v>178</v>
      </c>
      <c r="F51">
        <v>8760</v>
      </c>
      <c r="G51" t="s">
        <v>179</v>
      </c>
      <c r="I51" s="15" t="s">
        <v>194</v>
      </c>
    </row>
    <row r="52" spans="1:9">
      <c r="A52" t="s">
        <v>180</v>
      </c>
      <c r="F52">
        <v>1100</v>
      </c>
      <c r="G52" t="s">
        <v>158</v>
      </c>
      <c r="I52" s="15" t="s">
        <v>194</v>
      </c>
    </row>
    <row r="54" spans="1:9">
      <c r="A54" t="s">
        <v>420</v>
      </c>
      <c r="F54">
        <f>(F3*365)*F52</f>
        <v>106060240.00000001</v>
      </c>
      <c r="G54" t="s">
        <v>161</v>
      </c>
    </row>
    <row r="55" spans="1:9">
      <c r="A55" t="s">
        <v>421</v>
      </c>
      <c r="F55" s="34">
        <f>F54*0.003412</f>
        <v>361877.53888000007</v>
      </c>
      <c r="G55" t="s">
        <v>162</v>
      </c>
    </row>
    <row r="56" spans="1:9">
      <c r="A56" t="s">
        <v>165</v>
      </c>
      <c r="F56" s="12">
        <f>(F49*1.25)/(F55*10^6)</f>
        <v>2.0725243194734525E-5</v>
      </c>
      <c r="G56" t="s">
        <v>165</v>
      </c>
    </row>
    <row r="58" spans="1:9">
      <c r="A58" s="17" t="s">
        <v>200</v>
      </c>
      <c r="B58" s="18"/>
      <c r="C58" s="18"/>
      <c r="D58" s="18"/>
      <c r="E58" s="18"/>
      <c r="F58" s="18"/>
      <c r="G58" s="18"/>
    </row>
    <row r="60" spans="1:9">
      <c r="A60" t="s">
        <v>197</v>
      </c>
      <c r="F60">
        <f>574-184</f>
        <v>390</v>
      </c>
      <c r="G60" s="33" t="s">
        <v>198</v>
      </c>
    </row>
    <row r="61" spans="1:9">
      <c r="A61" t="s">
        <v>157</v>
      </c>
      <c r="F61">
        <v>3500</v>
      </c>
      <c r="G61" t="s">
        <v>201</v>
      </c>
      <c r="I61" s="15" t="s">
        <v>199</v>
      </c>
    </row>
    <row r="62" spans="1:9">
      <c r="A62" t="s">
        <v>159</v>
      </c>
      <c r="F62" s="32">
        <v>1500000</v>
      </c>
      <c r="G62" t="s">
        <v>203</v>
      </c>
      <c r="I62" s="15" t="s">
        <v>202</v>
      </c>
    </row>
    <row r="64" spans="1:9">
      <c r="A64" t="s">
        <v>420</v>
      </c>
      <c r="F64">
        <f>F61*F62</f>
        <v>5250000000</v>
      </c>
      <c r="G64" t="s">
        <v>161</v>
      </c>
    </row>
    <row r="65" spans="1:9">
      <c r="A65" t="s">
        <v>421</v>
      </c>
      <c r="F65">
        <f>F64*0.003412</f>
        <v>17913000</v>
      </c>
      <c r="G65" t="s">
        <v>162</v>
      </c>
    </row>
    <row r="66" spans="1:9">
      <c r="A66" t="s">
        <v>163</v>
      </c>
      <c r="F66" s="25">
        <f>F60*F62</f>
        <v>585000000</v>
      </c>
      <c r="G66" t="s">
        <v>164</v>
      </c>
    </row>
    <row r="67" spans="1:9">
      <c r="A67" t="s">
        <v>165</v>
      </c>
      <c r="F67" s="12">
        <f>F66/(F65*10^6)</f>
        <v>3.265784625690839E-5</v>
      </c>
      <c r="G67" t="s">
        <v>165</v>
      </c>
    </row>
    <row r="70" spans="1:9">
      <c r="A70" s="1" t="s">
        <v>531</v>
      </c>
    </row>
    <row r="71" spans="1:9">
      <c r="A71" t="s">
        <v>532</v>
      </c>
      <c r="F71" s="74">
        <v>238</v>
      </c>
      <c r="G71" t="s">
        <v>533</v>
      </c>
      <c r="I71" t="s">
        <v>534</v>
      </c>
    </row>
    <row r="72" spans="1:9">
      <c r="A72" t="s">
        <v>535</v>
      </c>
      <c r="F72">
        <f>'Boilers &amp; Heat Pumps'!B7</f>
        <v>1.0822000000000001</v>
      </c>
      <c r="G72" t="s">
        <v>529</v>
      </c>
    </row>
    <row r="73" spans="1:9">
      <c r="A73" t="s">
        <v>532</v>
      </c>
      <c r="F73">
        <f>F71*F72</f>
        <v>257.56360000000001</v>
      </c>
      <c r="G73" t="s">
        <v>525</v>
      </c>
    </row>
    <row r="74" spans="1:9">
      <c r="A74" t="s">
        <v>536</v>
      </c>
      <c r="F74">
        <f>'Boilers &amp; Heat Pumps'!B9*'Boilers &amp; Heat Pumps'!B10</f>
        <v>5240.25</v>
      </c>
      <c r="G74" t="s">
        <v>537</v>
      </c>
      <c r="I74" t="s">
        <v>538</v>
      </c>
    </row>
    <row r="75" spans="1:9">
      <c r="A75" t="s">
        <v>415</v>
      </c>
      <c r="F75">
        <f>F73/F74</f>
        <v>4.9151013787510141E-2</v>
      </c>
      <c r="G75" t="s">
        <v>526</v>
      </c>
    </row>
    <row r="76" spans="1:9">
      <c r="A76" t="s">
        <v>26</v>
      </c>
      <c r="F76">
        <f>'Boilers &amp; Heat Pumps'!B13</f>
        <v>3412.14</v>
      </c>
      <c r="G76" t="s">
        <v>30</v>
      </c>
    </row>
    <row r="77" spans="1:9">
      <c r="A77" t="s">
        <v>416</v>
      </c>
      <c r="F77" s="75">
        <f>F75/F76</f>
        <v>1.4404747105192091E-5</v>
      </c>
      <c r="G77" t="s">
        <v>513</v>
      </c>
    </row>
    <row r="80" spans="1:9">
      <c r="A80" s="78" t="s">
        <v>555</v>
      </c>
    </row>
    <row r="81" spans="1:6">
      <c r="A81" s="38" t="s">
        <v>556</v>
      </c>
    </row>
    <row r="83" spans="1:6">
      <c r="A83" s="79" t="s">
        <v>557</v>
      </c>
      <c r="B83" s="79" t="s">
        <v>532</v>
      </c>
      <c r="C83" s="79" t="s">
        <v>29</v>
      </c>
      <c r="D83" s="79" t="s">
        <v>558</v>
      </c>
      <c r="E83" s="79" t="s">
        <v>559</v>
      </c>
      <c r="F83" s="79" t="s">
        <v>166</v>
      </c>
    </row>
    <row r="84" spans="1:6">
      <c r="A84" s="38" t="s">
        <v>560</v>
      </c>
      <c r="B84" s="81">
        <f>175*(About!$C$133/About!$C$130)*$F$72</f>
        <v>232.37381047653696</v>
      </c>
      <c r="C84" s="38" t="s">
        <v>561</v>
      </c>
      <c r="D84" s="76">
        <v>0.55000000000000004</v>
      </c>
      <c r="E84" s="76">
        <v>0</v>
      </c>
      <c r="F84" s="80" t="s">
        <v>1146</v>
      </c>
    </row>
    <row r="85" spans="1:6">
      <c r="A85" s="38" t="s">
        <v>562</v>
      </c>
      <c r="B85" s="81">
        <f>F73</f>
        <v>257.56360000000001</v>
      </c>
      <c r="C85" s="38" t="s">
        <v>561</v>
      </c>
      <c r="D85" s="76">
        <v>0.3</v>
      </c>
      <c r="E85" s="76">
        <v>0.55000000000000004</v>
      </c>
      <c r="F85" s="38" t="s">
        <v>563</v>
      </c>
    </row>
    <row r="86" spans="1:6">
      <c r="A86" s="38" t="s">
        <v>564</v>
      </c>
      <c r="B86" s="81">
        <f>B103</f>
        <v>365.38990176225559</v>
      </c>
      <c r="C86" s="38" t="s">
        <v>561</v>
      </c>
      <c r="D86" s="76">
        <v>0.05</v>
      </c>
      <c r="E86" s="76">
        <v>0.4</v>
      </c>
      <c r="F86" s="80" t="s">
        <v>847</v>
      </c>
    </row>
    <row r="87" spans="1:6">
      <c r="A87" s="38" t="s">
        <v>565</v>
      </c>
      <c r="B87" s="81">
        <f>Other!E3/Other!E4</f>
        <v>157.81888888888889</v>
      </c>
      <c r="C87" s="38" t="s">
        <v>561</v>
      </c>
      <c r="D87" s="76">
        <v>0.1</v>
      </c>
      <c r="E87" s="76">
        <v>0.05</v>
      </c>
      <c r="F87" s="80" t="s">
        <v>837</v>
      </c>
    </row>
    <row r="88" spans="1:6">
      <c r="A88" s="79" t="s">
        <v>566</v>
      </c>
      <c r="D88" s="82">
        <f>SUM(D84:D87)</f>
        <v>1.0000000000000002</v>
      </c>
      <c r="E88" s="82">
        <f>SUM(E84:E87)</f>
        <v>1</v>
      </c>
    </row>
    <row r="89" spans="1:6">
      <c r="A89" s="38" t="s">
        <v>838</v>
      </c>
      <c r="B89" s="186">
        <f>0.07*1000*$F$72</f>
        <v>75.754000000000005</v>
      </c>
      <c r="C89" s="38" t="s">
        <v>839</v>
      </c>
    </row>
    <row r="90" spans="1:6">
      <c r="A90" s="79" t="s">
        <v>567</v>
      </c>
      <c r="B90" s="81">
        <f>SUMPRODUCT($B$84:$B$87,D84:D87)</f>
        <v>239.12605973909703</v>
      </c>
      <c r="C90" s="38" t="s">
        <v>561</v>
      </c>
    </row>
    <row r="91" spans="1:6">
      <c r="A91" s="79" t="s">
        <v>568</v>
      </c>
      <c r="B91" s="81">
        <f>SUMPRODUCT($B$84:$B$87,E84:E87)</f>
        <v>295.7068851493467</v>
      </c>
      <c r="C91" s="38" t="s">
        <v>561</v>
      </c>
    </row>
    <row r="93" spans="1:6">
      <c r="A93" s="79" t="s">
        <v>569</v>
      </c>
      <c r="B93" s="68">
        <f>B90/$F$74/$F$76</f>
        <v>1.3373591675231861E-5</v>
      </c>
      <c r="C93" s="38" t="s">
        <v>513</v>
      </c>
    </row>
    <row r="94" spans="1:6">
      <c r="A94" s="79" t="s">
        <v>570</v>
      </c>
      <c r="B94" s="68">
        <f>B91/$F$74/$F$76</f>
        <v>1.6537984784497585E-5</v>
      </c>
      <c r="C94" s="38" t="s">
        <v>513</v>
      </c>
    </row>
    <row r="96" spans="1:6">
      <c r="A96" s="83" t="s">
        <v>571</v>
      </c>
    </row>
    <row r="98" spans="1:3">
      <c r="A98" s="78" t="s">
        <v>841</v>
      </c>
    </row>
    <row r="99" spans="1:3">
      <c r="A99" s="38" t="s">
        <v>842</v>
      </c>
      <c r="B99" s="187">
        <v>600000</v>
      </c>
    </row>
    <row r="100" spans="1:3">
      <c r="A100" s="38" t="s">
        <v>843</v>
      </c>
      <c r="B100" s="187">
        <v>12000000</v>
      </c>
    </row>
    <row r="101" spans="1:3">
      <c r="A101" s="38" t="s">
        <v>844</v>
      </c>
      <c r="B101" s="63">
        <f>B99/B100</f>
        <v>0.05</v>
      </c>
    </row>
    <row r="102" spans="1:3">
      <c r="A102" s="38" t="s">
        <v>849</v>
      </c>
      <c r="B102" s="63">
        <f>B101*About!$C$132/About!$C$130</f>
        <v>6.972757058580327E-2</v>
      </c>
    </row>
    <row r="103" spans="1:3">
      <c r="A103" s="38" t="s">
        <v>845</v>
      </c>
      <c r="B103" s="81">
        <f>B102*$F$74</f>
        <v>365.38990176225559</v>
      </c>
    </row>
    <row r="104" spans="1:3">
      <c r="A104" s="80" t="s">
        <v>846</v>
      </c>
    </row>
    <row r="105" spans="1:3">
      <c r="A105" s="38" t="s">
        <v>850</v>
      </c>
      <c r="B105" s="186">
        <f>B101*About!$C$131/About!$C$130*$F$74</f>
        <v>723.50738655369742</v>
      </c>
      <c r="C105" s="38" t="s">
        <v>851</v>
      </c>
    </row>
    <row r="106" spans="1:3">
      <c r="A106" s="80" t="s">
        <v>1217</v>
      </c>
    </row>
    <row r="107" spans="1:3">
      <c r="A107" s="78" t="s">
        <v>1028</v>
      </c>
    </row>
    <row r="108" spans="1:3">
      <c r="A108" s="38" t="s">
        <v>1029</v>
      </c>
    </row>
    <row r="109" spans="1:3">
      <c r="A109" s="38" t="s">
        <v>1030</v>
      </c>
      <c r="B109" s="387">
        <v>20000</v>
      </c>
      <c r="C109" s="38" t="s">
        <v>1031</v>
      </c>
    </row>
    <row r="110" spans="1:3">
      <c r="A110" s="38" t="s">
        <v>1032</v>
      </c>
      <c r="B110" s="388">
        <v>70</v>
      </c>
      <c r="C110" s="38" t="s">
        <v>1033</v>
      </c>
    </row>
    <row r="111" spans="1:3">
      <c r="A111" s="38" t="s">
        <v>1034</v>
      </c>
      <c r="B111" s="389">
        <f>800/397</f>
        <v>2.0151133501259446</v>
      </c>
    </row>
    <row r="112" spans="1:3">
      <c r="A112" s="38" t="s">
        <v>1035</v>
      </c>
      <c r="B112" s="390">
        <v>2.2000000000000002</v>
      </c>
    </row>
    <row r="113" spans="1:4">
      <c r="A113" s="38" t="s">
        <v>1036</v>
      </c>
      <c r="B113" s="81">
        <f>B110*B111*B112</f>
        <v>310.3274559193955</v>
      </c>
      <c r="C113" s="38" t="s">
        <v>1037</v>
      </c>
    </row>
    <row r="114" spans="1:4">
      <c r="A114" s="38" t="s">
        <v>1219</v>
      </c>
      <c r="B114" s="77">
        <v>0.50270000000000004</v>
      </c>
      <c r="C114" s="77">
        <v>0.55289999999999995</v>
      </c>
      <c r="D114" s="77">
        <v>0.57809999999999995</v>
      </c>
    </row>
    <row r="115" spans="1:4">
      <c r="A115" s="38" t="s">
        <v>1220</v>
      </c>
      <c r="B115" s="81">
        <f>$B$113/B114</f>
        <v>617.32137640619749</v>
      </c>
      <c r="C115" s="81">
        <f>$B$113/$C$114</f>
        <v>561.27230225971334</v>
      </c>
      <c r="D115" s="81">
        <f>$B$113/D114</f>
        <v>536.80583968067037</v>
      </c>
    </row>
    <row r="116" spans="1:4">
      <c r="A116" s="38" t="s">
        <v>520</v>
      </c>
      <c r="B116" s="187">
        <v>8760</v>
      </c>
      <c r="C116" s="38" t="s">
        <v>413</v>
      </c>
    </row>
    <row r="117" spans="1:4">
      <c r="A117" s="79" t="s">
        <v>1221</v>
      </c>
      <c r="B117" s="75">
        <f>B115/$B$116/$F$76</f>
        <v>2.0652867924146823E-5</v>
      </c>
      <c r="C117" s="75">
        <f>$C$115/$B$116/$F$76</f>
        <v>1.8777711530961497E-5</v>
      </c>
      <c r="D117" s="75">
        <f>D115/$B$116/$F$76</f>
        <v>1.7959170914147397E-5</v>
      </c>
    </row>
    <row r="118" spans="1:4">
      <c r="A118" s="38" t="s">
        <v>1222</v>
      </c>
      <c r="B118" s="190">
        <f>D117/F56-1</f>
        <v>-0.13346392390174122</v>
      </c>
    </row>
    <row r="120" spans="1:4">
      <c r="A120" s="78" t="s">
        <v>1117</v>
      </c>
    </row>
    <row r="121" spans="1:4">
      <c r="A121" s="38" t="s">
        <v>1218</v>
      </c>
    </row>
    <row r="122" spans="1:4">
      <c r="A122" s="38" t="s">
        <v>1030</v>
      </c>
      <c r="B122" s="387">
        <v>50000</v>
      </c>
      <c r="C122" s="38" t="s">
        <v>1031</v>
      </c>
    </row>
    <row r="123" spans="1:4">
      <c r="A123" s="38" t="s">
        <v>1118</v>
      </c>
      <c r="B123" s="388">
        <v>51</v>
      </c>
      <c r="C123" s="38" t="s">
        <v>1033</v>
      </c>
    </row>
    <row r="124" spans="1:4">
      <c r="A124" s="38" t="s">
        <v>1036</v>
      </c>
      <c r="B124" s="81">
        <f>B123*$B$111*$B$112</f>
        <v>226.09571788413101</v>
      </c>
      <c r="C124" s="38" t="s">
        <v>1037</v>
      </c>
    </row>
    <row r="125" spans="1:4">
      <c r="A125" s="38" t="s">
        <v>1119</v>
      </c>
      <c r="B125" s="77">
        <v>0.495</v>
      </c>
      <c r="C125" s="77">
        <v>0.501</v>
      </c>
      <c r="D125" s="77">
        <v>0.48899999999999999</v>
      </c>
    </row>
    <row r="126" spans="1:4">
      <c r="A126" s="79" t="s">
        <v>1120</v>
      </c>
      <c r="B126" s="68">
        <f>$B$124/B125/$B$116/$F$76</f>
        <v>1.5281155324066354E-5</v>
      </c>
      <c r="C126" s="68">
        <f>$B$124/C125/$B$116/$F$76</f>
        <v>1.5098147475873939E-5</v>
      </c>
      <c r="D126" s="68">
        <f>$B$124/D125/$B$116/$F$76</f>
        <v>1.5468654162398453E-5</v>
      </c>
    </row>
    <row r="128" spans="1:4">
      <c r="A128" s="78" t="s">
        <v>1121</v>
      </c>
    </row>
    <row r="129" spans="1:7">
      <c r="A129" s="38" t="s">
        <v>1122</v>
      </c>
    </row>
    <row r="130" spans="1:7">
      <c r="A130" s="79" t="s">
        <v>1123</v>
      </c>
      <c r="B130" s="79" t="s">
        <v>1124</v>
      </c>
      <c r="C130" s="79" t="s">
        <v>1125</v>
      </c>
      <c r="D130" s="79" t="s">
        <v>1126</v>
      </c>
      <c r="E130" s="79" t="s">
        <v>1127</v>
      </c>
      <c r="F130" s="79" t="s">
        <v>1128</v>
      </c>
    </row>
    <row r="131" spans="1:7">
      <c r="A131" s="38" t="s">
        <v>1129</v>
      </c>
      <c r="B131" s="190">
        <f>'indst heat consumption'!H15</f>
        <v>0.92307692307692302</v>
      </c>
      <c r="C131" s="32">
        <f>('indst-BPFUbIP'!AV15+'indst-BPFUbIP'!AW15)*$B131</f>
        <v>0</v>
      </c>
      <c r="D131" s="32">
        <f>('indst-BPFUbIP'!U15+'indst-BPFUbIP'!V15+'indst-BPFUbIP'!L15+'indst-BPFUbIP'!M15)*$B131</f>
        <v>0</v>
      </c>
      <c r="E131" s="32">
        <f>('indst-BPFUbIP'!AD15+'indst-BPFUbIP'!AE15)*$B131</f>
        <v>110.76923076923076</v>
      </c>
      <c r="F131" s="38" t="s">
        <v>1130</v>
      </c>
    </row>
    <row r="132" spans="1:7">
      <c r="A132" s="38" t="s">
        <v>1131</v>
      </c>
      <c r="B132" s="190">
        <f>'indst heat consumption'!H16</f>
        <v>0.70329670329670324</v>
      </c>
      <c r="C132" s="32">
        <f>('indst-BPFUbIP'!AV16+'indst-BPFUbIP'!AW16)*$B132</f>
        <v>123.78021978021977</v>
      </c>
      <c r="D132" s="32">
        <f>('indst-BPFUbIP'!U16+'indst-BPFUbIP'!V16+'indst-BPFUbIP'!L16+'indst-BPFUbIP'!M16)*$B132</f>
        <v>0.70329670329670324</v>
      </c>
      <c r="E132" s="32">
        <f>('indst-BPFUbIP'!AD16+'indst-BPFUbIP'!AE16)*$B132</f>
        <v>137.14285714285714</v>
      </c>
      <c r="F132" s="38" t="s">
        <v>1132</v>
      </c>
    </row>
    <row r="133" spans="1:7">
      <c r="A133" s="38" t="s">
        <v>1133</v>
      </c>
      <c r="B133" s="190">
        <f>'indst heat consumption'!H17*$B$137</f>
        <v>0.52824858757062143</v>
      </c>
      <c r="C133" s="32">
        <f>('indst-BPFUbIP'!AV17+'indst-BPFUbIP'!AW17)*$B133</f>
        <v>3.6977401129943499</v>
      </c>
      <c r="D133" s="32">
        <f>('indst-BPFUbIP'!U17+'indst-BPFUbIP'!V17+'indst-BPFUbIP'!L17+'indst-BPFUbIP'!M17)*$B133</f>
        <v>0</v>
      </c>
      <c r="E133" s="32">
        <f>('indst-BPFUbIP'!AD17+'indst-BPFUbIP'!AE17)*$B133</f>
        <v>198.62146892655366</v>
      </c>
      <c r="F133" s="38" t="s">
        <v>1134</v>
      </c>
    </row>
    <row r="134" spans="1:7">
      <c r="A134" s="38" t="s">
        <v>1135</v>
      </c>
      <c r="B134" s="190">
        <f>'indst heat consumption'!H17*(1-$B$137)</f>
        <v>0.43220338983050838</v>
      </c>
      <c r="C134" s="32">
        <f>('indst-BPFUbIP'!AV17+'indst-BPFUbIP'!AW17)*$B134</f>
        <v>3.0254237288135588</v>
      </c>
      <c r="D134" s="32">
        <f>('indst-BPFUbIP'!U17+'indst-BPFUbIP'!V17+'indst-BPFUbIP'!L17+'indst-BPFUbIP'!M17)*$B134</f>
        <v>0</v>
      </c>
      <c r="E134" s="32">
        <f>('indst-BPFUbIP'!AD17+'indst-BPFUbIP'!AE17)*$B134</f>
        <v>162.50847457627114</v>
      </c>
      <c r="F134" s="38" t="s">
        <v>1136</v>
      </c>
    </row>
    <row r="135" spans="1:7">
      <c r="A135" s="38" t="s">
        <v>1137</v>
      </c>
      <c r="C135" s="32" cm="1">
        <f t="array" ref="C135">SUMPRODUCT(('indst-BPFUbIP'!AV18:AV25+'indst-BPFUbIP'!AW18:AW25),'indst heat consumption'!H18:H25)</f>
        <v>0</v>
      </c>
      <c r="D135" s="32" cm="1">
        <f t="array" ref="D135">SUMPRODUCT(('indst-BPFUbIP'!U18:U25+'indst-BPFUbIP'!V18:V25+'indst-BPFUbIP'!L18:L25+'indst-BPFUbIP'!M18:M25),'indst heat consumption'!H18:H25)</f>
        <v>0</v>
      </c>
      <c r="E135" s="32" cm="1">
        <f t="array" ref="E135">SUMPRODUCT(('indst-BPFUbIP'!AD18:AD25+'indst-BPFUbIP'!AE18:AE25),'indst heat consumption'!H18:H25)</f>
        <v>223.17892441860465</v>
      </c>
      <c r="F135" s="38" t="s">
        <v>1134</v>
      </c>
    </row>
    <row r="137" spans="1:7">
      <c r="A137" s="38" t="s">
        <v>1138</v>
      </c>
      <c r="B137" s="191">
        <v>0.55000000000000004</v>
      </c>
    </row>
    <row r="139" spans="1:7">
      <c r="A139" s="79" t="s">
        <v>854</v>
      </c>
      <c r="B139" s="79" t="s">
        <v>1139</v>
      </c>
      <c r="C139" s="79" t="s">
        <v>1140</v>
      </c>
      <c r="D139" s="79" t="s">
        <v>1141</v>
      </c>
      <c r="E139" s="79" t="s">
        <v>857</v>
      </c>
      <c r="F139" s="79" t="s">
        <v>1142</v>
      </c>
      <c r="G139" s="79" t="s">
        <v>1143</v>
      </c>
    </row>
    <row r="140" spans="1:7">
      <c r="A140" s="38" t="s">
        <v>859</v>
      </c>
      <c r="B140" s="190">
        <f>C131/SUM($C$131:$C$135)</f>
        <v>0</v>
      </c>
      <c r="C140" s="190">
        <f>(C132+C134)/SUM($C$131:$C$135)</f>
        <v>0.97166556137958859</v>
      </c>
      <c r="D140" s="190">
        <f>(C133+C135)/SUM($C$131:$C$135)</f>
        <v>2.8334438620411431E-2</v>
      </c>
      <c r="E140" s="68">
        <f>B140*$F$56*$B$146+C140*$F$45+D140*$B$126</f>
        <v>4.8979617872453693E-6</v>
      </c>
      <c r="F140" s="68">
        <f>$F$45</f>
        <v>4.5951806950193628E-6</v>
      </c>
      <c r="G140" s="190">
        <f>E140/F140-1</f>
        <v>6.5891008933377959E-2</v>
      </c>
    </row>
    <row r="141" spans="1:7">
      <c r="A141" s="38" t="s">
        <v>861</v>
      </c>
      <c r="B141" s="190">
        <f>E131/SUM($E$131:$E$135)</f>
        <v>0.13310074685428822</v>
      </c>
      <c r="C141" s="190">
        <f>(E132+E134)/SUM($E$131:$E$135)</f>
        <v>0.36006222820838507</v>
      </c>
      <c r="D141" s="190">
        <f>(E133+E135)/SUM($E$131:$E$135)</f>
        <v>0.50683702493732674</v>
      </c>
      <c r="E141" s="68">
        <f>B141*$F$56*$B$146+C141*$F$45+D141*$D$126</f>
        <v>1.4075502301658483E-5</v>
      </c>
      <c r="F141" s="68">
        <f>$F$56</f>
        <v>2.0725243194734525E-5</v>
      </c>
      <c r="G141" s="190">
        <f>E141/F141-1</f>
        <v>-0.32085224914347354</v>
      </c>
    </row>
    <row r="142" spans="1:7">
      <c r="A142" s="38" t="s">
        <v>860</v>
      </c>
      <c r="B142" s="190">
        <f>B141</f>
        <v>0.13310074685428822</v>
      </c>
      <c r="C142" s="190">
        <f>C141</f>
        <v>0.36006222820838507</v>
      </c>
      <c r="D142" s="190">
        <f>D141</f>
        <v>0.50683702493732674</v>
      </c>
      <c r="E142" s="68">
        <f>B142*$F$56*$B$146+C142*$F$45+D142*$C$126</f>
        <v>1.3887715794941011E-5</v>
      </c>
      <c r="F142" s="68">
        <f>Summary!F6</f>
        <v>1.3887715794941011E-5</v>
      </c>
      <c r="G142" s="190">
        <f>E142/F142-1</f>
        <v>0</v>
      </c>
    </row>
    <row r="144" spans="1:7">
      <c r="A144" s="38" t="s">
        <v>1144</v>
      </c>
    </row>
    <row r="146" spans="1:2">
      <c r="A146" s="38" t="s">
        <v>1224</v>
      </c>
      <c r="B146" s="389">
        <f>cpi!D62/cpi!D42</f>
        <v>1.6606087877183695</v>
      </c>
    </row>
  </sheetData>
  <hyperlinks>
    <hyperlink ref="I5" r:id="rId1" xr:uid="{74C988DB-76D8-4145-BBE1-D4D23B225EB8}"/>
    <hyperlink ref="I3" r:id="rId2" xr:uid="{AE3C2C77-DEE7-417F-A91D-8588011B2FE4}"/>
    <hyperlink ref="I4" r:id="rId3" xr:uid="{094BE59D-41E3-4FD7-9FDF-AC064CEA0F0D}"/>
    <hyperlink ref="I49" r:id="rId4" xr:uid="{846023E9-701C-4DCB-AFF8-68371AA5EAAB}"/>
    <hyperlink ref="I50:I52" r:id="rId5" display="Glass Technology Services Ltd." xr:uid="{22C9B764-C975-4832-A877-CAEDEFC86ABD}"/>
    <hyperlink ref="I61" r:id="rId6" xr:uid="{B9C4C936-222A-415A-93F7-C04647B8A8F8}"/>
    <hyperlink ref="I62" r:id="rId7" xr:uid="{91898801-3109-4817-A332-119D9BDB6683}"/>
    <hyperlink ref="I24" r:id="rId8" xr:uid="{B56B537F-0535-4F1F-BD10-6F95D26F1CF9}"/>
    <hyperlink ref="I21" r:id="rId9" xr:uid="{F4D113B3-6174-475B-B0C2-A087D85EE29B}"/>
    <hyperlink ref="I25" r:id="rId10" xr:uid="{E4FAB926-5227-415A-85B9-0833AFE81296}"/>
    <hyperlink ref="I35" r:id="rId11" location=":~:text=U.S.%20cement%20produces%20more%20emissions,is%20between%200.64%20and%200.76." xr:uid="{D3609DDD-82DB-4DD7-9D57-0F7BC42F9A76}"/>
    <hyperlink ref="I34" r:id="rId12" xr:uid="{1BA8B66B-9A20-4E0A-9B55-7DB08D6E8435}"/>
  </hyperlinks>
  <pageMargins left="0.7" right="0.7" top="0.75" bottom="0.75" header="0.3" footer="0.3"/>
  <legacyDrawing r:id="rId1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83B1-B2B0-41DD-8BAC-656486EFD613}">
  <dimension ref="A1:X38"/>
  <sheetViews>
    <sheetView zoomScale="70" zoomScaleNormal="70" workbookViewId="0">
      <selection activeCell="F24" sqref="F24:H28"/>
    </sheetView>
  </sheetViews>
  <sheetFormatPr defaultColWidth="8.85546875" defaultRowHeight="15"/>
  <cols>
    <col min="2" max="2" width="104.28515625" customWidth="1"/>
    <col min="3" max="3" width="11.28515625" customWidth="1"/>
    <col min="4" max="4" width="10.7109375" customWidth="1"/>
    <col min="5" max="5" width="9.7109375" customWidth="1"/>
    <col min="6" max="6" width="10.5703125" bestFit="1" customWidth="1"/>
    <col min="8" max="8" width="19.140625" customWidth="1"/>
    <col min="19" max="19" width="12" customWidth="1"/>
    <col min="20" max="20" width="9.5703125" bestFit="1" customWidth="1"/>
    <col min="23" max="23" width="12" bestFit="1" customWidth="1"/>
  </cols>
  <sheetData>
    <row r="1" spans="1:23">
      <c r="A1" s="17" t="s">
        <v>256</v>
      </c>
      <c r="B1" s="18"/>
      <c r="C1" s="18"/>
    </row>
    <row r="2" spans="1:23">
      <c r="A2" t="s">
        <v>111</v>
      </c>
    </row>
    <row r="3" spans="1:23">
      <c r="A3" t="s">
        <v>549</v>
      </c>
    </row>
    <row r="4" spans="1:23">
      <c r="A4" t="s">
        <v>127</v>
      </c>
    </row>
    <row r="5" spans="1:23">
      <c r="A5" t="s">
        <v>354</v>
      </c>
    </row>
    <row r="6" spans="1:23">
      <c r="A6" t="s">
        <v>126</v>
      </c>
    </row>
    <row r="8" spans="1:23" ht="15.75">
      <c r="B8" s="26" t="s">
        <v>103</v>
      </c>
      <c r="C8" s="26" t="s">
        <v>104</v>
      </c>
      <c r="D8" s="26" t="s">
        <v>105</v>
      </c>
      <c r="E8" s="26" t="s">
        <v>106</v>
      </c>
      <c r="F8" s="26" t="s">
        <v>107</v>
      </c>
      <c r="G8" s="26" t="s">
        <v>108</v>
      </c>
      <c r="H8" s="26" t="s">
        <v>109</v>
      </c>
      <c r="I8" s="26" t="s">
        <v>110</v>
      </c>
      <c r="J8" s="30" t="s">
        <v>120</v>
      </c>
      <c r="K8" s="27"/>
      <c r="L8" s="29" t="s">
        <v>121</v>
      </c>
      <c r="M8" s="27"/>
      <c r="N8" s="28" t="s">
        <v>14</v>
      </c>
      <c r="O8" s="27"/>
      <c r="P8" s="29" t="s">
        <v>125</v>
      </c>
      <c r="Q8" s="27"/>
      <c r="R8" s="29" t="s">
        <v>344</v>
      </c>
      <c r="S8" s="27"/>
      <c r="T8" s="29" t="s">
        <v>423</v>
      </c>
      <c r="U8" s="27"/>
      <c r="V8" s="27"/>
      <c r="W8" s="29" t="s">
        <v>352</v>
      </c>
    </row>
    <row r="9" spans="1:23">
      <c r="B9" s="3" t="s">
        <v>92</v>
      </c>
      <c r="C9" t="s">
        <v>85</v>
      </c>
      <c r="D9">
        <v>0.3</v>
      </c>
      <c r="E9">
        <v>1500</v>
      </c>
      <c r="F9" s="21">
        <v>43.754184261800326</v>
      </c>
      <c r="G9" s="21">
        <v>512727.48211595422</v>
      </c>
      <c r="H9">
        <v>1.1000000000000001</v>
      </c>
      <c r="I9">
        <v>1000</v>
      </c>
      <c r="J9" s="21">
        <f t="shared" ref="J9:J14" si="0">AVERAGE(D9,E9)</f>
        <v>750.15</v>
      </c>
      <c r="L9" s="21">
        <f>J9*1.34102</f>
        <v>1005.9661530000001</v>
      </c>
      <c r="N9" s="21">
        <f>F9*(((D9+E9)/2)/D9)^H9*(800/I9)</f>
        <v>191398.76147944329</v>
      </c>
      <c r="P9">
        <v>7436</v>
      </c>
      <c r="R9" s="43">
        <f>0.157/0.581</f>
        <v>0.27022375215146299</v>
      </c>
      <c r="T9" s="21">
        <f t="shared" ref="T9:T19" si="1">J9*0.003412*P9</f>
        <v>19032.529744800002</v>
      </c>
      <c r="W9" s="9">
        <f t="shared" ref="W9:W19" si="2">N9/(T9*10^6)</f>
        <v>1.005640154229821E-5</v>
      </c>
    </row>
    <row r="10" spans="1:23">
      <c r="B10" s="3" t="s">
        <v>93</v>
      </c>
      <c r="C10" t="s">
        <v>85</v>
      </c>
      <c r="D10">
        <v>8</v>
      </c>
      <c r="E10">
        <v>150</v>
      </c>
      <c r="F10" s="21">
        <v>1455.1962633016838</v>
      </c>
      <c r="G10" s="21">
        <v>22223.515169375642</v>
      </c>
      <c r="H10">
        <v>0.93</v>
      </c>
      <c r="I10">
        <v>1000</v>
      </c>
      <c r="J10" s="21">
        <f t="shared" si="0"/>
        <v>79</v>
      </c>
      <c r="L10" s="21">
        <f t="shared" ref="L10:L19" si="3">J10*1.34102</f>
        <v>105.94058000000001</v>
      </c>
      <c r="N10" s="21">
        <f t="shared" ref="N10:N19" si="4">F10*(((D10+E10)/2)/D10)^H10*(800/I10)</f>
        <v>9793.3452423684339</v>
      </c>
      <c r="P10">
        <v>4174</v>
      </c>
      <c r="R10" s="43">
        <f>0.144/0.581</f>
        <v>0.24784853700516352</v>
      </c>
      <c r="T10" s="21">
        <f t="shared" si="1"/>
        <v>1125.0933520000001</v>
      </c>
      <c r="W10" s="9">
        <f t="shared" si="2"/>
        <v>8.7044734776536431E-6</v>
      </c>
    </row>
    <row r="11" spans="1:23">
      <c r="B11" s="3" t="s">
        <v>94</v>
      </c>
      <c r="C11" t="s">
        <v>85</v>
      </c>
      <c r="D11">
        <v>350</v>
      </c>
      <c r="E11">
        <v>7000</v>
      </c>
      <c r="F11" s="21">
        <v>64088.852077797135</v>
      </c>
      <c r="G11" s="21">
        <v>1137028.3379406705</v>
      </c>
      <c r="H11">
        <v>0.96</v>
      </c>
      <c r="I11">
        <v>1000</v>
      </c>
      <c r="J11" s="21">
        <f t="shared" si="0"/>
        <v>3675</v>
      </c>
      <c r="L11" s="21">
        <f t="shared" si="3"/>
        <v>4928.2485000000006</v>
      </c>
      <c r="N11" s="21">
        <f t="shared" si="4"/>
        <v>490020.45239808032</v>
      </c>
      <c r="P11">
        <v>7436</v>
      </c>
      <c r="R11" s="43">
        <f>0.157/0.581</f>
        <v>0.27022375215146299</v>
      </c>
      <c r="T11" s="21">
        <f t="shared" si="1"/>
        <v>93240.747600000002</v>
      </c>
      <c r="W11" s="9">
        <f t="shared" si="2"/>
        <v>5.2554324692917872E-6</v>
      </c>
    </row>
    <row r="12" spans="1:23">
      <c r="B12" s="3" t="s">
        <v>95</v>
      </c>
      <c r="C12" t="s">
        <v>85</v>
      </c>
      <c r="D12">
        <v>500</v>
      </c>
      <c r="E12">
        <v>7000</v>
      </c>
      <c r="F12" s="21">
        <v>77307.967291430425</v>
      </c>
      <c r="G12" s="21">
        <v>655523.04372978187</v>
      </c>
      <c r="H12">
        <v>0.81</v>
      </c>
      <c r="I12">
        <v>1000</v>
      </c>
      <c r="J12" s="21">
        <f t="shared" si="0"/>
        <v>3750</v>
      </c>
      <c r="L12" s="21">
        <f t="shared" si="3"/>
        <v>5028.8250000000007</v>
      </c>
      <c r="N12" s="21">
        <f t="shared" si="4"/>
        <v>316310.68638940249</v>
      </c>
      <c r="P12">
        <v>7436</v>
      </c>
      <c r="R12" s="43">
        <f>0.157/0.581</f>
        <v>0.27022375215146299</v>
      </c>
      <c r="T12" s="21">
        <f t="shared" si="1"/>
        <v>95143.62</v>
      </c>
      <c r="W12" s="9">
        <f t="shared" si="2"/>
        <v>3.3245601374995242E-6</v>
      </c>
    </row>
    <row r="13" spans="1:23">
      <c r="B13" s="3" t="s">
        <v>96</v>
      </c>
      <c r="C13" t="s">
        <v>85</v>
      </c>
      <c r="D13">
        <v>0.35</v>
      </c>
      <c r="E13">
        <v>1.8</v>
      </c>
      <c r="F13" s="21">
        <v>1297.2736980632467</v>
      </c>
      <c r="G13" s="21">
        <v>1800</v>
      </c>
      <c r="H13">
        <v>0.2</v>
      </c>
      <c r="I13">
        <v>1000</v>
      </c>
      <c r="J13" s="21">
        <f t="shared" si="0"/>
        <v>1.075</v>
      </c>
      <c r="L13" s="21">
        <f t="shared" si="3"/>
        <v>1.4415964999999999</v>
      </c>
      <c r="N13" s="21">
        <f t="shared" si="4"/>
        <v>1298.941773935192</v>
      </c>
      <c r="P13">
        <v>2745</v>
      </c>
      <c r="R13" s="43">
        <f>0.048/0.581</f>
        <v>8.2616179001721177E-2</v>
      </c>
      <c r="T13" s="21">
        <f t="shared" si="1"/>
        <v>10.0683855</v>
      </c>
      <c r="W13" s="9">
        <f t="shared" si="2"/>
        <v>1.290119229081159E-4</v>
      </c>
    </row>
    <row r="14" spans="1:23">
      <c r="B14" s="3" t="s">
        <v>96</v>
      </c>
      <c r="C14" t="s">
        <v>85</v>
      </c>
      <c r="D14">
        <v>1.8</v>
      </c>
      <c r="E14">
        <v>15</v>
      </c>
      <c r="F14" s="21">
        <v>1800</v>
      </c>
      <c r="G14" s="21">
        <v>5537.4069913635094</v>
      </c>
      <c r="H14">
        <v>0.53</v>
      </c>
      <c r="I14">
        <v>1000</v>
      </c>
      <c r="J14" s="21">
        <f t="shared" si="0"/>
        <v>8.4</v>
      </c>
      <c r="L14" s="21">
        <f t="shared" si="3"/>
        <v>11.264568000000001</v>
      </c>
      <c r="N14" s="21">
        <f t="shared" si="4"/>
        <v>3257.8875198502201</v>
      </c>
      <c r="P14">
        <v>3391</v>
      </c>
      <c r="R14" s="43">
        <f>0.104/0.581</f>
        <v>0.17900172117039587</v>
      </c>
      <c r="T14" s="21">
        <f t="shared" si="1"/>
        <v>97.18877280000001</v>
      </c>
      <c r="W14" s="9">
        <f t="shared" si="2"/>
        <v>3.3521233224690123E-5</v>
      </c>
    </row>
    <row r="15" spans="1:23">
      <c r="B15" s="3" t="s">
        <v>97</v>
      </c>
      <c r="C15" t="s">
        <v>98</v>
      </c>
      <c r="D15">
        <v>0.35</v>
      </c>
      <c r="E15">
        <v>7.5</v>
      </c>
      <c r="F15" s="21">
        <v>3198.2717479261355</v>
      </c>
      <c r="G15" s="21">
        <v>22051.649944608704</v>
      </c>
      <c r="H15">
        <v>0.63</v>
      </c>
      <c r="I15">
        <v>1000</v>
      </c>
      <c r="J15" s="21">
        <f>AVERAGE(D15,E15)</f>
        <v>3.9249999999999998</v>
      </c>
      <c r="L15" s="21">
        <f t="shared" si="3"/>
        <v>5.2635035000000006</v>
      </c>
      <c r="N15" s="21">
        <f t="shared" si="4"/>
        <v>11731.714005716587</v>
      </c>
      <c r="P15">
        <v>2745</v>
      </c>
      <c r="R15" s="43">
        <f>0.048/0.581</f>
        <v>8.2616179001721177E-2</v>
      </c>
      <c r="T15" s="21">
        <f t="shared" si="1"/>
        <v>36.761314500000005</v>
      </c>
      <c r="W15" s="9">
        <f t="shared" si="2"/>
        <v>3.1913205948379741E-4</v>
      </c>
    </row>
    <row r="16" spans="1:23" ht="30">
      <c r="B16" s="3" t="s">
        <v>99</v>
      </c>
      <c r="C16" t="s">
        <v>100</v>
      </c>
      <c r="D16">
        <v>3</v>
      </c>
      <c r="E16">
        <v>50</v>
      </c>
      <c r="F16" s="21">
        <v>1691.6842777294887</v>
      </c>
      <c r="G16" s="21">
        <v>6000</v>
      </c>
      <c r="H16">
        <v>0.45</v>
      </c>
      <c r="I16">
        <v>1000</v>
      </c>
      <c r="J16" s="21">
        <f>AVERAGE(D16,E16)</f>
        <v>26.5</v>
      </c>
      <c r="L16" s="21">
        <f t="shared" si="3"/>
        <v>35.537030000000001</v>
      </c>
      <c r="N16" s="21">
        <f t="shared" si="4"/>
        <v>3607.159769818647</v>
      </c>
      <c r="P16">
        <v>3530</v>
      </c>
      <c r="R16" s="43">
        <f>0.127/0.581</f>
        <v>0.21858864027538727</v>
      </c>
      <c r="T16" s="21">
        <f t="shared" si="1"/>
        <v>319.17554000000001</v>
      </c>
      <c r="W16" s="9">
        <f t="shared" si="2"/>
        <v>1.1301491868138288E-5</v>
      </c>
    </row>
    <row r="17" spans="1:24" ht="30">
      <c r="B17" s="3" t="s">
        <v>101</v>
      </c>
      <c r="C17" t="s">
        <v>100</v>
      </c>
      <c r="D17">
        <v>50</v>
      </c>
      <c r="E17">
        <v>1500</v>
      </c>
      <c r="F17" s="21">
        <v>6000</v>
      </c>
      <c r="G17" s="21">
        <v>76911.661151322129</v>
      </c>
      <c r="H17">
        <v>0.75</v>
      </c>
      <c r="I17">
        <v>1000</v>
      </c>
      <c r="J17" s="21">
        <f>AVERAGE(D17,E17)</f>
        <v>775</v>
      </c>
      <c r="L17" s="21">
        <f t="shared" si="3"/>
        <v>1039.2905000000001</v>
      </c>
      <c r="N17" s="21">
        <f t="shared" si="4"/>
        <v>37496.437777254898</v>
      </c>
      <c r="P17">
        <v>7436</v>
      </c>
      <c r="R17" s="43">
        <f>0.157/0.581</f>
        <v>0.27022375215146299</v>
      </c>
      <c r="T17" s="21">
        <f t="shared" si="1"/>
        <v>19663.014800000001</v>
      </c>
      <c r="W17" s="9">
        <f t="shared" si="2"/>
        <v>1.9069526295253003E-6</v>
      </c>
    </row>
    <row r="18" spans="1:24">
      <c r="B18" s="3" t="s">
        <v>102</v>
      </c>
      <c r="C18" t="s">
        <v>100</v>
      </c>
      <c r="D18">
        <v>3</v>
      </c>
      <c r="E18">
        <v>180</v>
      </c>
      <c r="F18" s="21">
        <v>580.86364315386913</v>
      </c>
      <c r="G18" s="21">
        <v>5300</v>
      </c>
      <c r="H18">
        <v>0.54</v>
      </c>
      <c r="I18">
        <v>1000</v>
      </c>
      <c r="J18" s="21">
        <f>AVERAGE(D18,E18)</f>
        <v>91.5</v>
      </c>
      <c r="L18" s="21">
        <f t="shared" si="3"/>
        <v>122.70333000000001</v>
      </c>
      <c r="N18" s="21">
        <f t="shared" si="4"/>
        <v>2942.2941929843073</v>
      </c>
      <c r="P18">
        <v>4174</v>
      </c>
      <c r="R18" s="43">
        <f>0.144/0.581</f>
        <v>0.24784853700516352</v>
      </c>
      <c r="T18" s="21">
        <f t="shared" si="1"/>
        <v>1303.114452</v>
      </c>
      <c r="W18" s="9">
        <f t="shared" si="2"/>
        <v>2.2578939159707113E-6</v>
      </c>
    </row>
    <row r="19" spans="1:24">
      <c r="B19" s="3" t="s">
        <v>102</v>
      </c>
      <c r="C19" t="s">
        <v>100</v>
      </c>
      <c r="D19">
        <v>180</v>
      </c>
      <c r="E19">
        <v>1500</v>
      </c>
      <c r="F19" s="21">
        <v>5300</v>
      </c>
      <c r="G19" s="21">
        <v>297736.10466011299</v>
      </c>
      <c r="H19">
        <v>1.9</v>
      </c>
      <c r="I19">
        <v>1000</v>
      </c>
      <c r="J19" s="21">
        <f>AVERAGE(D19,E19)</f>
        <v>840</v>
      </c>
      <c r="L19" s="21">
        <f t="shared" si="3"/>
        <v>1126.4568000000002</v>
      </c>
      <c r="N19" s="21">
        <f t="shared" si="4"/>
        <v>79155.070568115683</v>
      </c>
      <c r="P19">
        <v>7436</v>
      </c>
      <c r="R19" s="43">
        <f>0.157/0.581</f>
        <v>0.27022375215146299</v>
      </c>
      <c r="T19" s="21">
        <f t="shared" si="1"/>
        <v>21312.170880000001</v>
      </c>
      <c r="W19" s="9">
        <f t="shared" si="2"/>
        <v>3.7140782613749238E-6</v>
      </c>
    </row>
    <row r="20" spans="1:24">
      <c r="W20" s="9"/>
    </row>
    <row r="21" spans="1:24">
      <c r="B21" t="s">
        <v>113</v>
      </c>
      <c r="N21" s="21"/>
      <c r="P21" s="21"/>
      <c r="Q21" s="21"/>
      <c r="T21" s="21">
        <f>AVERAGE(T9:T19)</f>
        <v>22843.953167418182</v>
      </c>
      <c r="W21" s="9">
        <f>AVERAGE(W9:W19)</f>
        <v>4.8016954538032345E-5</v>
      </c>
    </row>
    <row r="22" spans="1:24">
      <c r="B22" s="1" t="s">
        <v>353</v>
      </c>
      <c r="N22" s="21"/>
      <c r="P22" s="21"/>
      <c r="Q22" s="21"/>
      <c r="T22" s="47">
        <f>SUMPRODUCT(F24:F28, I24:I28)</f>
        <v>13814.301562165096</v>
      </c>
      <c r="U22" s="1"/>
      <c r="V22" s="1"/>
      <c r="W22" s="48">
        <f>SUMPRODUCT(F24:F28, N24:N28)</f>
        <v>2.9652197760109964E-5</v>
      </c>
    </row>
    <row r="23" spans="1:24">
      <c r="C23" s="49" t="s">
        <v>346</v>
      </c>
      <c r="D23" s="49"/>
      <c r="E23" s="49"/>
      <c r="F23" s="49" t="s">
        <v>355</v>
      </c>
      <c r="G23" s="49"/>
      <c r="H23" s="49"/>
      <c r="I23" s="49" t="s">
        <v>424</v>
      </c>
      <c r="J23" s="49"/>
      <c r="K23" s="49"/>
      <c r="L23" s="49"/>
      <c r="M23" s="49"/>
      <c r="N23" s="50" t="s">
        <v>352</v>
      </c>
      <c r="P23" s="21"/>
      <c r="Q23" s="21"/>
      <c r="T23" s="21"/>
    </row>
    <row r="24" spans="1:24">
      <c r="C24" s="427" t="s">
        <v>349</v>
      </c>
      <c r="D24" s="428"/>
      <c r="E24" s="429"/>
      <c r="F24" s="424">
        <f>0.048/0.581</f>
        <v>8.2616179001721177E-2</v>
      </c>
      <c r="G24" s="425"/>
      <c r="H24" s="426"/>
      <c r="I24" s="430">
        <f>((T13+T15)/2)</f>
        <v>23.414850000000001</v>
      </c>
      <c r="J24" s="431"/>
      <c r="K24" s="431"/>
      <c r="L24" s="431"/>
      <c r="M24" s="432"/>
      <c r="N24" s="51">
        <f>((W13+W15)/2)</f>
        <v>2.2407199119595664E-4</v>
      </c>
      <c r="P24" s="21"/>
      <c r="Q24" s="21"/>
      <c r="T24" s="21"/>
    </row>
    <row r="25" spans="1:24">
      <c r="C25" s="427" t="s">
        <v>350</v>
      </c>
      <c r="D25" s="428"/>
      <c r="E25" s="429"/>
      <c r="F25" s="424">
        <f>0.104/0.581</f>
        <v>0.17900172117039587</v>
      </c>
      <c r="G25" s="425"/>
      <c r="H25" s="426"/>
      <c r="I25" s="430">
        <f>T14</f>
        <v>97.18877280000001</v>
      </c>
      <c r="J25" s="431"/>
      <c r="K25" s="431"/>
      <c r="L25" s="431"/>
      <c r="M25" s="432"/>
      <c r="N25" s="51">
        <f>W14</f>
        <v>3.3521233224690123E-5</v>
      </c>
      <c r="P25" s="21"/>
      <c r="Q25" s="21"/>
      <c r="T25" s="21"/>
    </row>
    <row r="26" spans="1:24">
      <c r="C26" s="427" t="s">
        <v>348</v>
      </c>
      <c r="D26" s="428"/>
      <c r="E26" s="429"/>
      <c r="F26" s="424">
        <f>0.127/0.581</f>
        <v>0.21858864027538727</v>
      </c>
      <c r="G26" s="425"/>
      <c r="H26" s="426"/>
      <c r="I26" s="430">
        <f>T16</f>
        <v>319.17554000000001</v>
      </c>
      <c r="J26" s="431"/>
      <c r="K26" s="431"/>
      <c r="L26" s="431"/>
      <c r="M26" s="432"/>
      <c r="N26" s="51">
        <f>W16</f>
        <v>1.1301491868138288E-5</v>
      </c>
      <c r="P26" s="21"/>
      <c r="Q26" s="21"/>
      <c r="T26" s="21"/>
    </row>
    <row r="27" spans="1:24">
      <c r="C27" s="427" t="s">
        <v>347</v>
      </c>
      <c r="D27" s="428"/>
      <c r="E27" s="429"/>
      <c r="F27" s="424">
        <f>0.144/0.581</f>
        <v>0.24784853700516352</v>
      </c>
      <c r="G27" s="425"/>
      <c r="H27" s="426"/>
      <c r="I27" s="430">
        <f>((T10+T18)/2)</f>
        <v>1214.1039020000001</v>
      </c>
      <c r="J27" s="431"/>
      <c r="K27" s="431"/>
      <c r="L27" s="431"/>
      <c r="M27" s="432"/>
      <c r="N27" s="51">
        <f>((W10+W18)/2)</f>
        <v>5.481183696812177E-6</v>
      </c>
      <c r="P27" s="21"/>
      <c r="Q27" s="21"/>
      <c r="T27" s="21"/>
    </row>
    <row r="28" spans="1:24">
      <c r="C28" s="427" t="s">
        <v>351</v>
      </c>
      <c r="D28" s="428"/>
      <c r="E28" s="429"/>
      <c r="F28" s="424">
        <f>0.157/0.581</f>
        <v>0.27022375215146299</v>
      </c>
      <c r="G28" s="425"/>
      <c r="H28" s="426"/>
      <c r="I28" s="430">
        <f>((T9+T11+T12+T17+T19)/5)</f>
        <v>49678.416604960003</v>
      </c>
      <c r="J28" s="431"/>
      <c r="K28" s="431"/>
      <c r="L28" s="431"/>
      <c r="M28" s="432"/>
      <c r="N28" s="51">
        <f>((W9+W11+W12+W17+W19)/5)</f>
        <v>4.8514850079979492E-6</v>
      </c>
      <c r="P28" s="21"/>
      <c r="Q28" s="21"/>
      <c r="T28" s="21"/>
    </row>
    <row r="29" spans="1:24">
      <c r="U29" s="9"/>
      <c r="W29" s="9"/>
    </row>
    <row r="30" spans="1:24">
      <c r="W30" s="9"/>
      <c r="X30" s="9"/>
    </row>
    <row r="31" spans="1:24">
      <c r="A31" s="17" t="s">
        <v>247</v>
      </c>
      <c r="B31" s="18"/>
      <c r="C31" s="18"/>
    </row>
    <row r="32" spans="1:24">
      <c r="G32" s="1" t="s">
        <v>166</v>
      </c>
      <c r="U32" s="9"/>
      <c r="W32" s="9"/>
    </row>
    <row r="33" spans="2:20">
      <c r="B33" t="s">
        <v>248</v>
      </c>
      <c r="D33" s="21">
        <v>502</v>
      </c>
      <c r="E33" t="s">
        <v>131</v>
      </c>
      <c r="G33" s="15" t="s">
        <v>249</v>
      </c>
      <c r="T33" s="9"/>
    </row>
    <row r="34" spans="2:20">
      <c r="B34" t="s">
        <v>250</v>
      </c>
      <c r="D34" s="21">
        <v>250</v>
      </c>
      <c r="E34" t="s">
        <v>251</v>
      </c>
      <c r="G34" s="15" t="s">
        <v>252</v>
      </c>
      <c r="T34" s="9"/>
    </row>
    <row r="35" spans="2:20">
      <c r="B35" t="s">
        <v>253</v>
      </c>
      <c r="D35" s="21">
        <f>D34/1.341</f>
        <v>186.42803877703207</v>
      </c>
      <c r="E35" t="s">
        <v>85</v>
      </c>
    </row>
    <row r="36" spans="2:20">
      <c r="B36" t="s">
        <v>254</v>
      </c>
      <c r="D36" s="21">
        <v>2080</v>
      </c>
      <c r="E36" t="s">
        <v>179</v>
      </c>
      <c r="G36" s="15" t="s">
        <v>252</v>
      </c>
      <c r="I36" s="8"/>
    </row>
    <row r="37" spans="2:20">
      <c r="B37" t="s">
        <v>422</v>
      </c>
      <c r="D37" s="21">
        <f>D35*0.003412*D36</f>
        <v>1323.0723340790455</v>
      </c>
      <c r="E37" t="s">
        <v>255</v>
      </c>
    </row>
    <row r="38" spans="2:20">
      <c r="B38" t="s">
        <v>112</v>
      </c>
      <c r="D38" s="12">
        <f>(D33*D35)/(D37*10^6)</f>
        <v>7.0734511678239686E-5</v>
      </c>
      <c r="E38" t="s">
        <v>112</v>
      </c>
    </row>
  </sheetData>
  <mergeCells count="15">
    <mergeCell ref="I24:M24"/>
    <mergeCell ref="I25:M25"/>
    <mergeCell ref="I26:M26"/>
    <mergeCell ref="I27:M27"/>
    <mergeCell ref="I28:M28"/>
    <mergeCell ref="C24:E24"/>
    <mergeCell ref="C25:E25"/>
    <mergeCell ref="C26:E26"/>
    <mergeCell ref="C27:E27"/>
    <mergeCell ref="C28:E28"/>
    <mergeCell ref="F24:H24"/>
    <mergeCell ref="F25:H25"/>
    <mergeCell ref="F26:H26"/>
    <mergeCell ref="F27:H27"/>
    <mergeCell ref="F28:H28"/>
  </mergeCells>
  <hyperlinks>
    <hyperlink ref="G33" r:id="rId1" xr:uid="{89D540DE-65F8-419E-8E02-FD08F0D4350B}"/>
    <hyperlink ref="G34" r:id="rId2" xr:uid="{2BEBA02A-CA41-4A57-93D0-D9F4D2610A4F}"/>
    <hyperlink ref="G36" r:id="rId3" xr:uid="{098A2275-9E62-4836-8A3D-FE6E71782B1D}"/>
  </hyperlinks>
  <pageMargins left="0.7" right="0.7" top="0.75" bottom="0.75" header="0.3" footer="0.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D184-069E-47A4-BC3F-9F054759DD84}">
  <dimension ref="A1:K35"/>
  <sheetViews>
    <sheetView zoomScale="145" zoomScaleNormal="145" workbookViewId="0"/>
  </sheetViews>
  <sheetFormatPr defaultColWidth="8.85546875" defaultRowHeight="15"/>
  <cols>
    <col min="3" max="3" width="30.28515625" customWidth="1"/>
    <col min="7" max="7" width="12" bestFit="1" customWidth="1"/>
  </cols>
  <sheetData>
    <row r="1" spans="1:11">
      <c r="A1" s="17" t="s">
        <v>128</v>
      </c>
      <c r="B1" s="18"/>
      <c r="C1" s="18"/>
      <c r="D1" s="18"/>
      <c r="E1" s="18"/>
      <c r="F1" s="18"/>
      <c r="G1" s="18"/>
    </row>
    <row r="2" spans="1:11">
      <c r="A2" s="24" t="s">
        <v>129</v>
      </c>
    </row>
    <row r="3" spans="1:11">
      <c r="A3" s="24" t="s">
        <v>153</v>
      </c>
    </row>
    <row r="4" spans="1:11">
      <c r="A4" s="24"/>
    </row>
    <row r="5" spans="1:11">
      <c r="A5" s="1" t="s">
        <v>130</v>
      </c>
      <c r="G5" s="1"/>
      <c r="K5" s="1"/>
    </row>
    <row r="6" spans="1:11">
      <c r="A6" t="s">
        <v>141</v>
      </c>
      <c r="D6">
        <f>AVERAGE(760,1000)</f>
        <v>880</v>
      </c>
      <c r="E6" t="s">
        <v>131</v>
      </c>
    </row>
    <row r="7" spans="1:11">
      <c r="A7" t="s">
        <v>143</v>
      </c>
      <c r="D7">
        <f>AVERAGE(373.1,597)</f>
        <v>485.05</v>
      </c>
      <c r="E7" t="s">
        <v>131</v>
      </c>
    </row>
    <row r="9" spans="1:11">
      <c r="A9" s="1" t="s">
        <v>132</v>
      </c>
    </row>
    <row r="11" spans="1:11">
      <c r="A11" t="s">
        <v>142</v>
      </c>
      <c r="D11">
        <f>AVERAGE(975,1200)</f>
        <v>1087.5</v>
      </c>
      <c r="E11" t="s">
        <v>131</v>
      </c>
    </row>
    <row r="12" spans="1:11">
      <c r="A12" t="s">
        <v>143</v>
      </c>
      <c r="D12">
        <f>AVERAGE(1492.5,2238.8)</f>
        <v>1865.65</v>
      </c>
      <c r="E12" t="s">
        <v>131</v>
      </c>
    </row>
    <row r="14" spans="1:11">
      <c r="A14" t="s">
        <v>135</v>
      </c>
    </row>
    <row r="15" spans="1:11">
      <c r="A15" t="s">
        <v>137</v>
      </c>
      <c r="D15">
        <v>1.5</v>
      </c>
      <c r="E15" t="s">
        <v>136</v>
      </c>
    </row>
    <row r="16" spans="1:11">
      <c r="A16" t="s">
        <v>139</v>
      </c>
      <c r="D16">
        <v>70</v>
      </c>
      <c r="E16" t="s">
        <v>138</v>
      </c>
    </row>
    <row r="18" spans="1:7">
      <c r="A18" t="s">
        <v>145</v>
      </c>
      <c r="G18">
        <f>(D6)*(1.5*1000000)</f>
        <v>1320000000</v>
      </c>
    </row>
    <row r="19" spans="1:7">
      <c r="A19" t="s">
        <v>425</v>
      </c>
      <c r="G19">
        <f>(1.5*1000000)*(0.7*8760)</f>
        <v>9198000000</v>
      </c>
    </row>
    <row r="20" spans="1:7">
      <c r="A20" t="s">
        <v>426</v>
      </c>
      <c r="G20">
        <f>G19*3412</f>
        <v>31383576000000</v>
      </c>
    </row>
    <row r="21" spans="1:7">
      <c r="A21" t="s">
        <v>144</v>
      </c>
      <c r="G21">
        <f>G18/G20</f>
        <v>4.2060216464815867E-5</v>
      </c>
    </row>
    <row r="22" spans="1:7">
      <c r="A22" t="s">
        <v>147</v>
      </c>
      <c r="G22">
        <f>(D7*(1.5*1000000))/G20</f>
        <v>2.3183304541203336E-5</v>
      </c>
    </row>
    <row r="24" spans="1:7">
      <c r="A24" t="s">
        <v>146</v>
      </c>
      <c r="G24">
        <f>(D11)*(1.5*1000000)</f>
        <v>1631250000</v>
      </c>
    </row>
    <row r="25" spans="1:7">
      <c r="A25" t="s">
        <v>425</v>
      </c>
      <c r="G25">
        <f>(1.5*1000000)*(0.7*8760)</f>
        <v>9198000000</v>
      </c>
    </row>
    <row r="26" spans="1:7">
      <c r="A26" t="s">
        <v>426</v>
      </c>
      <c r="G26">
        <f>G25*3412</f>
        <v>31383576000000</v>
      </c>
    </row>
    <row r="27" spans="1:7">
      <c r="A27" t="s">
        <v>144</v>
      </c>
      <c r="G27">
        <f>G24/G26</f>
        <v>5.1977824324417333E-5</v>
      </c>
    </row>
    <row r="28" spans="1:7">
      <c r="A28" t="s">
        <v>147</v>
      </c>
      <c r="G28">
        <f>(D12*(1.5*1000000))/G26</f>
        <v>8.9170048690436044E-5</v>
      </c>
    </row>
    <row r="30" spans="1:7">
      <c r="A30" t="s">
        <v>133</v>
      </c>
    </row>
    <row r="32" spans="1:7">
      <c r="A32" t="s">
        <v>134</v>
      </c>
      <c r="G32" s="12">
        <f>(G21*0.75)+(G27*0.25)</f>
        <v>4.4539618429716232E-5</v>
      </c>
    </row>
    <row r="33" spans="1:7">
      <c r="A33" t="s">
        <v>140</v>
      </c>
      <c r="G33" s="9">
        <f>G32*0.6</f>
        <v>2.6723771057829738E-5</v>
      </c>
    </row>
    <row r="34" spans="1:7">
      <c r="G34" s="9"/>
    </row>
    <row r="35" spans="1:7">
      <c r="A35" t="s">
        <v>148</v>
      </c>
      <c r="G35" s="9">
        <f>(G22*0.75)+(G28*0.25)</f>
        <v>3.9679990578511508E-5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BBC2-333F-45D7-87D4-C9F757AF344C}">
  <dimension ref="A1:W39"/>
  <sheetViews>
    <sheetView zoomScaleNormal="100" workbookViewId="0">
      <selection activeCell="I39" sqref="I39"/>
    </sheetView>
  </sheetViews>
  <sheetFormatPr defaultRowHeight="15"/>
  <cols>
    <col min="2" max="2" width="13.140625" bestFit="1" customWidth="1"/>
    <col min="5" max="5" width="11.42578125" bestFit="1" customWidth="1"/>
    <col min="8" max="9" width="10.5703125" customWidth="1"/>
    <col min="10" max="11" width="12" bestFit="1" customWidth="1"/>
    <col min="13" max="13" width="13.140625" bestFit="1" customWidth="1"/>
  </cols>
  <sheetData>
    <row r="1" spans="1:23">
      <c r="A1" t="s">
        <v>431</v>
      </c>
      <c r="P1" t="s">
        <v>463</v>
      </c>
    </row>
    <row r="3" spans="1:23">
      <c r="C3" t="s">
        <v>450</v>
      </c>
      <c r="D3" t="s">
        <v>451</v>
      </c>
      <c r="E3" t="s">
        <v>451</v>
      </c>
      <c r="F3" t="s">
        <v>451</v>
      </c>
      <c r="G3" t="s">
        <v>451</v>
      </c>
      <c r="H3" t="s">
        <v>451</v>
      </c>
      <c r="I3" t="s">
        <v>451</v>
      </c>
      <c r="J3" t="s">
        <v>451</v>
      </c>
      <c r="K3" t="s">
        <v>452</v>
      </c>
      <c r="L3" t="s">
        <v>452</v>
      </c>
      <c r="M3" t="s">
        <v>452</v>
      </c>
      <c r="N3" t="s">
        <v>456</v>
      </c>
      <c r="O3" t="s">
        <v>456</v>
      </c>
      <c r="P3" t="s">
        <v>464</v>
      </c>
      <c r="Q3" t="s">
        <v>464</v>
      </c>
      <c r="R3" t="s">
        <v>464</v>
      </c>
      <c r="S3" t="s">
        <v>464</v>
      </c>
      <c r="T3" t="s">
        <v>464</v>
      </c>
    </row>
    <row r="4" spans="1:23">
      <c r="C4" t="s">
        <v>443</v>
      </c>
      <c r="D4" t="s">
        <v>444</v>
      </c>
      <c r="E4" t="s">
        <v>445</v>
      </c>
      <c r="F4" t="s">
        <v>444</v>
      </c>
      <c r="G4" t="s">
        <v>444</v>
      </c>
      <c r="H4" t="s">
        <v>443</v>
      </c>
      <c r="I4" t="s">
        <v>446</v>
      </c>
      <c r="J4" t="s">
        <v>446</v>
      </c>
      <c r="K4" t="s">
        <v>453</v>
      </c>
      <c r="L4" t="s">
        <v>446</v>
      </c>
      <c r="M4" t="s">
        <v>446</v>
      </c>
      <c r="N4" t="s">
        <v>443</v>
      </c>
      <c r="O4" t="s">
        <v>443</v>
      </c>
      <c r="P4" t="s">
        <v>443</v>
      </c>
      <c r="Q4" t="s">
        <v>443</v>
      </c>
      <c r="R4" t="s">
        <v>443</v>
      </c>
      <c r="S4" t="s">
        <v>468</v>
      </c>
      <c r="T4" t="s">
        <v>468</v>
      </c>
    </row>
    <row r="5" spans="1:23">
      <c r="C5" t="s">
        <v>432</v>
      </c>
      <c r="D5" t="s">
        <v>436</v>
      </c>
      <c r="E5" t="s">
        <v>437</v>
      </c>
      <c r="F5" t="s">
        <v>438</v>
      </c>
      <c r="G5" t="s">
        <v>439</v>
      </c>
      <c r="H5" t="s">
        <v>440</v>
      </c>
      <c r="I5" t="s">
        <v>442</v>
      </c>
      <c r="J5" t="s">
        <v>447</v>
      </c>
      <c r="K5" t="s">
        <v>449</v>
      </c>
      <c r="L5" t="s">
        <v>454</v>
      </c>
      <c r="M5" t="s">
        <v>455</v>
      </c>
      <c r="N5" t="s">
        <v>457</v>
      </c>
      <c r="O5" t="s">
        <v>457</v>
      </c>
      <c r="P5" t="s">
        <v>465</v>
      </c>
      <c r="Q5" t="s">
        <v>466</v>
      </c>
      <c r="R5" t="s">
        <v>467</v>
      </c>
      <c r="S5" t="s">
        <v>469</v>
      </c>
      <c r="T5" t="s">
        <v>470</v>
      </c>
    </row>
    <row r="6" spans="1:23">
      <c r="B6" s="65" t="s">
        <v>54</v>
      </c>
      <c r="C6">
        <v>1.3</v>
      </c>
      <c r="D6">
        <v>5.15</v>
      </c>
      <c r="E6">
        <v>7.48</v>
      </c>
      <c r="F6">
        <v>8.3000000000000007</v>
      </c>
      <c r="G6">
        <v>11.84</v>
      </c>
      <c r="H6">
        <f>12.98/4</f>
        <v>3.2450000000000001</v>
      </c>
      <c r="I6">
        <f>124.94/10</f>
        <v>12.494</v>
      </c>
      <c r="J6">
        <f>172.75/25</f>
        <v>6.91</v>
      </c>
      <c r="K6">
        <f>5.21</f>
        <v>5.21</v>
      </c>
      <c r="L6">
        <f>206.09/40</f>
        <v>5.1522500000000004</v>
      </c>
      <c r="M6">
        <f>28.85/6</f>
        <v>4.8083333333333336</v>
      </c>
      <c r="N6">
        <f>16.57/3</f>
        <v>5.5233333333333334</v>
      </c>
      <c r="O6">
        <f>198.86/12/3</f>
        <v>5.52388888888889</v>
      </c>
      <c r="P6">
        <v>15.99</v>
      </c>
      <c r="Q6">
        <v>27.95</v>
      </c>
      <c r="R6">
        <v>39.950000000000003</v>
      </c>
      <c r="S6">
        <v>17</v>
      </c>
      <c r="T6">
        <v>12</v>
      </c>
      <c r="W6" t="s">
        <v>54</v>
      </c>
    </row>
    <row r="7" spans="1:23">
      <c r="B7" s="65" t="s">
        <v>433</v>
      </c>
      <c r="C7">
        <v>40</v>
      </c>
      <c r="D7">
        <v>6.5</v>
      </c>
      <c r="E7">
        <v>7.5</v>
      </c>
      <c r="F7">
        <v>12</v>
      </c>
      <c r="G7">
        <v>15</v>
      </c>
      <c r="H7">
        <v>10</v>
      </c>
      <c r="I7">
        <v>40</v>
      </c>
      <c r="J7">
        <v>11</v>
      </c>
      <c r="K7">
        <v>13</v>
      </c>
      <c r="L7">
        <v>54</v>
      </c>
      <c r="M7">
        <v>32</v>
      </c>
      <c r="N7">
        <v>23</v>
      </c>
      <c r="O7">
        <v>23</v>
      </c>
      <c r="P7">
        <v>100</v>
      </c>
      <c r="Q7">
        <v>1000</v>
      </c>
      <c r="R7">
        <v>1000</v>
      </c>
      <c r="S7">
        <v>70</v>
      </c>
      <c r="T7">
        <v>100</v>
      </c>
    </row>
    <row r="8" spans="1:23">
      <c r="B8" s="65" t="s">
        <v>434</v>
      </c>
      <c r="C8">
        <v>225</v>
      </c>
      <c r="D8">
        <v>520</v>
      </c>
      <c r="E8">
        <v>650</v>
      </c>
      <c r="F8">
        <v>1000</v>
      </c>
      <c r="G8">
        <v>1200</v>
      </c>
      <c r="H8">
        <v>800</v>
      </c>
      <c r="I8">
        <v>5500</v>
      </c>
      <c r="J8">
        <v>1800</v>
      </c>
      <c r="K8">
        <v>800</v>
      </c>
      <c r="L8">
        <v>5000</v>
      </c>
      <c r="M8">
        <v>3050</v>
      </c>
      <c r="N8">
        <v>1600</v>
      </c>
      <c r="O8">
        <v>1600</v>
      </c>
      <c r="P8">
        <v>8500</v>
      </c>
      <c r="Q8">
        <v>110000</v>
      </c>
    </row>
    <row r="9" spans="1:23">
      <c r="B9" s="65" t="s">
        <v>435</v>
      </c>
      <c r="C9">
        <v>2500</v>
      </c>
      <c r="D9">
        <v>25000</v>
      </c>
      <c r="E9">
        <v>25000</v>
      </c>
      <c r="F9">
        <v>25000</v>
      </c>
      <c r="G9">
        <v>25000</v>
      </c>
      <c r="H9">
        <v>15000</v>
      </c>
      <c r="I9">
        <v>50000</v>
      </c>
      <c r="J9">
        <v>50000</v>
      </c>
      <c r="K9">
        <v>12000</v>
      </c>
      <c r="L9">
        <v>24000</v>
      </c>
      <c r="M9">
        <v>24000</v>
      </c>
      <c r="N9">
        <v>12000</v>
      </c>
      <c r="O9">
        <v>12000</v>
      </c>
      <c r="P9">
        <v>15000</v>
      </c>
      <c r="Q9">
        <v>10000</v>
      </c>
      <c r="R9">
        <v>5000</v>
      </c>
      <c r="S9">
        <v>6000</v>
      </c>
    </row>
    <row r="10" spans="1:23">
      <c r="B10" s="65" t="s">
        <v>441</v>
      </c>
      <c r="D10">
        <v>50</v>
      </c>
      <c r="E10">
        <v>65</v>
      </c>
      <c r="F10">
        <v>75</v>
      </c>
      <c r="G10">
        <v>90</v>
      </c>
      <c r="H10">
        <v>60</v>
      </c>
      <c r="I10">
        <v>59</v>
      </c>
      <c r="J10" t="s">
        <v>448</v>
      </c>
      <c r="N10">
        <v>100</v>
      </c>
      <c r="O10">
        <v>100</v>
      </c>
    </row>
    <row r="11" spans="1:23">
      <c r="C11">
        <f>C6/C7</f>
        <v>3.2500000000000001E-2</v>
      </c>
      <c r="D11">
        <f t="shared" ref="D11:T11" si="0">D6/D7</f>
        <v>0.79230769230769238</v>
      </c>
      <c r="E11">
        <f t="shared" si="0"/>
        <v>0.9973333333333334</v>
      </c>
      <c r="F11">
        <f t="shared" si="0"/>
        <v>0.69166666666666676</v>
      </c>
      <c r="G11">
        <f t="shared" si="0"/>
        <v>0.78933333333333333</v>
      </c>
      <c r="H11">
        <f t="shared" si="0"/>
        <v>0.32450000000000001</v>
      </c>
      <c r="I11">
        <f t="shared" si="0"/>
        <v>0.31235000000000002</v>
      </c>
      <c r="J11">
        <f t="shared" si="0"/>
        <v>0.62818181818181817</v>
      </c>
      <c r="K11">
        <f t="shared" si="0"/>
        <v>0.40076923076923077</v>
      </c>
      <c r="L11">
        <f t="shared" si="0"/>
        <v>9.5412037037037045E-2</v>
      </c>
      <c r="M11">
        <f t="shared" si="0"/>
        <v>0.15026041666666667</v>
      </c>
      <c r="N11">
        <f t="shared" si="0"/>
        <v>0.2401449275362319</v>
      </c>
      <c r="O11">
        <f t="shared" si="0"/>
        <v>0.24016908212560392</v>
      </c>
      <c r="P11">
        <f t="shared" si="0"/>
        <v>0.15990000000000001</v>
      </c>
      <c r="Q11">
        <f t="shared" si="0"/>
        <v>2.7949999999999999E-2</v>
      </c>
      <c r="R11">
        <f t="shared" si="0"/>
        <v>3.9949999999999999E-2</v>
      </c>
      <c r="S11">
        <f t="shared" si="0"/>
        <v>0.24285714285714285</v>
      </c>
      <c r="T11">
        <f t="shared" si="0"/>
        <v>0.12</v>
      </c>
    </row>
    <row r="13" spans="1:23">
      <c r="H13" t="s">
        <v>458</v>
      </c>
    </row>
    <row r="14" spans="1:23">
      <c r="C14" t="s">
        <v>54</v>
      </c>
      <c r="D14" t="s">
        <v>475</v>
      </c>
      <c r="E14" t="s">
        <v>476</v>
      </c>
      <c r="F14" t="s">
        <v>433</v>
      </c>
      <c r="H14" t="s">
        <v>459</v>
      </c>
    </row>
    <row r="15" spans="1:23">
      <c r="B15" s="65" t="s">
        <v>450</v>
      </c>
      <c r="C15" s="34">
        <f>AVERAGEIFS($C$6:$T$6,$C$3:$T$3,$B15)</f>
        <v>1.3</v>
      </c>
      <c r="D15" s="21">
        <f>AVERAGEIFS($C$9:$T$9,$C$3:$T$3,$B15)</f>
        <v>2500</v>
      </c>
      <c r="E15" s="21">
        <f>AVERAGEIFS($C$7:$T$7,$C$3:$T$3,$B15)*$O$19/1000*$O$21</f>
        <v>377565.42095238098</v>
      </c>
      <c r="F15" s="21">
        <f>AVERAGEIFS($C$7:$T$7,$C$3:$T$3,$B15)</f>
        <v>40</v>
      </c>
      <c r="G15" s="21"/>
      <c r="H15" t="s">
        <v>451</v>
      </c>
      <c r="I15" s="43">
        <v>0.65200000000000002</v>
      </c>
      <c r="J15" s="21">
        <f>I15*D16</f>
        <v>20025.714285714286</v>
      </c>
      <c r="K15" s="21">
        <f>I15*E16</f>
        <v>89677.181267918349</v>
      </c>
      <c r="L15">
        <f>C16*I15</f>
        <v>5.1618839999999997</v>
      </c>
      <c r="M15">
        <f>I15*F16</f>
        <v>9.500571428571428</v>
      </c>
    </row>
    <row r="16" spans="1:23">
      <c r="B16" s="65" t="s">
        <v>451</v>
      </c>
      <c r="C16" s="34">
        <f t="shared" ref="C16:C19" si="1">AVERAGEIFS($C$6:$T$6,$C$3:$T$3,$B16)</f>
        <v>7.9169999999999998</v>
      </c>
      <c r="D16" s="21">
        <f t="shared" ref="D16:D19" si="2">AVERAGEIFS($C$9:$T$9,$C$3:$T$3,$B16)</f>
        <v>30714.285714285714</v>
      </c>
      <c r="E16" s="21">
        <f>AVERAGEIFS($C$7:$T$7,$C$3:$T$3,$B16)*$O$19/1000*$O$21</f>
        <v>137541.68906122446</v>
      </c>
      <c r="F16" s="21">
        <f t="shared" ref="F16:F19" si="3">AVERAGEIFS($C$7:$T$7,$C$3:$T$3,$B16)</f>
        <v>14.571428571428571</v>
      </c>
      <c r="G16" s="21"/>
      <c r="H16" t="s">
        <v>460</v>
      </c>
      <c r="I16" s="43">
        <v>0.13650000000000001</v>
      </c>
      <c r="J16" s="21">
        <f>I16*D17</f>
        <v>2730</v>
      </c>
      <c r="K16" s="21">
        <f>I16*E17</f>
        <v>42518.585966999999</v>
      </c>
      <c r="L16">
        <f>I16*C17</f>
        <v>0.69026154166666676</v>
      </c>
      <c r="M16">
        <f>I16*F17</f>
        <v>4.5045000000000002</v>
      </c>
      <c r="O16" t="s">
        <v>473</v>
      </c>
    </row>
    <row r="17" spans="2:16">
      <c r="B17" s="65" t="s">
        <v>452</v>
      </c>
      <c r="C17" s="34">
        <f t="shared" si="1"/>
        <v>5.056861111111111</v>
      </c>
      <c r="D17" s="21">
        <f t="shared" si="2"/>
        <v>20000</v>
      </c>
      <c r="E17" s="21">
        <f>AVERAGEIFS($C$7:$T$7,$C$3:$T$3,$B17)*$O$19/1000*$O$21</f>
        <v>311491.47228571423</v>
      </c>
      <c r="F17" s="21">
        <f t="shared" si="3"/>
        <v>33</v>
      </c>
      <c r="G17" s="21"/>
      <c r="H17" t="s">
        <v>461</v>
      </c>
      <c r="I17" s="43">
        <v>0.20050000000000001</v>
      </c>
      <c r="J17" s="21">
        <f>I17*D19</f>
        <v>1804.5</v>
      </c>
      <c r="K17" s="21">
        <f>I17*E19</f>
        <v>859216.18932580936</v>
      </c>
      <c r="L17">
        <f>I17*C19</f>
        <v>4.5268889999999997</v>
      </c>
      <c r="M17">
        <f>I17*F19</f>
        <v>91.027000000000001</v>
      </c>
      <c r="O17">
        <v>9</v>
      </c>
      <c r="P17" t="s">
        <v>472</v>
      </c>
    </row>
    <row r="18" spans="2:16">
      <c r="B18" s="65" t="s">
        <v>456</v>
      </c>
      <c r="C18" s="34">
        <f t="shared" si="1"/>
        <v>5.5236111111111121</v>
      </c>
      <c r="D18" s="21">
        <f t="shared" si="2"/>
        <v>12000</v>
      </c>
      <c r="E18" s="21">
        <f>AVERAGEIFS($C$7:$T$7,$C$3:$T$3,$B18)*$O$19/1000*$O$21</f>
        <v>217100.11704761902</v>
      </c>
      <c r="F18" s="21">
        <f t="shared" si="3"/>
        <v>23</v>
      </c>
      <c r="G18" s="21"/>
      <c r="H18" t="s">
        <v>462</v>
      </c>
      <c r="I18" s="43">
        <v>1.0999999999999999E-2</v>
      </c>
      <c r="J18" s="21">
        <f>I18*D16</f>
        <v>337.85714285714283</v>
      </c>
      <c r="K18" s="21">
        <f>I18*E16</f>
        <v>1512.9585796734689</v>
      </c>
      <c r="L18">
        <f>I18*C16</f>
        <v>8.7086999999999998E-2</v>
      </c>
      <c r="M18">
        <f>I18*F16</f>
        <v>0.16028571428571428</v>
      </c>
    </row>
    <row r="19" spans="2:16">
      <c r="B19" s="65" t="s">
        <v>464</v>
      </c>
      <c r="C19" s="34">
        <f t="shared" si="1"/>
        <v>22.577999999999999</v>
      </c>
      <c r="D19" s="21">
        <f t="shared" si="2"/>
        <v>9000</v>
      </c>
      <c r="E19" s="21">
        <f>AVERAGEIFS($C$7:$T$7,$C$3:$T$3,$B19)*$O$19/1000*$O$21</f>
        <v>4285367.527809523</v>
      </c>
      <c r="F19" s="21">
        <f t="shared" si="3"/>
        <v>454</v>
      </c>
      <c r="G19" s="21"/>
      <c r="J19" s="47">
        <f>SUM(J15:J18)</f>
        <v>24898.071428571428</v>
      </c>
      <c r="K19" s="47">
        <f>SUM(K15:K18)</f>
        <v>992924.91514040111</v>
      </c>
      <c r="L19" s="66">
        <f>SUM(L15:L18)</f>
        <v>10.466121541666666</v>
      </c>
      <c r="M19" s="47">
        <f>SUM(M15:M18)</f>
        <v>105.19235714285715</v>
      </c>
      <c r="O19" s="47">
        <f>J19/9</f>
        <v>2766.4523809523807</v>
      </c>
      <c r="P19" s="1" t="s">
        <v>474</v>
      </c>
    </row>
    <row r="20" spans="2:16">
      <c r="J20" s="1" t="s">
        <v>471</v>
      </c>
      <c r="K20" s="1" t="s">
        <v>476</v>
      </c>
      <c r="L20" t="s">
        <v>54</v>
      </c>
      <c r="M20" s="1" t="s">
        <v>433</v>
      </c>
    </row>
    <row r="21" spans="2:16">
      <c r="O21">
        <v>3412</v>
      </c>
      <c r="P21" t="s">
        <v>30</v>
      </c>
    </row>
    <row r="23" spans="2:16">
      <c r="O23" s="67">
        <f>L19/K19</f>
        <v>1.0540697873601793E-5</v>
      </c>
      <c r="P23" t="s">
        <v>19</v>
      </c>
    </row>
    <row r="24" spans="2:16">
      <c r="B24" t="s">
        <v>477</v>
      </c>
    </row>
    <row r="25" spans="2:16">
      <c r="B25" t="s">
        <v>478</v>
      </c>
    </row>
    <row r="27" spans="2:16">
      <c r="B27" s="43">
        <f>0.35</f>
        <v>0.35</v>
      </c>
      <c r="C27" t="s">
        <v>479</v>
      </c>
    </row>
    <row r="28" spans="2:16">
      <c r="B28">
        <f>O23*B27</f>
        <v>3.6892442557606274E-6</v>
      </c>
      <c r="C28" t="s">
        <v>491</v>
      </c>
    </row>
    <row r="31" spans="2:16">
      <c r="B31" t="s">
        <v>480</v>
      </c>
    </row>
    <row r="32" spans="2:16">
      <c r="B32" t="s">
        <v>481</v>
      </c>
      <c r="C32" t="s">
        <v>482</v>
      </c>
      <c r="D32" t="s">
        <v>483</v>
      </c>
      <c r="E32" t="s">
        <v>484</v>
      </c>
      <c r="F32" t="s">
        <v>485</v>
      </c>
      <c r="G32" t="s">
        <v>486</v>
      </c>
      <c r="H32" t="s">
        <v>487</v>
      </c>
    </row>
    <row r="33" spans="1:11">
      <c r="A33" t="s">
        <v>54</v>
      </c>
      <c r="B33">
        <v>3579</v>
      </c>
      <c r="C33">
        <v>649</v>
      </c>
      <c r="D33">
        <v>849</v>
      </c>
      <c r="E33">
        <v>926</v>
      </c>
      <c r="F33">
        <v>399.99</v>
      </c>
      <c r="G33">
        <v>1299</v>
      </c>
      <c r="H33">
        <v>999</v>
      </c>
      <c r="I33" s="21">
        <f>AVERAGE(Lighting!B33:H33)</f>
        <v>1242.9985714285715</v>
      </c>
      <c r="J33" t="s">
        <v>489</v>
      </c>
    </row>
    <row r="34" spans="1:11">
      <c r="A34" t="s">
        <v>433</v>
      </c>
      <c r="B34">
        <v>10000</v>
      </c>
      <c r="C34">
        <v>5300</v>
      </c>
      <c r="D34">
        <v>7500</v>
      </c>
      <c r="E34">
        <v>9500</v>
      </c>
      <c r="F34">
        <v>5600</v>
      </c>
      <c r="G34">
        <v>13000</v>
      </c>
      <c r="H34">
        <f>AVERAGE(10000,8000)</f>
        <v>9000</v>
      </c>
      <c r="I34" s="21">
        <f>AVERAGE(Lighting!B34:H34)</f>
        <v>8557.1428571428569</v>
      </c>
      <c r="J34" t="s">
        <v>488</v>
      </c>
    </row>
    <row r="35" spans="1:11">
      <c r="B35">
        <f>B33/B34</f>
        <v>0.3579</v>
      </c>
      <c r="C35">
        <f t="shared" ref="C35:H35" si="4">C33/C34</f>
        <v>0.12245283018867925</v>
      </c>
      <c r="D35">
        <f t="shared" si="4"/>
        <v>0.1132</v>
      </c>
      <c r="E35">
        <f t="shared" si="4"/>
        <v>9.747368421052631E-2</v>
      </c>
      <c r="F35">
        <f t="shared" si="4"/>
        <v>7.142678571428572E-2</v>
      </c>
      <c r="G35">
        <f t="shared" si="4"/>
        <v>9.992307692307692E-2</v>
      </c>
      <c r="H35">
        <f t="shared" si="4"/>
        <v>0.111</v>
      </c>
    </row>
    <row r="37" spans="1:11">
      <c r="I37" s="21">
        <f>I33*M19/I34</f>
        <v>15.280094283412833</v>
      </c>
      <c r="J37" t="s">
        <v>54</v>
      </c>
      <c r="K37" t="s">
        <v>490</v>
      </c>
    </row>
    <row r="38" spans="1:11">
      <c r="I38">
        <f>I37/K19*B27</f>
        <v>5.3861403995872857E-6</v>
      </c>
      <c r="K38" t="s">
        <v>492</v>
      </c>
    </row>
    <row r="39" spans="1:11">
      <c r="I39" s="67">
        <f>I38+B28</f>
        <v>9.0753846553479132E-6</v>
      </c>
      <c r="K39" t="s">
        <v>493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3D77-55A0-4A3F-A167-AF9495B144EE}">
  <dimension ref="A1:H29"/>
  <sheetViews>
    <sheetView zoomScale="130" zoomScaleNormal="130" workbookViewId="0">
      <selection activeCell="M19" sqref="M19"/>
    </sheetView>
  </sheetViews>
  <sheetFormatPr defaultColWidth="8.85546875" defaultRowHeight="15"/>
  <cols>
    <col min="1" max="1" width="18.42578125" customWidth="1"/>
    <col min="2" max="2" width="13.7109375" customWidth="1"/>
    <col min="3" max="3" width="10.7109375" customWidth="1"/>
    <col min="5" max="5" width="12" bestFit="1" customWidth="1"/>
  </cols>
  <sheetData>
    <row r="1" spans="1:8">
      <c r="A1" s="17" t="s">
        <v>239</v>
      </c>
      <c r="B1" s="18"/>
      <c r="C1" s="18"/>
      <c r="D1" s="18"/>
      <c r="E1" s="18"/>
      <c r="F1" s="18"/>
      <c r="G1" s="18"/>
      <c r="H1" s="18"/>
    </row>
    <row r="3" spans="1:8">
      <c r="A3" t="s">
        <v>155</v>
      </c>
      <c r="E3" s="39">
        <f>2758*1.03</f>
        <v>2840.7400000000002</v>
      </c>
      <c r="F3" t="s">
        <v>240</v>
      </c>
      <c r="H3" t="s">
        <v>243</v>
      </c>
    </row>
    <row r="4" spans="1:8">
      <c r="A4" t="s">
        <v>427</v>
      </c>
      <c r="E4">
        <v>18</v>
      </c>
      <c r="F4" t="s">
        <v>85</v>
      </c>
      <c r="H4" s="15" t="s">
        <v>242</v>
      </c>
    </row>
    <row r="5" spans="1:8">
      <c r="A5" t="s">
        <v>27</v>
      </c>
      <c r="E5">
        <f>18*365</f>
        <v>6570</v>
      </c>
      <c r="F5" t="s">
        <v>210</v>
      </c>
      <c r="H5" t="s">
        <v>241</v>
      </c>
    </row>
    <row r="7" spans="1:8">
      <c r="A7" t="s">
        <v>420</v>
      </c>
      <c r="E7">
        <f>E4*E5</f>
        <v>118260</v>
      </c>
      <c r="F7" t="s">
        <v>161</v>
      </c>
    </row>
    <row r="8" spans="1:8">
      <c r="A8" t="s">
        <v>421</v>
      </c>
      <c r="E8">
        <f>E7*0.003412</f>
        <v>403.50312000000002</v>
      </c>
      <c r="F8" t="s">
        <v>162</v>
      </c>
    </row>
    <row r="9" spans="1:8">
      <c r="A9" t="s">
        <v>165</v>
      </c>
      <c r="E9" s="12">
        <f>E3/(E8*10^6)</f>
        <v>7.0401933942914745E-6</v>
      </c>
      <c r="F9" t="s">
        <v>165</v>
      </c>
    </row>
    <row r="12" spans="1:8">
      <c r="A12" s="17" t="s">
        <v>227</v>
      </c>
      <c r="B12" s="18"/>
      <c r="C12" s="18"/>
    </row>
    <row r="14" spans="1:8">
      <c r="A14" t="s">
        <v>246</v>
      </c>
    </row>
    <row r="16" spans="1:8">
      <c r="A16" t="s">
        <v>226</v>
      </c>
      <c r="B16" s="8">
        <v>862500</v>
      </c>
      <c r="C16" t="s">
        <v>54</v>
      </c>
    </row>
    <row r="17" spans="1:3">
      <c r="A17" t="s">
        <v>225</v>
      </c>
      <c r="B17" s="8">
        <v>1500000</v>
      </c>
      <c r="C17" t="s">
        <v>54</v>
      </c>
    </row>
    <row r="18" spans="1:3">
      <c r="A18" t="s">
        <v>224</v>
      </c>
      <c r="B18" s="8">
        <f>AVERAGE(B16,B17)</f>
        <v>1181250</v>
      </c>
      <c r="C18" t="s">
        <v>54</v>
      </c>
    </row>
    <row r="20" spans="1:3">
      <c r="A20" t="s">
        <v>51</v>
      </c>
      <c r="B20" s="32">
        <v>8760</v>
      </c>
      <c r="C20" t="s">
        <v>210</v>
      </c>
    </row>
    <row r="21" spans="1:3">
      <c r="A21" t="s">
        <v>223</v>
      </c>
      <c r="B21" s="32">
        <v>6051100</v>
      </c>
      <c r="C21" t="s">
        <v>222</v>
      </c>
    </row>
    <row r="23" spans="1:3">
      <c r="A23" t="s">
        <v>221</v>
      </c>
      <c r="B23">
        <f>B20*B21</f>
        <v>53007636000</v>
      </c>
      <c r="C23" t="s">
        <v>220</v>
      </c>
    </row>
    <row r="24" spans="1:3">
      <c r="A24" t="s">
        <v>50</v>
      </c>
      <c r="B24" s="12">
        <f>B18/B23</f>
        <v>2.2284525195577483E-5</v>
      </c>
      <c r="C24" t="s">
        <v>219</v>
      </c>
    </row>
    <row r="28" spans="1:3">
      <c r="A28" s="1" t="s">
        <v>257</v>
      </c>
    </row>
    <row r="29" spans="1:3">
      <c r="A29" s="1" t="s">
        <v>258</v>
      </c>
    </row>
  </sheetData>
  <hyperlinks>
    <hyperlink ref="H4" r:id="rId1" xr:uid="{0EBADC85-7E7A-4D8B-B878-F45654EA16C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B710-1DAB-47E6-AE70-A12C5CA0B896}">
  <dimension ref="A1:P83"/>
  <sheetViews>
    <sheetView topLeftCell="A55" workbookViewId="0"/>
  </sheetViews>
  <sheetFormatPr defaultRowHeight="15"/>
  <cols>
    <col min="2" max="2" width="11.42578125" customWidth="1"/>
    <col min="3" max="3" width="15.140625" bestFit="1" customWidth="1"/>
    <col min="4" max="4" width="18" bestFit="1" customWidth="1"/>
    <col min="5" max="5" width="20.85546875" bestFit="1" customWidth="1"/>
    <col min="6" max="6" width="19.42578125" bestFit="1" customWidth="1"/>
    <col min="7" max="7" width="18.5703125" bestFit="1" customWidth="1"/>
    <col min="8" max="8" width="18" bestFit="1" customWidth="1"/>
  </cols>
  <sheetData>
    <row r="1" spans="1:16">
      <c r="A1" s="53" t="s">
        <v>359</v>
      </c>
      <c r="B1" s="52"/>
      <c r="C1" s="52"/>
      <c r="D1" s="52"/>
      <c r="E1" s="52"/>
      <c r="F1" s="52"/>
      <c r="G1" s="52"/>
      <c r="H1" s="52"/>
      <c r="I1" s="52"/>
      <c r="J1" s="52"/>
      <c r="K1" s="52"/>
      <c r="L1" s="52"/>
      <c r="M1" s="52"/>
      <c r="N1" s="52"/>
      <c r="O1" s="52"/>
      <c r="P1" s="52"/>
    </row>
    <row r="2" spans="1:16">
      <c r="A2" s="54">
        <v>0.57060049240377109</v>
      </c>
      <c r="B2" t="s">
        <v>393</v>
      </c>
    </row>
    <row r="3" spans="1:16">
      <c r="A3" s="54">
        <f>4000/15</f>
        <v>266.66666666666669</v>
      </c>
      <c r="B3" t="s">
        <v>397</v>
      </c>
    </row>
    <row r="4" spans="1:16">
      <c r="A4" s="24"/>
    </row>
    <row r="5" spans="1:16">
      <c r="A5" s="56">
        <f>AVERAGE(O29,H39,H83)</f>
        <v>8.2719018162705823E-4</v>
      </c>
      <c r="B5" t="s">
        <v>403</v>
      </c>
    </row>
    <row r="6" spans="1:16">
      <c r="A6" s="56">
        <f>AVERAGE(O30,H40,H82)</f>
        <v>3.1381977460259781E-3</v>
      </c>
      <c r="B6" t="s">
        <v>404</v>
      </c>
    </row>
    <row r="7" spans="1:16">
      <c r="A7" s="24"/>
    </row>
    <row r="9" spans="1:16">
      <c r="A9" s="24" t="s">
        <v>360</v>
      </c>
    </row>
    <row r="28" spans="2:15">
      <c r="C28" t="s">
        <v>364</v>
      </c>
      <c r="D28" t="s">
        <v>366</v>
      </c>
      <c r="E28" t="s">
        <v>367</v>
      </c>
      <c r="F28" t="s">
        <v>368</v>
      </c>
      <c r="G28" t="s">
        <v>369</v>
      </c>
      <c r="H28" t="s">
        <v>373</v>
      </c>
      <c r="I28" t="s">
        <v>391</v>
      </c>
      <c r="M28" t="s">
        <v>395</v>
      </c>
      <c r="N28" t="s">
        <v>396</v>
      </c>
      <c r="O28" t="s">
        <v>112</v>
      </c>
    </row>
    <row r="29" spans="2:15">
      <c r="B29" t="s">
        <v>361</v>
      </c>
      <c r="C29">
        <v>17000</v>
      </c>
      <c r="D29">
        <v>7.1</v>
      </c>
      <c r="F29">
        <v>9.5</v>
      </c>
      <c r="G29" s="21">
        <f>D29*About!$A$112</f>
        <v>983279</v>
      </c>
      <c r="H29" s="21">
        <f>G29/F29</f>
        <v>103503.05263157895</v>
      </c>
      <c r="I29">
        <v>250</v>
      </c>
      <c r="L29" t="s">
        <v>358</v>
      </c>
      <c r="M29">
        <f>AVERAGE(C29:C31)*About!A117</f>
        <v>21966.588645333242</v>
      </c>
      <c r="N29">
        <f>AVERAGE(H29:H31)*A3</f>
        <v>27574616.079328757</v>
      </c>
      <c r="O29" s="55">
        <f>M29/N29</f>
        <v>7.9662355342094654E-4</v>
      </c>
    </row>
    <row r="30" spans="2:15">
      <c r="B30" t="s">
        <v>362</v>
      </c>
      <c r="C30">
        <v>17000</v>
      </c>
      <c r="D30">
        <v>7.1</v>
      </c>
      <c r="F30">
        <v>10</v>
      </c>
      <c r="G30" s="21">
        <f>D30*About!$A$112</f>
        <v>983279</v>
      </c>
      <c r="H30" s="21">
        <f>G30/F30</f>
        <v>98327.9</v>
      </c>
      <c r="I30">
        <v>250</v>
      </c>
      <c r="L30" t="s">
        <v>394</v>
      </c>
      <c r="M30">
        <f>C32*About!A117</f>
        <v>43148.65626761887</v>
      </c>
      <c r="N30">
        <f>N29*(1-A2)</f>
        <v>11840526.566618824</v>
      </c>
      <c r="O30" s="55">
        <f>M30/N30</f>
        <v>3.6441501165383038E-3</v>
      </c>
    </row>
    <row r="31" spans="2:15">
      <c r="B31" t="s">
        <v>363</v>
      </c>
      <c r="C31">
        <v>50000</v>
      </c>
      <c r="D31">
        <v>18</v>
      </c>
      <c r="F31">
        <v>23</v>
      </c>
      <c r="G31" s="21">
        <f>D31*About!$A$112</f>
        <v>2492820</v>
      </c>
      <c r="H31" s="21">
        <f>G31/F31</f>
        <v>108383.47826086957</v>
      </c>
      <c r="I31">
        <v>250</v>
      </c>
    </row>
    <row r="32" spans="2:15">
      <c r="B32" t="s">
        <v>365</v>
      </c>
      <c r="C32">
        <v>55000</v>
      </c>
      <c r="E32">
        <v>24</v>
      </c>
      <c r="F32">
        <v>16</v>
      </c>
      <c r="G32" s="21">
        <f>E32*About!$A$114</f>
        <v>81891.360000000001</v>
      </c>
      <c r="H32" s="21"/>
      <c r="I32">
        <v>250</v>
      </c>
    </row>
    <row r="33" spans="1:8">
      <c r="C33">
        <f>C32/AVERAGE(C29:C31)</f>
        <v>1.9642857142857142</v>
      </c>
      <c r="H33" s="21"/>
    </row>
    <row r="34" spans="1:8">
      <c r="E34">
        <f>E32/38.1</f>
        <v>0.62992125984251968</v>
      </c>
    </row>
    <row r="36" spans="1:8">
      <c r="A36" s="24" t="s">
        <v>374</v>
      </c>
    </row>
    <row r="38" spans="1:8">
      <c r="C38" t="s">
        <v>375</v>
      </c>
      <c r="D38" t="s">
        <v>210</v>
      </c>
      <c r="E38" t="s">
        <v>390</v>
      </c>
      <c r="F38" t="s">
        <v>398</v>
      </c>
      <c r="G38" t="s">
        <v>400</v>
      </c>
      <c r="H38" t="s">
        <v>112</v>
      </c>
    </row>
    <row r="39" spans="1:8">
      <c r="B39" t="s">
        <v>376</v>
      </c>
      <c r="C39">
        <v>2940</v>
      </c>
      <c r="D39">
        <v>545</v>
      </c>
      <c r="E39">
        <f>37500</f>
        <v>37500</v>
      </c>
      <c r="F39" s="21">
        <f>AVERAGE(60400,120900,214300)</f>
        <v>131866.66666666666</v>
      </c>
      <c r="G39" s="21">
        <f>F39*$A$3</f>
        <v>35164444.444444448</v>
      </c>
      <c r="H39" s="55">
        <f>E39*About!$A$118/G39</f>
        <v>9.0358045924813471E-4</v>
      </c>
    </row>
    <row r="40" spans="1:8">
      <c r="B40" t="s">
        <v>377</v>
      </c>
      <c r="C40">
        <v>113</v>
      </c>
      <c r="D40">
        <v>995</v>
      </c>
      <c r="E40" s="21">
        <f>AVERAGE(58000,74999)</f>
        <v>66499.5</v>
      </c>
      <c r="F40" s="21">
        <f>F39*(1-A2)</f>
        <v>56623.481735022717</v>
      </c>
      <c r="G40" s="21">
        <f>F40*$A$3</f>
        <v>15099595.129339391</v>
      </c>
      <c r="H40" s="55">
        <f>E40*About!$A$118/G40</f>
        <v>3.7315769386037706E-3</v>
      </c>
    </row>
    <row r="41" spans="1:8">
      <c r="F41" t="s">
        <v>399</v>
      </c>
    </row>
    <row r="53" spans="1:5">
      <c r="A53" s="24" t="s">
        <v>378</v>
      </c>
    </row>
    <row r="54" spans="1:5">
      <c r="C54" t="s">
        <v>381</v>
      </c>
    </row>
    <row r="55" spans="1:5">
      <c r="B55" t="s">
        <v>379</v>
      </c>
      <c r="C55" s="19">
        <v>0.54</v>
      </c>
      <c r="E55" s="11" t="s">
        <v>389</v>
      </c>
    </row>
    <row r="56" spans="1:5">
      <c r="B56" t="s">
        <v>380</v>
      </c>
      <c r="C56" s="19">
        <v>0.52</v>
      </c>
    </row>
    <row r="57" spans="1:5">
      <c r="C57" s="19"/>
    </row>
    <row r="58" spans="1:5">
      <c r="A58" s="24" t="s">
        <v>382</v>
      </c>
    </row>
    <row r="81" spans="2:8">
      <c r="C81" s="7" t="s">
        <v>385</v>
      </c>
      <c r="D81" s="7" t="s">
        <v>386</v>
      </c>
      <c r="E81" s="7" t="s">
        <v>387</v>
      </c>
      <c r="F81" s="7" t="s">
        <v>388</v>
      </c>
      <c r="G81" s="7" t="s">
        <v>402</v>
      </c>
      <c r="H81" s="7" t="s">
        <v>112</v>
      </c>
    </row>
    <row r="82" spans="2:8">
      <c r="B82" s="1" t="s">
        <v>383</v>
      </c>
      <c r="C82">
        <v>28398</v>
      </c>
      <c r="D82">
        <v>250</v>
      </c>
      <c r="G82" s="21">
        <f>G83*(1-A2)</f>
        <v>11801531.10292552</v>
      </c>
      <c r="H82" s="55">
        <f>C82*About!$A$118/G82</f>
        <v>2.0388661829358595E-3</v>
      </c>
    </row>
    <row r="83" spans="2:8">
      <c r="B83" s="1" t="s">
        <v>384</v>
      </c>
      <c r="C83">
        <v>25345</v>
      </c>
      <c r="D83">
        <v>250</v>
      </c>
      <c r="E83">
        <f>AVERAGE(144,228.1)</f>
        <v>186.05</v>
      </c>
      <c r="G83" s="21">
        <f>E83*About!A112*A3/D83</f>
        <v>27483802.133333337</v>
      </c>
      <c r="H83" s="55">
        <f>C83*About!$A$118/G83</f>
        <v>7.8136653221209343E-4</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DD54-04F6-423F-9D03-CF219E654680}">
  <sheetPr>
    <tabColor theme="2" tint="-0.249977111117893"/>
  </sheetPr>
  <dimension ref="A1:K45"/>
  <sheetViews>
    <sheetView zoomScaleNormal="100" workbookViewId="0">
      <selection activeCell="B2" sqref="B2"/>
    </sheetView>
  </sheetViews>
  <sheetFormatPr defaultColWidth="8.85546875" defaultRowHeight="15"/>
  <cols>
    <col min="1" max="1" width="35" customWidth="1"/>
    <col min="2" max="11" width="13.28515625" customWidth="1"/>
  </cols>
  <sheetData>
    <row r="1" spans="1:11" s="3" customFormat="1" ht="60">
      <c r="A1" s="4" t="s">
        <v>20</v>
      </c>
      <c r="B1" s="2" t="s">
        <v>1</v>
      </c>
      <c r="C1" s="2" t="s">
        <v>2</v>
      </c>
      <c r="D1" s="2" t="s">
        <v>3</v>
      </c>
      <c r="E1" s="2" t="s">
        <v>4</v>
      </c>
      <c r="F1" s="2" t="s">
        <v>5</v>
      </c>
      <c r="G1" s="2" t="s">
        <v>6</v>
      </c>
      <c r="H1" s="2" t="s">
        <v>7</v>
      </c>
      <c r="I1" s="2" t="s">
        <v>8</v>
      </c>
      <c r="J1" s="2" t="s">
        <v>9</v>
      </c>
      <c r="K1" s="2" t="s">
        <v>10</v>
      </c>
    </row>
    <row r="2" spans="1:11">
      <c r="A2" s="5" t="s">
        <v>539</v>
      </c>
      <c r="B2" s="70">
        <f>B3</f>
        <v>3.6314488500484264E-5</v>
      </c>
      <c r="C2" s="70">
        <f>C3</f>
        <v>1.988884641576574E-5</v>
      </c>
      <c r="D2" s="70">
        <f>D3</f>
        <v>6.2918941964973188E-6</v>
      </c>
      <c r="E2" s="70">
        <f>E3</f>
        <v>1.988884641576574E-5</v>
      </c>
      <c r="F2" s="70">
        <f>F3</f>
        <v>1.3097712072988588E-5</v>
      </c>
      <c r="G2" s="73">
        <v>0</v>
      </c>
      <c r="H2" s="70">
        <f t="shared" ref="H2:K2" si="0">H3</f>
        <v>1.3097712072988588E-5</v>
      </c>
      <c r="I2" s="70">
        <f t="shared" si="0"/>
        <v>1.3097712072988588E-5</v>
      </c>
      <c r="J2" s="70">
        <f t="shared" si="0"/>
        <v>1.3097712072988588E-5</v>
      </c>
      <c r="K2" s="70">
        <f t="shared" si="0"/>
        <v>9.4378412947459783E-6</v>
      </c>
    </row>
    <row r="3" spans="1:11">
      <c r="A3" s="5" t="s">
        <v>540</v>
      </c>
      <c r="B3" s="69">
        <f>'Boilers &amp; Heat Pumps'!B15</f>
        <v>3.6314488500484264E-5</v>
      </c>
      <c r="C3" s="69">
        <f>'Boilers &amp; Heat Pumps'!$H$21</f>
        <v>1.988884641576574E-5</v>
      </c>
      <c r="D3" s="69">
        <f>'Boilers &amp; Heat Pumps'!$H$23</f>
        <v>6.2918941964973188E-6</v>
      </c>
      <c r="E3" s="70">
        <f>C3</f>
        <v>1.988884641576574E-5</v>
      </c>
      <c r="F3" s="69">
        <f>'Boilers &amp; Heat Pumps'!$H$22</f>
        <v>1.3097712072988588E-5</v>
      </c>
      <c r="G3" s="73">
        <v>0</v>
      </c>
      <c r="H3" s="70">
        <f>F3</f>
        <v>1.3097712072988588E-5</v>
      </c>
      <c r="I3" s="70">
        <f>F3</f>
        <v>1.3097712072988588E-5</v>
      </c>
      <c r="J3" s="70">
        <f>F3</f>
        <v>1.3097712072988588E-5</v>
      </c>
      <c r="K3" s="69">
        <f>'Boilers &amp; Heat Pumps'!A37</f>
        <v>9.4378412947459783E-6</v>
      </c>
    </row>
    <row r="4" spans="1:11">
      <c r="A4" s="5" t="s">
        <v>541</v>
      </c>
      <c r="B4" s="69">
        <f>'NB High Temp'!B93</f>
        <v>1.3373591675231861E-5</v>
      </c>
      <c r="C4" s="70">
        <f>'NB Medium Temp'!D59</f>
        <v>2.9630479518780673E-5</v>
      </c>
      <c r="D4" s="69">
        <f>'NB Medium Temp'!D61</f>
        <v>2.2152155798183041E-5</v>
      </c>
      <c r="E4" s="70">
        <f>C4</f>
        <v>2.9630479518780673E-5</v>
      </c>
      <c r="F4" s="70">
        <f>'NB Medium Temp'!D60</f>
        <v>2.5895355630253241E-5</v>
      </c>
      <c r="G4" s="73">
        <v>0</v>
      </c>
      <c r="H4" s="70">
        <f>F4</f>
        <v>2.5895355630253241E-5</v>
      </c>
      <c r="I4" s="70">
        <f>F4</f>
        <v>2.5895355630253241E-5</v>
      </c>
      <c r="J4" s="70">
        <f>D4</f>
        <v>2.2152155798183041E-5</v>
      </c>
      <c r="K4" s="70">
        <f>D4*(K3/D3)</f>
        <v>3.3228233697274559E-5</v>
      </c>
    </row>
    <row r="5" spans="1:11">
      <c r="A5" s="5" t="s">
        <v>542</v>
      </c>
      <c r="B5" s="69">
        <f>'NB High Temp'!B94</f>
        <v>1.6537984784497585E-5</v>
      </c>
      <c r="C5" s="69">
        <f>'NB High Temp'!B117</f>
        <v>2.0652867924146823E-5</v>
      </c>
      <c r="D5" s="69">
        <f>'NB High Temp'!D117</f>
        <v>1.7959170914147397E-5</v>
      </c>
      <c r="E5" s="70">
        <f>C5</f>
        <v>2.0652867924146823E-5</v>
      </c>
      <c r="F5" s="70">
        <f>'NB High Temp'!C117</f>
        <v>1.8777711530961497E-5</v>
      </c>
      <c r="G5" s="73">
        <v>0</v>
      </c>
      <c r="H5" s="70">
        <f>F5</f>
        <v>1.8777711530961497E-5</v>
      </c>
      <c r="I5" s="70">
        <f>F5</f>
        <v>1.8777711530961497E-5</v>
      </c>
      <c r="J5" s="70">
        <f>D5</f>
        <v>1.7959170914147397E-5</v>
      </c>
      <c r="K5" s="69">
        <f>'NB High Temp'!F67</f>
        <v>3.265784625690839E-5</v>
      </c>
    </row>
    <row r="6" spans="1:11">
      <c r="A6" s="5" t="s">
        <v>543</v>
      </c>
      <c r="B6" s="69">
        <f>'NB High Temp'!F10</f>
        <v>1.7204637228083889E-4</v>
      </c>
      <c r="C6" s="69">
        <f>'NB High Temp'!E140</f>
        <v>4.8979617872453693E-6</v>
      </c>
      <c r="D6" s="69">
        <f>'NB High Temp'!E141</f>
        <v>1.4075502301658483E-5</v>
      </c>
      <c r="E6" s="70">
        <f>C6</f>
        <v>4.8979617872453693E-6</v>
      </c>
      <c r="F6" s="70">
        <f>'NB High Temp'!E142</f>
        <v>1.3887715794941011E-5</v>
      </c>
      <c r="G6" s="73">
        <v>0</v>
      </c>
      <c r="H6" s="70">
        <f>F6</f>
        <v>1.3887715794941011E-5</v>
      </c>
      <c r="I6" s="70">
        <f>F6</f>
        <v>1.3887715794941011E-5</v>
      </c>
      <c r="J6" s="70">
        <f>D6</f>
        <v>1.4075502301658483E-5</v>
      </c>
      <c r="K6" s="69">
        <f>'NB High Temp'!F67</f>
        <v>3.265784625690839E-5</v>
      </c>
    </row>
    <row r="7" spans="1:11">
      <c r="A7" s="5" t="s">
        <v>11</v>
      </c>
      <c r="B7" s="69">
        <f>Cooling!$B$49</f>
        <v>4.4520366169683022E-5</v>
      </c>
      <c r="C7" s="70">
        <f>$D$7</f>
        <v>1.8088159747275158E-5</v>
      </c>
      <c r="D7" s="69">
        <f>Cooling!$B$27</f>
        <v>1.8088159747275158E-5</v>
      </c>
      <c r="E7" s="70">
        <f>$D$7</f>
        <v>1.8088159747275158E-5</v>
      </c>
      <c r="F7" s="70">
        <f>$D$7</f>
        <v>1.8088159747275158E-5</v>
      </c>
      <c r="G7" s="73">
        <v>0</v>
      </c>
      <c r="H7" s="70">
        <f>$D$7</f>
        <v>1.8088159747275158E-5</v>
      </c>
      <c r="I7" s="70">
        <f>$D$7</f>
        <v>1.8088159747275158E-5</v>
      </c>
      <c r="J7" s="70">
        <f>$D$7</f>
        <v>1.8088159747275158E-5</v>
      </c>
      <c r="K7" s="70">
        <f>$D$7*(K3/D3)</f>
        <v>2.7132239620912736E-5</v>
      </c>
    </row>
    <row r="8" spans="1:11">
      <c r="A8" s="5" t="s">
        <v>12</v>
      </c>
      <c r="B8" s="69">
        <f>'Machine Drive'!$W$22</f>
        <v>2.9652197760109964E-5</v>
      </c>
      <c r="C8" s="70">
        <f>$F$8</f>
        <v>7.0734511678239686E-5</v>
      </c>
      <c r="D8" s="70">
        <f>$F$8</f>
        <v>7.0734511678239686E-5</v>
      </c>
      <c r="E8" s="70">
        <f>$F$8</f>
        <v>7.0734511678239686E-5</v>
      </c>
      <c r="F8" s="69">
        <f>'Machine Drive'!D38</f>
        <v>7.0734511678239686E-5</v>
      </c>
      <c r="G8" s="73">
        <v>0</v>
      </c>
      <c r="H8" s="70">
        <f>$F$8</f>
        <v>7.0734511678239686E-5</v>
      </c>
      <c r="I8" s="70">
        <f>$F$8</f>
        <v>7.0734511678239686E-5</v>
      </c>
      <c r="J8" s="70">
        <f>$F$8</f>
        <v>7.0734511678239686E-5</v>
      </c>
      <c r="K8" s="70">
        <f>$F$8</f>
        <v>7.0734511678239686E-5</v>
      </c>
    </row>
    <row r="9" spans="1:11">
      <c r="A9" s="5" t="s">
        <v>13</v>
      </c>
      <c r="B9" s="69">
        <f>Other!E9</f>
        <v>7.0401933942914745E-6</v>
      </c>
      <c r="C9" s="70">
        <f>C4</f>
        <v>2.9630479518780673E-5</v>
      </c>
      <c r="D9" s="69">
        <f>Other!B24</f>
        <v>2.2284525195577483E-5</v>
      </c>
      <c r="E9" s="70">
        <f>C9</f>
        <v>2.9630479518780673E-5</v>
      </c>
      <c r="F9" s="70">
        <f>F4</f>
        <v>2.5895355630253241E-5</v>
      </c>
      <c r="G9" s="73">
        <v>0</v>
      </c>
      <c r="H9" s="70">
        <f>F9</f>
        <v>2.5895355630253241E-5</v>
      </c>
      <c r="I9" s="70">
        <f>F9</f>
        <v>2.5895355630253241E-5</v>
      </c>
      <c r="J9" s="70">
        <f>F9</f>
        <v>2.5895355630253241E-5</v>
      </c>
      <c r="K9" s="70">
        <f>D9*(K3/D3)</f>
        <v>3.3426787793366228E-5</v>
      </c>
    </row>
    <row r="10" spans="1:11">
      <c r="A10" s="5" t="s">
        <v>428</v>
      </c>
      <c r="B10" s="70">
        <f>B2</f>
        <v>3.6314488500484264E-5</v>
      </c>
      <c r="C10" s="70">
        <f>C2</f>
        <v>1.988884641576574E-5</v>
      </c>
      <c r="D10" s="70">
        <f>D2</f>
        <v>6.2918941964973188E-6</v>
      </c>
      <c r="E10" s="70">
        <f>E2</f>
        <v>1.988884641576574E-5</v>
      </c>
      <c r="F10" s="70">
        <f>F2</f>
        <v>1.3097712072988588E-5</v>
      </c>
      <c r="G10" s="73">
        <v>0</v>
      </c>
      <c r="H10" s="70">
        <f t="shared" ref="H10:K10" si="1">H2</f>
        <v>1.3097712072988588E-5</v>
      </c>
      <c r="I10" s="70">
        <f t="shared" si="1"/>
        <v>1.3097712072988588E-5</v>
      </c>
      <c r="J10" s="70">
        <f t="shared" si="1"/>
        <v>1.3097712072988588E-5</v>
      </c>
      <c r="K10" s="70">
        <f t="shared" si="1"/>
        <v>9.4378412947459783E-6</v>
      </c>
    </row>
    <row r="11" spans="1:11">
      <c r="A11" s="5" t="s">
        <v>429</v>
      </c>
      <c r="B11" s="69">
        <f>Lighting!O23</f>
        <v>1.0540697873601793E-5</v>
      </c>
      <c r="C11" s="70">
        <f>$F$11</f>
        <v>9.0753846553479132E-6</v>
      </c>
      <c r="D11" s="70">
        <f>$F$11</f>
        <v>9.0753846553479132E-6</v>
      </c>
      <c r="E11" s="70">
        <f>$F$11</f>
        <v>9.0753846553479132E-6</v>
      </c>
      <c r="F11" s="69">
        <f>Lighting!I39</f>
        <v>9.0753846553479132E-6</v>
      </c>
      <c r="G11" s="73">
        <v>0</v>
      </c>
      <c r="H11" s="70">
        <f t="shared" ref="H11:K11" si="2">$F$11</f>
        <v>9.0753846553479132E-6</v>
      </c>
      <c r="I11" s="70">
        <f t="shared" si="2"/>
        <v>9.0753846553479132E-6</v>
      </c>
      <c r="J11" s="70">
        <f t="shared" si="2"/>
        <v>9.0753846553479132E-6</v>
      </c>
      <c r="K11" s="70">
        <f t="shared" si="2"/>
        <v>9.0753846553479132E-6</v>
      </c>
    </row>
    <row r="12" spans="1:11">
      <c r="A12" t="s">
        <v>430</v>
      </c>
      <c r="B12" s="70">
        <f>AVERAGE(B2:B11)</f>
        <v>4.0265486943970743E-5</v>
      </c>
      <c r="C12" s="70">
        <f>AVERAGE(C2:C11)</f>
        <v>2.4237638407711351E-5</v>
      </c>
      <c r="D12" s="70">
        <f>AVERAGE(D2:D11)</f>
        <v>1.9324509287992109E-5</v>
      </c>
      <c r="E12" s="70">
        <f>AVERAGE(E2:E11)</f>
        <v>2.4237638407711351E-5</v>
      </c>
      <c r="F12" s="70">
        <f>AVERAGE(F2:F11)</f>
        <v>2.2164733088623751E-5</v>
      </c>
      <c r="G12" s="73">
        <v>0</v>
      </c>
      <c r="H12" s="70">
        <f t="shared" ref="H12:K12" si="3">AVERAGE(H2:H11)</f>
        <v>2.2164733088623751E-5</v>
      </c>
      <c r="I12" s="70">
        <f t="shared" si="3"/>
        <v>2.2164733088623751E-5</v>
      </c>
      <c r="J12" s="70">
        <f t="shared" si="3"/>
        <v>2.1727337694407065E-5</v>
      </c>
      <c r="K12" s="70">
        <f t="shared" si="3"/>
        <v>2.6722637384319585E-5</v>
      </c>
    </row>
    <row r="13" spans="1:11">
      <c r="A13" s="13" t="s">
        <v>48</v>
      </c>
    </row>
    <row r="14" spans="1:11">
      <c r="A14" t="s">
        <v>244</v>
      </c>
    </row>
    <row r="42" spans="1:1">
      <c r="A42" t="s">
        <v>340</v>
      </c>
    </row>
    <row r="43" spans="1:1">
      <c r="A43" t="s">
        <v>339</v>
      </c>
    </row>
    <row r="44" spans="1:1">
      <c r="A44" t="s">
        <v>341</v>
      </c>
    </row>
    <row r="45" spans="1:1">
      <c r="A45" t="s">
        <v>356</v>
      </c>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963D-3265-44FA-8138-35C2A57258D3}">
  <sheetPr>
    <tabColor theme="3" tint="0.249977111117893"/>
  </sheetPr>
  <dimension ref="A1:AP12"/>
  <sheetViews>
    <sheetView zoomScale="85" zoomScaleNormal="85" workbookViewId="0">
      <selection activeCell="B9" sqref="B9"/>
    </sheetView>
  </sheetViews>
  <sheetFormatPr defaultColWidth="8.85546875" defaultRowHeight="15"/>
  <cols>
    <col min="1" max="1" width="35" customWidth="1"/>
    <col min="2" max="11" width="13.28515625" customWidth="1"/>
  </cols>
  <sheetData>
    <row r="1" spans="1:42" s="3" customFormat="1" ht="60">
      <c r="A1" s="4" t="s">
        <v>554</v>
      </c>
      <c r="B1" s="2" t="s">
        <v>1</v>
      </c>
      <c r="C1" s="2" t="s">
        <v>2</v>
      </c>
      <c r="D1" s="2" t="s">
        <v>3</v>
      </c>
      <c r="E1" s="2" t="s">
        <v>4</v>
      </c>
      <c r="F1" s="2" t="s">
        <v>5</v>
      </c>
      <c r="G1" s="2" t="s">
        <v>6</v>
      </c>
      <c r="H1" s="2" t="s">
        <v>7</v>
      </c>
      <c r="I1" s="2" t="s">
        <v>8</v>
      </c>
      <c r="J1" s="2" t="s">
        <v>9</v>
      </c>
      <c r="K1" s="2" t="s">
        <v>10</v>
      </c>
      <c r="L1"/>
      <c r="M1"/>
      <c r="N1"/>
      <c r="O1"/>
      <c r="P1"/>
      <c r="Q1"/>
      <c r="R1"/>
      <c r="S1"/>
      <c r="T1"/>
      <c r="U1"/>
      <c r="V1"/>
      <c r="W1"/>
      <c r="X1"/>
      <c r="Y1"/>
      <c r="Z1"/>
      <c r="AA1"/>
      <c r="AB1"/>
      <c r="AC1"/>
      <c r="AD1"/>
      <c r="AE1"/>
      <c r="AF1"/>
      <c r="AG1"/>
      <c r="AH1"/>
      <c r="AI1"/>
      <c r="AJ1"/>
      <c r="AK1"/>
      <c r="AL1"/>
      <c r="AM1"/>
      <c r="AN1"/>
      <c r="AO1"/>
      <c r="AP1"/>
    </row>
    <row r="2" spans="1:42">
      <c r="A2" s="5" t="s">
        <v>539</v>
      </c>
      <c r="B2" s="68">
        <f>Summary!B2*About!$C$130</f>
        <v>2.6579155382497258E-5</v>
      </c>
      <c r="C2" s="68">
        <f>Summary!C2*About!$C$130</f>
        <v>1.4556965032185758E-5</v>
      </c>
      <c r="D2" s="68">
        <f>Summary!D2*About!$C$130</f>
        <v>4.6051380703518621E-6</v>
      </c>
      <c r="E2" s="68">
        <f>Summary!E2*About!$C$130</f>
        <v>1.4556965032185758E-5</v>
      </c>
      <c r="F2" s="68">
        <f>Summary!F2*About!$C$130</f>
        <v>9.5864251079436683E-6</v>
      </c>
      <c r="G2" s="68">
        <f>Summary!G2*About!$C$130</f>
        <v>0</v>
      </c>
      <c r="H2" s="68">
        <f>Summary!H2*About!$C$130</f>
        <v>9.5864251079436683E-6</v>
      </c>
      <c r="I2" s="68">
        <f>Summary!I2*About!$C$130</f>
        <v>9.5864251079436683E-6</v>
      </c>
      <c r="J2" s="68">
        <f>Summary!J2*About!$C$130</f>
        <v>9.5864251079436683E-6</v>
      </c>
      <c r="K2" s="68">
        <f>Summary!K2*About!$C$130</f>
        <v>6.9077071055277928E-6</v>
      </c>
    </row>
    <row r="3" spans="1:42">
      <c r="A3" s="5" t="s">
        <v>540</v>
      </c>
      <c r="B3" s="68">
        <f>Summary!B3*About!$C$130</f>
        <v>2.6579155382497258E-5</v>
      </c>
      <c r="C3" s="68">
        <f>Summary!C3*About!$C$130</f>
        <v>1.4556965032185758E-5</v>
      </c>
      <c r="D3" s="68">
        <f>Summary!D3*About!$C$130</f>
        <v>4.6051380703518621E-6</v>
      </c>
      <c r="E3" s="68">
        <f>Summary!E3*About!$C$130</f>
        <v>1.4556965032185758E-5</v>
      </c>
      <c r="F3" s="68">
        <f>Summary!F3*About!$C$130</f>
        <v>9.5864251079436683E-6</v>
      </c>
      <c r="G3" s="68">
        <f>Summary!G3*About!$C$130</f>
        <v>0</v>
      </c>
      <c r="H3" s="68">
        <f>Summary!H3*About!$C$130</f>
        <v>9.5864251079436683E-6</v>
      </c>
      <c r="I3" s="68">
        <f>Summary!I3*About!$C$130</f>
        <v>9.5864251079436683E-6</v>
      </c>
      <c r="J3" s="68">
        <f>Summary!J3*About!$C$130</f>
        <v>9.5864251079436683E-6</v>
      </c>
      <c r="K3" s="68">
        <f>Summary!K3*About!$C$130</f>
        <v>6.9077071055277928E-6</v>
      </c>
    </row>
    <row r="4" spans="1:42">
      <c r="A4" s="5" t="s">
        <v>541</v>
      </c>
      <c r="B4" s="68">
        <f>Summary!B4*About!$C$130</f>
        <v>9.7883458045490379E-6</v>
      </c>
      <c r="C4" s="68">
        <f>Summary!C4*About!$C$130</f>
        <v>2.1687022224671343E-5</v>
      </c>
      <c r="D4" s="68">
        <f>Summary!D4*About!$C$130</f>
        <v>1.6213517395662699E-5</v>
      </c>
      <c r="E4" s="68">
        <f>Summary!E4*About!$C$130</f>
        <v>2.1687022224671343E-5</v>
      </c>
      <c r="F4" s="68">
        <f>Summary!F4*About!$C$130</f>
        <v>1.8953225266338192E-5</v>
      </c>
      <c r="G4" s="68">
        <f>Summary!G4*About!$C$126</f>
        <v>0</v>
      </c>
      <c r="H4" s="68">
        <f>Summary!H4*About!$C$130</f>
        <v>1.8953225266338192E-5</v>
      </c>
      <c r="I4" s="68">
        <f>Summary!I4*About!$C$130</f>
        <v>1.8953225266338192E-5</v>
      </c>
      <c r="J4" s="68">
        <f>Summary!J4*About!$C$130</f>
        <v>1.6213517395662699E-5</v>
      </c>
      <c r="K4" s="68">
        <f>Summary!K4*About!$C$130</f>
        <v>2.4320276093494046E-5</v>
      </c>
    </row>
    <row r="5" spans="1:42">
      <c r="A5" s="5" t="s">
        <v>542</v>
      </c>
      <c r="B5" s="68">
        <f>Summary!B5*About!$C$130</f>
        <v>1.2104415770434851E-5</v>
      </c>
      <c r="C5" s="68">
        <f>Summary!C5*About!$C$130</f>
        <v>1.5116164603083197E-5</v>
      </c>
      <c r="D5" s="68">
        <f>Summary!D5*About!$C$130</f>
        <v>1.3144604646202949E-5</v>
      </c>
      <c r="E5" s="68">
        <f>Summary!E5*About!$C$130</f>
        <v>1.5116164603083197E-5</v>
      </c>
      <c r="F5" s="68">
        <f>Summary!F5*About!$C$130</f>
        <v>1.3743707625194294E-5</v>
      </c>
      <c r="G5" s="68">
        <f>Summary!G5*About!$C$130</f>
        <v>0</v>
      </c>
      <c r="H5" s="68">
        <f>Summary!H5*About!$C$130</f>
        <v>1.3743707625194294E-5</v>
      </c>
      <c r="I5" s="68">
        <f>Summary!I5*About!$C$130</f>
        <v>1.3743707625194294E-5</v>
      </c>
      <c r="J5" s="68">
        <f>Summary!J5*About!$C$130</f>
        <v>1.3144604646202949E-5</v>
      </c>
      <c r="K5" s="68">
        <f>Summary!K5*About!$C$127</f>
        <v>2.8971123922509574E-5</v>
      </c>
    </row>
    <row r="6" spans="1:42">
      <c r="A6" s="5" t="s">
        <v>543</v>
      </c>
      <c r="B6" s="68">
        <f>Summary!B6*About!$C$130</f>
        <v>1.2592349364321643E-4</v>
      </c>
      <c r="C6" s="68">
        <f>Summary!C6*About!$C$130</f>
        <v>3.5848966287654753E-6</v>
      </c>
      <c r="D6" s="68">
        <f>Summary!D6*About!$C$130</f>
        <v>1.0302085426798445E-5</v>
      </c>
      <c r="E6" s="68">
        <f>Summary!E6*About!$C$130</f>
        <v>3.5848966287654753E-6</v>
      </c>
      <c r="F6" s="68">
        <f>Summary!F6*About!$C$130</f>
        <v>1.0164641476824771E-5</v>
      </c>
      <c r="G6" s="68">
        <f>Summary!G6*About!$C$130</f>
        <v>0</v>
      </c>
      <c r="H6" s="68">
        <f>Summary!H6*About!$C$130</f>
        <v>1.0164641476824771E-5</v>
      </c>
      <c r="I6" s="68">
        <f>Summary!I6*About!$C$130</f>
        <v>1.0164641476824771E-5</v>
      </c>
      <c r="J6" s="68">
        <f>Summary!J6*About!$C$130</f>
        <v>1.0302085426798445E-5</v>
      </c>
      <c r="K6" s="68">
        <f>Summary!K6*About!$C$127</f>
        <v>2.8971123922509574E-5</v>
      </c>
    </row>
    <row r="7" spans="1:42">
      <c r="A7" s="5" t="s">
        <v>11</v>
      </c>
      <c r="B7" s="68">
        <f>Summary!B7*About!$C$130</f>
        <v>3.2585168591701344E-5</v>
      </c>
      <c r="C7" s="68">
        <f>Summary!C7*About!$C$130</f>
        <v>1.3239013637761898E-5</v>
      </c>
      <c r="D7" s="68">
        <f>Summary!D7*About!$C$130</f>
        <v>1.3239013637761898E-5</v>
      </c>
      <c r="E7" s="68">
        <f>Summary!E7*About!$C$130</f>
        <v>1.3239013637761898E-5</v>
      </c>
      <c r="F7" s="68">
        <f>Summary!F7*About!$C$130</f>
        <v>1.3239013637761898E-5</v>
      </c>
      <c r="G7" s="68">
        <f>Summary!G7*About!$C$130</f>
        <v>0</v>
      </c>
      <c r="H7" s="68">
        <f>Summary!H7*About!$C$130</f>
        <v>1.3239013637761898E-5</v>
      </c>
      <c r="I7" s="68">
        <f>Summary!I7*About!$C$130</f>
        <v>1.3239013637761898E-5</v>
      </c>
      <c r="J7" s="68">
        <f>Summary!J7*About!$C$130</f>
        <v>1.3239013637761898E-5</v>
      </c>
      <c r="K7" s="68">
        <f>Summary!K7*About!$C$130</f>
        <v>1.9858520456642846E-5</v>
      </c>
    </row>
    <row r="8" spans="1:42">
      <c r="A8" s="5" t="s">
        <v>12</v>
      </c>
      <c r="B8" s="68">
        <f>Summary!B8*About!$C$130</f>
        <v>2.1702918153121996E-5</v>
      </c>
      <c r="C8" s="68">
        <f>Summary!C8*About!$C$130</f>
        <v>5.1771721272514367E-5</v>
      </c>
      <c r="D8" s="68">
        <f>Summary!D8*About!$C$130</f>
        <v>5.1771721272514367E-5</v>
      </c>
      <c r="E8" s="68">
        <f>Summary!E8*About!$C$130</f>
        <v>5.1771721272514367E-5</v>
      </c>
      <c r="F8" s="68">
        <f>Summary!F8*About!$C$130</f>
        <v>5.1771721272514367E-5</v>
      </c>
      <c r="G8" s="68">
        <f>Summary!G8*About!$C$130</f>
        <v>0</v>
      </c>
      <c r="H8" s="68">
        <f>Summary!H8*About!$C$130</f>
        <v>5.1771721272514367E-5</v>
      </c>
      <c r="I8" s="68">
        <f>Summary!I8*About!$C$130</f>
        <v>5.1771721272514367E-5</v>
      </c>
      <c r="J8" s="68">
        <f>Summary!J8*About!$C$130</f>
        <v>5.1771721272514367E-5</v>
      </c>
      <c r="K8" s="68">
        <f>Summary!K8*About!$C$130</f>
        <v>5.1771721272514367E-5</v>
      </c>
    </row>
    <row r="9" spans="1:42">
      <c r="A9" s="5" t="s">
        <v>13</v>
      </c>
      <c r="B9" s="68">
        <f>Summary!B9*About!$C$130</f>
        <v>5.1528302304797313E-6</v>
      </c>
      <c r="C9" s="68">
        <f>Summary!C9*About!$C$126</f>
        <v>2.8344924584011839E-5</v>
      </c>
      <c r="D9" s="68">
        <f>Summary!D9*About!$C$124</f>
        <v>2.1962822657200327E-5</v>
      </c>
      <c r="E9" s="68">
        <f>Summary!E9*About!$C$126</f>
        <v>2.8344924584011839E-5</v>
      </c>
      <c r="F9" s="68">
        <f>Summary!F9*About!$C$126</f>
        <v>2.4771853656653189E-5</v>
      </c>
      <c r="G9" s="68">
        <f>Summary!G9*About!$C$130</f>
        <v>0</v>
      </c>
      <c r="H9" s="68">
        <f>Summary!H9*About!$C$126</f>
        <v>2.4771853656653189E-5</v>
      </c>
      <c r="I9" s="68">
        <f>Summary!I9*About!$C$126</f>
        <v>2.4771853656653189E-5</v>
      </c>
      <c r="J9" s="68">
        <f>Summary!J9*About!$C$126</f>
        <v>2.4771853656653189E-5</v>
      </c>
      <c r="K9" s="68">
        <f>Summary!K9*About!$C$124</f>
        <v>3.2944233985800497E-5</v>
      </c>
    </row>
    <row r="10" spans="1:42">
      <c r="A10" s="5" t="s">
        <v>428</v>
      </c>
      <c r="B10" s="68">
        <f>Summary!B10*About!$C$130</f>
        <v>2.6579155382497258E-5</v>
      </c>
      <c r="C10" s="68">
        <f>Summary!C10*About!$C$130</f>
        <v>1.4556965032185758E-5</v>
      </c>
      <c r="D10" s="68">
        <f>Summary!D10*About!$C$130</f>
        <v>4.6051380703518621E-6</v>
      </c>
      <c r="E10" s="68">
        <f>Summary!E10*About!$C$130</f>
        <v>1.4556965032185758E-5</v>
      </c>
      <c r="F10" s="68">
        <f>Summary!F10*About!$C$130</f>
        <v>9.5864251079436683E-6</v>
      </c>
      <c r="G10" s="68">
        <f>Summary!G10*About!$C$130</f>
        <v>0</v>
      </c>
      <c r="H10" s="68">
        <f>Summary!H10*About!$C$130</f>
        <v>9.5864251079436683E-6</v>
      </c>
      <c r="I10" s="68">
        <f>Summary!I10*About!$C$130</f>
        <v>9.5864251079436683E-6</v>
      </c>
      <c r="J10" s="68">
        <f>Summary!J10*About!$C$130</f>
        <v>9.5864251079436683E-6</v>
      </c>
      <c r="K10" s="68">
        <f>Summary!K10*About!$C$130</f>
        <v>6.9077071055277928E-6</v>
      </c>
    </row>
    <row r="11" spans="1:42">
      <c r="A11" s="5" t="s">
        <v>429</v>
      </c>
      <c r="B11" s="68">
        <f>Summary!B11*About!$C$130</f>
        <v>7.7149054878931985E-6</v>
      </c>
      <c r="C11" s="68">
        <f>Summary!C11*About!$C$130</f>
        <v>6.6424192896784667E-6</v>
      </c>
      <c r="D11" s="68">
        <f>Summary!D11*About!$C$130</f>
        <v>6.6424192896784667E-6</v>
      </c>
      <c r="E11" s="68">
        <f>Summary!E11*About!$C$130</f>
        <v>6.6424192896784667E-6</v>
      </c>
      <c r="F11" s="68">
        <f>Summary!F11*About!$C$130</f>
        <v>6.6424192896784667E-6</v>
      </c>
      <c r="G11" s="68">
        <f>Summary!G11*About!$C$130</f>
        <v>0</v>
      </c>
      <c r="H11" s="68">
        <f>Summary!H11*About!$C$130</f>
        <v>6.6424192896784667E-6</v>
      </c>
      <c r="I11" s="68">
        <f>Summary!I11*About!$C$130</f>
        <v>6.6424192896784667E-6</v>
      </c>
      <c r="J11" s="68">
        <f>Summary!J11*About!$C$130</f>
        <v>6.6424192896784667E-6</v>
      </c>
      <c r="K11" s="68">
        <f>Summary!K11*About!$C$130</f>
        <v>6.6424192896784667E-6</v>
      </c>
    </row>
    <row r="12" spans="1:42">
      <c r="A12" s="5" t="s">
        <v>430</v>
      </c>
      <c r="B12" s="68">
        <f t="shared" ref="B12:K12" si="0">AVERAGE(B2:B11)</f>
        <v>2.9470954382888837E-5</v>
      </c>
      <c r="C12" s="68">
        <f t="shared" si="0"/>
        <v>1.840570573370439E-5</v>
      </c>
      <c r="D12" s="68">
        <f t="shared" si="0"/>
        <v>1.4709159853687476E-5</v>
      </c>
      <c r="E12" s="68">
        <f t="shared" si="0"/>
        <v>1.840570573370439E-5</v>
      </c>
      <c r="F12" s="68">
        <f t="shared" si="0"/>
        <v>1.6804585754879622E-5</v>
      </c>
      <c r="G12" s="68">
        <f t="shared" si="0"/>
        <v>0</v>
      </c>
      <c r="H12" s="68">
        <f t="shared" si="0"/>
        <v>1.6804585754879622E-5</v>
      </c>
      <c r="I12" s="68">
        <f t="shared" si="0"/>
        <v>1.6804585754879622E-5</v>
      </c>
      <c r="J12" s="68">
        <f t="shared" si="0"/>
        <v>1.6484449064910305E-5</v>
      </c>
      <c r="K12" s="68">
        <f t="shared" si="0"/>
        <v>2.1420254025973272E-5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DA01-EFFE-45B2-B6A7-C20F6BBCF0E2}">
  <sheetPr>
    <tabColor theme="3" tint="0.249977111117893"/>
  </sheetPr>
  <dimension ref="A1:M11"/>
  <sheetViews>
    <sheetView workbookViewId="0">
      <selection activeCell="J19" sqref="J19"/>
    </sheetView>
  </sheetViews>
  <sheetFormatPr defaultRowHeight="15"/>
  <cols>
    <col min="1" max="1" width="35.85546875" bestFit="1" customWidth="1"/>
    <col min="2" max="13" width="13.28515625" customWidth="1"/>
  </cols>
  <sheetData>
    <row r="1" spans="1:13" ht="60">
      <c r="A1" s="4" t="s">
        <v>554</v>
      </c>
      <c r="B1" s="2"/>
      <c r="C1" s="2"/>
      <c r="D1" s="2"/>
      <c r="E1" s="2"/>
      <c r="F1" s="2"/>
      <c r="G1" s="2"/>
      <c r="H1" s="2"/>
      <c r="I1" s="2"/>
      <c r="J1" s="2"/>
      <c r="K1" s="2"/>
      <c r="L1" s="2"/>
      <c r="M1" s="2"/>
    </row>
    <row r="2" spans="1:13">
      <c r="A2" s="5" t="s">
        <v>1</v>
      </c>
      <c r="B2" s="12">
        <f>'Other (mobile)'!A6</f>
        <v>3.1381977460259781E-3</v>
      </c>
    </row>
    <row r="3" spans="1:13">
      <c r="A3" t="s">
        <v>2</v>
      </c>
      <c r="B3" s="10">
        <f>B6</f>
        <v>8.2719018162705823E-4</v>
      </c>
    </row>
    <row r="4" spans="1:13">
      <c r="A4" t="s">
        <v>3</v>
      </c>
      <c r="B4" s="10">
        <f>B6</f>
        <v>8.2719018162705823E-4</v>
      </c>
    </row>
    <row r="5" spans="1:13">
      <c r="A5" t="s">
        <v>4</v>
      </c>
      <c r="B5" s="10">
        <f>B6</f>
        <v>8.2719018162705823E-4</v>
      </c>
    </row>
    <row r="6" spans="1:13">
      <c r="A6" t="s">
        <v>5</v>
      </c>
      <c r="B6" s="10">
        <f>'Other (mobile)'!A5</f>
        <v>8.2719018162705823E-4</v>
      </c>
    </row>
    <row r="7" spans="1:13">
      <c r="A7" t="s">
        <v>6</v>
      </c>
      <c r="B7" s="57">
        <v>0</v>
      </c>
    </row>
    <row r="8" spans="1:13">
      <c r="A8" t="s">
        <v>7</v>
      </c>
      <c r="B8" s="10">
        <f>B6</f>
        <v>8.2719018162705823E-4</v>
      </c>
    </row>
    <row r="9" spans="1:13">
      <c r="A9" t="s">
        <v>8</v>
      </c>
      <c r="B9" s="10">
        <f>B6</f>
        <v>8.2719018162705823E-4</v>
      </c>
    </row>
    <row r="10" spans="1:13">
      <c r="A10" t="s">
        <v>9</v>
      </c>
      <c r="B10" s="10">
        <f>B6</f>
        <v>8.2719018162705823E-4</v>
      </c>
    </row>
    <row r="11" spans="1:13">
      <c r="A11" t="s">
        <v>10</v>
      </c>
      <c r="B11" s="10">
        <f>B6</f>
        <v>8.2719018162705823E-4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DA40-6B58-4963-8818-3BDE2F520330}">
  <dimension ref="A1:M49"/>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7" width="9.140625" style="87"/>
    <col min="18" max="18" width="27.7109375" style="87" bestFit="1" customWidth="1"/>
    <col min="19" max="32" width="9.140625" style="87"/>
    <col min="33" max="33" width="10.5703125" style="87" customWidth="1"/>
    <col min="34" max="16384" width="9.140625" style="87"/>
  </cols>
  <sheetData>
    <row r="1" spans="1:13" ht="11.25" customHeight="1">
      <c r="A1" s="84" t="s">
        <v>557</v>
      </c>
      <c r="B1" s="85"/>
      <c r="C1" s="433" t="s">
        <v>572</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95" t="s">
        <v>583</v>
      </c>
      <c r="B5" s="96"/>
      <c r="C5" s="97"/>
      <c r="D5" s="97"/>
      <c r="E5" s="97"/>
      <c r="F5" s="97"/>
      <c r="G5" s="97"/>
      <c r="H5" s="97"/>
      <c r="I5" s="97"/>
      <c r="J5" s="97"/>
      <c r="K5" s="97"/>
      <c r="L5" s="98"/>
      <c r="M5" s="97"/>
    </row>
    <row r="6" spans="1:13" ht="11.25" customHeight="1">
      <c r="B6" s="96" t="s">
        <v>584</v>
      </c>
      <c r="C6" s="97">
        <v>3</v>
      </c>
      <c r="D6" s="97">
        <v>3</v>
      </c>
      <c r="E6" s="97">
        <v>3</v>
      </c>
      <c r="F6" s="97">
        <v>3</v>
      </c>
      <c r="G6" s="97">
        <v>3</v>
      </c>
      <c r="H6" s="97">
        <v>0.5</v>
      </c>
      <c r="I6" s="97">
        <v>5</v>
      </c>
      <c r="J6" s="97">
        <v>0.5</v>
      </c>
      <c r="K6" s="97">
        <v>5</v>
      </c>
      <c r="L6" s="98" t="s">
        <v>585</v>
      </c>
      <c r="M6" s="97" t="s">
        <v>586</v>
      </c>
    </row>
    <row r="7" spans="1:13" ht="11.25" customHeight="1">
      <c r="B7" s="96" t="s">
        <v>587</v>
      </c>
      <c r="C7" s="99">
        <v>5.33</v>
      </c>
      <c r="D7" s="99">
        <f>C7*1.03</f>
        <v>5.4899000000000004</v>
      </c>
      <c r="E7" s="99">
        <v>5.55</v>
      </c>
      <c r="F7" s="99">
        <f>D7*1.02</f>
        <v>5.599698000000001</v>
      </c>
      <c r="G7" s="99">
        <f>F7*1.01</f>
        <v>5.6556949800000007</v>
      </c>
      <c r="H7" s="99">
        <f>C7</f>
        <v>5.33</v>
      </c>
      <c r="I7" s="99">
        <f>C7*1.05</f>
        <v>5.5965000000000007</v>
      </c>
      <c r="J7" s="99">
        <f>G7*0.97</f>
        <v>5.4860241306000006</v>
      </c>
      <c r="K7" s="99">
        <f>G7*1.02</f>
        <v>5.7688088796000008</v>
      </c>
      <c r="L7" s="98" t="s">
        <v>588</v>
      </c>
      <c r="M7" s="97" t="s">
        <v>589</v>
      </c>
    </row>
    <row r="8" spans="1:13" ht="11.25" customHeight="1">
      <c r="B8" s="96" t="s">
        <v>590</v>
      </c>
      <c r="C8" s="99">
        <f>C7-5%</f>
        <v>5.28</v>
      </c>
      <c r="D8" s="99">
        <f t="shared" ref="D8:K8" si="0">D7-5%</f>
        <v>5.4399000000000006</v>
      </c>
      <c r="E8" s="99">
        <f t="shared" si="0"/>
        <v>5.5</v>
      </c>
      <c r="F8" s="99">
        <f t="shared" si="0"/>
        <v>5.5496980000000011</v>
      </c>
      <c r="G8" s="99">
        <f t="shared" si="0"/>
        <v>5.6056949800000009</v>
      </c>
      <c r="H8" s="99">
        <f t="shared" si="0"/>
        <v>5.28</v>
      </c>
      <c r="I8" s="99">
        <f t="shared" si="0"/>
        <v>5.5465000000000009</v>
      </c>
      <c r="J8" s="99">
        <f t="shared" si="0"/>
        <v>5.4360241306000008</v>
      </c>
      <c r="K8" s="99">
        <f t="shared" si="0"/>
        <v>5.7188088796000009</v>
      </c>
      <c r="L8" s="98" t="s">
        <v>591</v>
      </c>
      <c r="M8" s="97"/>
    </row>
    <row r="9" spans="1:13" ht="11.25" customHeight="1">
      <c r="B9" s="96" t="s">
        <v>592</v>
      </c>
      <c r="C9" s="99">
        <v>0.01</v>
      </c>
      <c r="D9" s="99">
        <v>0.01</v>
      </c>
      <c r="E9" s="99">
        <v>0.01</v>
      </c>
      <c r="F9" s="99">
        <v>0.01</v>
      </c>
      <c r="G9" s="99">
        <v>0.01</v>
      </c>
      <c r="H9" s="99">
        <v>0.01</v>
      </c>
      <c r="I9" s="99">
        <v>0.04</v>
      </c>
      <c r="J9" s="99">
        <v>0.01</v>
      </c>
      <c r="K9" s="99">
        <v>0.04</v>
      </c>
      <c r="L9" s="98"/>
      <c r="M9" s="97">
        <v>2</v>
      </c>
    </row>
    <row r="10" spans="1:13" ht="11.25" customHeight="1">
      <c r="B10" s="96" t="s">
        <v>593</v>
      </c>
      <c r="C10" s="99">
        <v>0</v>
      </c>
      <c r="D10" s="99">
        <v>0</v>
      </c>
      <c r="E10" s="99">
        <v>0</v>
      </c>
      <c r="F10" s="99">
        <v>0</v>
      </c>
      <c r="G10" s="99">
        <v>0</v>
      </c>
      <c r="H10" s="99">
        <v>0</v>
      </c>
      <c r="I10" s="99">
        <v>0.01</v>
      </c>
      <c r="J10" s="99">
        <v>0</v>
      </c>
      <c r="K10" s="99">
        <v>0.01</v>
      </c>
      <c r="L10" s="98" t="s">
        <v>594</v>
      </c>
      <c r="M10" s="97">
        <v>2</v>
      </c>
    </row>
    <row r="11" spans="1:13" ht="11.25" customHeight="1">
      <c r="B11" s="96" t="s">
        <v>595</v>
      </c>
      <c r="C11" s="97">
        <v>1</v>
      </c>
      <c r="D11" s="97">
        <v>1</v>
      </c>
      <c r="E11" s="97">
        <v>1</v>
      </c>
      <c r="F11" s="97">
        <v>1</v>
      </c>
      <c r="G11" s="97">
        <v>1</v>
      </c>
      <c r="H11" s="97">
        <v>0.5</v>
      </c>
      <c r="I11" s="97">
        <v>2</v>
      </c>
      <c r="J11" s="97">
        <v>0.5</v>
      </c>
      <c r="K11" s="97">
        <v>2</v>
      </c>
      <c r="L11" s="98"/>
      <c r="M11" s="97">
        <v>2</v>
      </c>
    </row>
    <row r="12" spans="1:13" ht="11.25" customHeight="1">
      <c r="B12" s="96" t="s">
        <v>596</v>
      </c>
      <c r="C12" s="97">
        <v>25</v>
      </c>
      <c r="D12" s="97">
        <v>25</v>
      </c>
      <c r="E12" s="97">
        <v>25</v>
      </c>
      <c r="F12" s="97">
        <v>25</v>
      </c>
      <c r="G12" s="97">
        <v>25</v>
      </c>
      <c r="H12" s="97">
        <v>15</v>
      </c>
      <c r="I12" s="97">
        <v>40</v>
      </c>
      <c r="J12" s="97">
        <v>15</v>
      </c>
      <c r="K12" s="97">
        <v>40</v>
      </c>
      <c r="L12" s="97"/>
      <c r="M12" s="97">
        <v>2</v>
      </c>
    </row>
    <row r="13" spans="1:13" ht="11.25" customHeight="1">
      <c r="B13" s="96" t="s">
        <v>597</v>
      </c>
      <c r="C13" s="97">
        <v>0.5</v>
      </c>
      <c r="D13" s="97">
        <v>0.5</v>
      </c>
      <c r="E13" s="97">
        <v>0.5</v>
      </c>
      <c r="F13" s="97">
        <v>0.5</v>
      </c>
      <c r="G13" s="97">
        <v>0.5</v>
      </c>
      <c r="H13" s="97">
        <v>0.3</v>
      </c>
      <c r="I13" s="97">
        <v>1</v>
      </c>
      <c r="J13" s="97">
        <v>0.3</v>
      </c>
      <c r="K13" s="97">
        <v>1</v>
      </c>
      <c r="L13" s="97"/>
      <c r="M13" s="97">
        <v>2</v>
      </c>
    </row>
    <row r="14" spans="1:13" ht="11.25" customHeight="1">
      <c r="A14" s="100" t="s">
        <v>598</v>
      </c>
      <c r="B14" s="101"/>
      <c r="C14" s="102"/>
      <c r="D14" s="102"/>
      <c r="E14" s="102"/>
      <c r="F14" s="102"/>
      <c r="G14" s="102"/>
      <c r="H14" s="100"/>
      <c r="I14" s="100"/>
      <c r="J14" s="100"/>
      <c r="K14" s="100"/>
      <c r="L14" s="98"/>
      <c r="M14" s="98"/>
    </row>
    <row r="15" spans="1:13" ht="11.25" customHeight="1">
      <c r="B15" s="96" t="s">
        <v>599</v>
      </c>
      <c r="C15" s="99">
        <v>0.25</v>
      </c>
      <c r="D15" s="99">
        <v>0.25</v>
      </c>
      <c r="E15" s="99">
        <v>0.25</v>
      </c>
      <c r="F15" s="99">
        <v>0.25</v>
      </c>
      <c r="G15" s="99">
        <v>0.25</v>
      </c>
      <c r="H15" s="99">
        <v>0.1</v>
      </c>
      <c r="I15" s="99">
        <v>0.5</v>
      </c>
      <c r="J15" s="99">
        <v>0.1</v>
      </c>
      <c r="K15" s="99">
        <v>0.5</v>
      </c>
      <c r="L15" s="98"/>
      <c r="M15" s="98">
        <v>2</v>
      </c>
    </row>
    <row r="16" spans="1:13" ht="11.25" customHeight="1">
      <c r="B16" s="96" t="s">
        <v>600</v>
      </c>
      <c r="C16" s="103">
        <v>0.1</v>
      </c>
      <c r="D16" s="103">
        <v>0.1</v>
      </c>
      <c r="E16" s="103">
        <v>0.1</v>
      </c>
      <c r="F16" s="103">
        <v>0.1</v>
      </c>
      <c r="G16" s="103">
        <v>0.1</v>
      </c>
      <c r="H16" s="97">
        <v>0.1</v>
      </c>
      <c r="I16" s="97">
        <v>0.2</v>
      </c>
      <c r="J16" s="97">
        <v>0.1</v>
      </c>
      <c r="K16" s="97">
        <v>0.2</v>
      </c>
      <c r="L16" s="98"/>
      <c r="M16" s="98">
        <v>2</v>
      </c>
    </row>
    <row r="17" spans="1:13" ht="11.25" customHeight="1">
      <c r="B17" s="96" t="s">
        <v>601</v>
      </c>
      <c r="C17" s="103">
        <v>1</v>
      </c>
      <c r="D17" s="103">
        <v>1</v>
      </c>
      <c r="E17" s="103">
        <v>1</v>
      </c>
      <c r="F17" s="103">
        <v>1</v>
      </c>
      <c r="G17" s="103">
        <v>1</v>
      </c>
      <c r="H17" s="97">
        <v>0.2</v>
      </c>
      <c r="I17" s="97">
        <v>1</v>
      </c>
      <c r="J17" s="97">
        <v>0.2</v>
      </c>
      <c r="K17" s="97">
        <v>1</v>
      </c>
      <c r="L17" s="98"/>
      <c r="M17" s="98">
        <v>2</v>
      </c>
    </row>
    <row r="18" spans="1:13" ht="11.25" customHeight="1">
      <c r="A18" s="100" t="s">
        <v>602</v>
      </c>
      <c r="B18" s="101"/>
      <c r="C18" s="102"/>
      <c r="D18" s="102"/>
      <c r="E18" s="102"/>
      <c r="F18" s="102"/>
      <c r="G18" s="102"/>
      <c r="H18" s="100"/>
      <c r="I18" s="100"/>
      <c r="J18" s="100"/>
      <c r="K18" s="100"/>
      <c r="L18" s="98"/>
      <c r="M18" s="98"/>
    </row>
    <row r="19" spans="1:13" ht="11.25" customHeight="1">
      <c r="B19" s="96" t="s">
        <v>603</v>
      </c>
      <c r="C19" s="98">
        <v>0.95</v>
      </c>
      <c r="D19" s="98">
        <v>0.94</v>
      </c>
      <c r="E19" s="98">
        <v>0.91</v>
      </c>
      <c r="F19" s="98">
        <v>0.91</v>
      </c>
      <c r="G19" s="98">
        <v>0.89</v>
      </c>
      <c r="H19" s="87">
        <v>0.91</v>
      </c>
      <c r="I19" s="87">
        <v>0.95</v>
      </c>
      <c r="J19" s="87">
        <v>0.88</v>
      </c>
      <c r="K19" s="87">
        <v>0.95</v>
      </c>
      <c r="L19" s="98"/>
      <c r="M19" s="98">
        <v>2</v>
      </c>
    </row>
    <row r="20" spans="1:13" ht="11.25" customHeight="1">
      <c r="B20" s="96" t="s">
        <v>604</v>
      </c>
      <c r="C20" s="104">
        <v>0.4</v>
      </c>
      <c r="D20" s="104">
        <v>0.4</v>
      </c>
      <c r="E20" s="104">
        <v>0.4</v>
      </c>
      <c r="F20" s="104">
        <v>0.4</v>
      </c>
      <c r="G20" s="104">
        <v>0.4</v>
      </c>
      <c r="L20" s="98" t="s">
        <v>605</v>
      </c>
      <c r="M20" s="98">
        <v>2</v>
      </c>
    </row>
    <row r="21" spans="1:13" ht="11.25" customHeight="1">
      <c r="B21" s="96" t="s">
        <v>606</v>
      </c>
      <c r="C21" s="104">
        <v>0.6</v>
      </c>
      <c r="D21" s="104">
        <v>0.6</v>
      </c>
      <c r="E21" s="104">
        <v>0.6</v>
      </c>
      <c r="F21" s="104">
        <v>0.6</v>
      </c>
      <c r="G21" s="104">
        <v>0.6</v>
      </c>
      <c r="L21" s="98" t="s">
        <v>607</v>
      </c>
      <c r="M21" s="98">
        <v>2</v>
      </c>
    </row>
    <row r="22" spans="1:13" ht="11.25" customHeight="1">
      <c r="B22" s="96" t="s">
        <v>608</v>
      </c>
      <c r="C22" s="105">
        <v>2127</v>
      </c>
      <c r="D22" s="106">
        <v>2095</v>
      </c>
      <c r="E22" s="106">
        <v>2032</v>
      </c>
      <c r="F22" s="106">
        <v>2032</v>
      </c>
      <c r="G22" s="106">
        <v>2001</v>
      </c>
      <c r="H22" s="107">
        <v>2032</v>
      </c>
      <c r="I22" s="107">
        <v>2127</v>
      </c>
      <c r="J22" s="107">
        <v>1970</v>
      </c>
      <c r="K22" s="107">
        <v>2127</v>
      </c>
      <c r="L22" s="98"/>
      <c r="M22" s="98">
        <v>2</v>
      </c>
    </row>
    <row r="23" spans="1:13" ht="11.25" customHeight="1">
      <c r="B23" s="96" t="s">
        <v>609</v>
      </c>
      <c r="C23" s="108">
        <v>3.07</v>
      </c>
      <c r="D23" s="108">
        <v>3.02</v>
      </c>
      <c r="E23" s="108">
        <v>2.93</v>
      </c>
      <c r="F23" s="108">
        <v>2.93</v>
      </c>
      <c r="G23" s="108">
        <v>2.89</v>
      </c>
      <c r="H23" s="87">
        <v>2.93</v>
      </c>
      <c r="I23" s="87">
        <v>3.07</v>
      </c>
      <c r="J23" s="87">
        <v>2.84</v>
      </c>
      <c r="K23" s="87">
        <v>3.07</v>
      </c>
      <c r="L23" s="98"/>
      <c r="M23" s="98">
        <v>2</v>
      </c>
    </row>
    <row r="24" spans="1:13" ht="11.25" customHeight="1">
      <c r="A24" s="100" t="s">
        <v>610</v>
      </c>
      <c r="B24" s="101"/>
      <c r="C24" s="102"/>
      <c r="D24" s="102"/>
      <c r="E24" s="102"/>
      <c r="F24" s="102"/>
      <c r="G24" s="102"/>
      <c r="H24" s="100"/>
      <c r="I24" s="100"/>
      <c r="J24" s="100"/>
      <c r="K24" s="100"/>
      <c r="L24" s="98"/>
      <c r="M24" s="98"/>
    </row>
    <row r="25" spans="1:13" ht="11.25" customHeight="1">
      <c r="B25" s="96" t="s">
        <v>611</v>
      </c>
      <c r="C25" s="109">
        <f>C19*0.2</f>
        <v>0.19</v>
      </c>
      <c r="D25" s="109">
        <f>D19*0.2</f>
        <v>0.188</v>
      </c>
      <c r="E25" s="109">
        <f>E19*0.2</f>
        <v>0.18200000000000002</v>
      </c>
      <c r="F25" s="109">
        <f>F19*0.2</f>
        <v>0.18200000000000002</v>
      </c>
      <c r="G25" s="109">
        <f>G19*0.2</f>
        <v>0.17800000000000002</v>
      </c>
      <c r="H25" s="100"/>
      <c r="I25" s="100"/>
      <c r="J25" s="100"/>
      <c r="K25" s="100"/>
      <c r="L25" s="98" t="s">
        <v>612</v>
      </c>
      <c r="M25" s="98"/>
    </row>
    <row r="26" spans="1:13" ht="11.25" customHeight="1">
      <c r="B26" s="96" t="s">
        <v>613</v>
      </c>
      <c r="C26" s="98" t="s">
        <v>580</v>
      </c>
      <c r="D26" s="98" t="s">
        <v>580</v>
      </c>
      <c r="E26" s="98" t="s">
        <v>580</v>
      </c>
      <c r="F26" s="98" t="s">
        <v>580</v>
      </c>
      <c r="G26" s="98" t="s">
        <v>580</v>
      </c>
      <c r="L26" s="98"/>
      <c r="M26" s="98"/>
    </row>
    <row r="27" spans="1:13" ht="11.25" customHeight="1">
      <c r="B27" s="96" t="s">
        <v>614</v>
      </c>
      <c r="C27" s="98">
        <v>10</v>
      </c>
      <c r="D27" s="98">
        <v>10</v>
      </c>
      <c r="E27" s="98">
        <v>10</v>
      </c>
      <c r="F27" s="98">
        <v>10</v>
      </c>
      <c r="G27" s="98">
        <v>10</v>
      </c>
      <c r="L27" s="98"/>
      <c r="M27" s="98"/>
    </row>
    <row r="28" spans="1:13" ht="11.25" customHeight="1">
      <c r="B28" s="96" t="s">
        <v>615</v>
      </c>
      <c r="C28" s="98">
        <v>30</v>
      </c>
      <c r="D28" s="98">
        <v>30</v>
      </c>
      <c r="E28" s="98">
        <v>30</v>
      </c>
      <c r="F28" s="98">
        <v>30</v>
      </c>
      <c r="G28" s="98">
        <v>30</v>
      </c>
      <c r="L28" s="98" t="s">
        <v>616</v>
      </c>
      <c r="M28" s="98"/>
    </row>
    <row r="29" spans="1:13" ht="11.25" customHeight="1">
      <c r="B29" s="96" t="s">
        <v>617</v>
      </c>
      <c r="C29" s="98">
        <v>20</v>
      </c>
      <c r="D29" s="98">
        <v>20</v>
      </c>
      <c r="E29" s="98">
        <v>20</v>
      </c>
      <c r="F29" s="98">
        <v>20</v>
      </c>
      <c r="G29" s="98">
        <v>20</v>
      </c>
      <c r="L29" s="98" t="s">
        <v>616</v>
      </c>
      <c r="M29" s="98"/>
    </row>
    <row r="30" spans="1:13" ht="11.25" customHeight="1">
      <c r="B30" s="110" t="s">
        <v>618</v>
      </c>
      <c r="C30" s="104">
        <v>4.5199999999999996</v>
      </c>
      <c r="D30" s="104">
        <v>4.5999999999999996</v>
      </c>
      <c r="E30" s="104">
        <v>4.6500000000000004</v>
      </c>
      <c r="F30" s="104">
        <v>4.7</v>
      </c>
      <c r="G30" s="104">
        <v>4.74</v>
      </c>
      <c r="H30" s="104">
        <v>4.47</v>
      </c>
      <c r="I30" s="104">
        <v>4.6900000000000004</v>
      </c>
      <c r="J30" s="104">
        <v>4.5999999999999996</v>
      </c>
      <c r="K30" s="104">
        <v>4.84</v>
      </c>
      <c r="L30" s="98" t="s">
        <v>619</v>
      </c>
      <c r="M30" s="98"/>
    </row>
    <row r="31" spans="1:13" ht="11.25" customHeight="1">
      <c r="B31" s="110" t="s">
        <v>620</v>
      </c>
      <c r="C31" s="104">
        <v>3.95</v>
      </c>
      <c r="D31" s="104">
        <v>4</v>
      </c>
      <c r="E31" s="104">
        <v>4.04</v>
      </c>
      <c r="F31" s="104">
        <v>4.08</v>
      </c>
      <c r="G31" s="104">
        <v>4.12</v>
      </c>
      <c r="H31" s="104">
        <v>3.88</v>
      </c>
      <c r="I31" s="104">
        <v>4.07</v>
      </c>
      <c r="J31" s="104">
        <v>3.99</v>
      </c>
      <c r="K31" s="104">
        <v>4.2</v>
      </c>
      <c r="L31" s="98" t="s">
        <v>619</v>
      </c>
      <c r="M31" s="98"/>
    </row>
    <row r="32" spans="1:13" ht="11.25" customHeight="1">
      <c r="B32" s="96" t="s">
        <v>621</v>
      </c>
      <c r="C32" s="98" t="s">
        <v>580</v>
      </c>
      <c r="D32" s="98" t="s">
        <v>580</v>
      </c>
      <c r="E32" s="98" t="s">
        <v>580</v>
      </c>
      <c r="F32" s="98" t="s">
        <v>580</v>
      </c>
      <c r="G32" s="98" t="s">
        <v>580</v>
      </c>
      <c r="L32" s="98"/>
      <c r="M32" s="98"/>
    </row>
    <row r="33" spans="1:13" ht="11.25" customHeight="1" thickBot="1">
      <c r="A33" s="111"/>
      <c r="B33" s="111"/>
      <c r="C33" s="111"/>
      <c r="D33" s="111"/>
      <c r="E33" s="111"/>
      <c r="F33" s="111"/>
      <c r="G33" s="111"/>
      <c r="H33" s="111"/>
      <c r="I33" s="111"/>
      <c r="J33" s="111"/>
      <c r="K33" s="111"/>
      <c r="L33" s="111"/>
      <c r="M33" s="111"/>
    </row>
    <row r="34" spans="1:13" ht="11.25" customHeight="1">
      <c r="B34" s="112"/>
      <c r="C34" s="112"/>
      <c r="D34" s="112"/>
      <c r="E34" s="112"/>
      <c r="F34" s="112"/>
      <c r="G34" s="112"/>
      <c r="H34" s="112"/>
      <c r="I34" s="112"/>
      <c r="J34" s="112"/>
      <c r="K34" s="112"/>
      <c r="L34" s="112"/>
      <c r="M34" s="112"/>
    </row>
    <row r="35" spans="1:13" ht="11.25" customHeight="1">
      <c r="A35" s="95" t="s">
        <v>622</v>
      </c>
      <c r="C35" s="112"/>
      <c r="D35" s="112"/>
      <c r="E35" s="112"/>
      <c r="F35" s="112"/>
      <c r="G35" s="112"/>
      <c r="H35" s="112"/>
      <c r="I35" s="112"/>
      <c r="J35" s="112"/>
      <c r="K35" s="112"/>
      <c r="L35" s="112"/>
    </row>
    <row r="36" spans="1:13" ht="11.25" customHeight="1">
      <c r="A36" s="113" t="s">
        <v>585</v>
      </c>
      <c r="B36" s="112" t="s">
        <v>623</v>
      </c>
      <c r="C36" s="112"/>
      <c r="D36" s="112"/>
      <c r="E36" s="112"/>
      <c r="F36" s="112"/>
      <c r="G36" s="112"/>
      <c r="H36" s="112"/>
      <c r="I36" s="112"/>
      <c r="J36" s="112"/>
      <c r="K36" s="112"/>
      <c r="L36" s="112"/>
    </row>
    <row r="37" spans="1:13" ht="11.25" customHeight="1">
      <c r="A37" s="113" t="s">
        <v>588</v>
      </c>
      <c r="B37" s="112" t="s">
        <v>624</v>
      </c>
      <c r="C37" s="112"/>
      <c r="D37" s="112"/>
      <c r="E37" s="112"/>
      <c r="F37" s="112"/>
      <c r="G37" s="112"/>
      <c r="H37" s="112"/>
      <c r="I37" s="112"/>
      <c r="J37" s="112"/>
      <c r="K37" s="112"/>
      <c r="L37" s="112"/>
    </row>
    <row r="38" spans="1:13" ht="11.25" customHeight="1">
      <c r="A38" s="113" t="s">
        <v>625</v>
      </c>
      <c r="B38" s="112" t="s">
        <v>626</v>
      </c>
      <c r="C38" s="112"/>
      <c r="D38" s="112"/>
      <c r="E38" s="112"/>
      <c r="F38" s="112"/>
      <c r="G38" s="112"/>
      <c r="H38" s="112"/>
      <c r="I38" s="112"/>
      <c r="J38" s="112"/>
      <c r="K38" s="112"/>
      <c r="L38" s="112"/>
    </row>
    <row r="39" spans="1:13" ht="11.25" customHeight="1">
      <c r="A39" s="113" t="s">
        <v>594</v>
      </c>
      <c r="B39" s="112" t="s">
        <v>627</v>
      </c>
      <c r="C39" s="112"/>
      <c r="D39" s="112"/>
      <c r="E39" s="112"/>
      <c r="F39" s="112"/>
      <c r="G39" s="112"/>
      <c r="H39" s="112"/>
      <c r="I39" s="112"/>
      <c r="J39" s="112"/>
      <c r="K39" s="112"/>
      <c r="L39" s="112"/>
    </row>
    <row r="40" spans="1:13" ht="11.25" customHeight="1">
      <c r="A40" s="113" t="s">
        <v>605</v>
      </c>
      <c r="B40" s="112" t="s">
        <v>628</v>
      </c>
      <c r="C40" s="112"/>
      <c r="D40" s="112"/>
      <c r="E40" s="112"/>
      <c r="F40" s="112"/>
      <c r="G40" s="112"/>
      <c r="H40" s="112"/>
      <c r="I40" s="112"/>
      <c r="J40" s="112"/>
      <c r="K40" s="112"/>
      <c r="L40" s="112"/>
    </row>
    <row r="41" spans="1:13" ht="11.25" customHeight="1">
      <c r="A41" s="113" t="s">
        <v>607</v>
      </c>
      <c r="B41" s="112" t="s">
        <v>629</v>
      </c>
      <c r="C41" s="112"/>
      <c r="D41" s="112"/>
      <c r="E41" s="112"/>
      <c r="F41" s="112"/>
      <c r="G41" s="112"/>
      <c r="H41" s="112"/>
      <c r="I41" s="112"/>
      <c r="J41" s="112"/>
      <c r="K41" s="112"/>
      <c r="L41" s="112"/>
    </row>
    <row r="42" spans="1:13" ht="11.25" customHeight="1">
      <c r="A42" s="113" t="s">
        <v>619</v>
      </c>
      <c r="B42" s="112" t="s">
        <v>630</v>
      </c>
      <c r="C42" s="112"/>
      <c r="D42" s="112"/>
      <c r="E42" s="112"/>
      <c r="F42" s="112"/>
      <c r="G42" s="112"/>
      <c r="H42" s="112"/>
      <c r="I42" s="112"/>
      <c r="J42" s="112"/>
      <c r="K42" s="112"/>
      <c r="L42" s="112"/>
    </row>
    <row r="43" spans="1:13" ht="11.25" customHeight="1">
      <c r="A43" s="113" t="s">
        <v>612</v>
      </c>
      <c r="B43" s="112" t="s">
        <v>631</v>
      </c>
      <c r="C43" s="112"/>
      <c r="D43" s="112"/>
      <c r="E43" s="112"/>
      <c r="F43" s="112"/>
      <c r="G43" s="112"/>
      <c r="H43" s="112"/>
      <c r="I43" s="112"/>
      <c r="J43" s="112"/>
      <c r="K43" s="112"/>
      <c r="L43" s="112"/>
    </row>
    <row r="44" spans="1:13" ht="11.25" customHeight="1">
      <c r="A44" s="113" t="s">
        <v>616</v>
      </c>
      <c r="B44" s="112" t="s">
        <v>632</v>
      </c>
      <c r="C44" s="112"/>
      <c r="D44" s="112"/>
      <c r="E44" s="112"/>
      <c r="F44" s="112"/>
      <c r="G44" s="112"/>
      <c r="H44" s="112"/>
      <c r="I44" s="112"/>
      <c r="J44" s="112"/>
      <c r="K44" s="112"/>
      <c r="L44" s="112"/>
    </row>
    <row r="46" spans="1:13" ht="11.25" customHeight="1">
      <c r="A46" s="95" t="s">
        <v>633</v>
      </c>
      <c r="B46" s="112"/>
    </row>
    <row r="47" spans="1:13" ht="11.25" customHeight="1">
      <c r="A47" s="87">
        <v>1</v>
      </c>
      <c r="B47" s="112" t="s">
        <v>634</v>
      </c>
    </row>
    <row r="48" spans="1:13" ht="11.25" customHeight="1">
      <c r="A48" s="87">
        <v>2</v>
      </c>
      <c r="B48" s="112" t="s">
        <v>635</v>
      </c>
    </row>
    <row r="49" spans="1:2" ht="11.25" customHeight="1">
      <c r="A49" s="87">
        <v>3</v>
      </c>
      <c r="B49" s="112" t="s">
        <v>636</v>
      </c>
    </row>
  </sheetData>
  <mergeCells count="1">
    <mergeCell ref="C1:M1"/>
  </mergeCells>
  <hyperlinks>
    <hyperlink ref="C1" location="INDEX" display="Heat pump, up to 60 °C, Temp lift = 40 K" xr:uid="{B626B3C5-C3ED-4F7B-B25B-11DC835B823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9776-7E68-4592-8568-B62A77E6F00A}">
  <dimension ref="A1:M47"/>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7" width="9.140625" style="87"/>
    <col min="18" max="18" width="27.7109375" style="87" bestFit="1" customWidth="1"/>
    <col min="19" max="32" width="9.140625" style="87"/>
    <col min="33" max="33" width="10.5703125" style="87" customWidth="1"/>
    <col min="34" max="16384" width="9.140625" style="87"/>
  </cols>
  <sheetData>
    <row r="1" spans="1:13" ht="11.25" customHeight="1">
      <c r="A1" s="84" t="s">
        <v>557</v>
      </c>
      <c r="B1" s="85"/>
      <c r="C1" s="433" t="s">
        <v>637</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95" t="s">
        <v>583</v>
      </c>
      <c r="B5" s="101"/>
      <c r="E5" s="114"/>
      <c r="H5" s="100"/>
      <c r="I5" s="100"/>
      <c r="J5" s="100"/>
      <c r="K5" s="100"/>
    </row>
    <row r="6" spans="1:13" ht="11.25" customHeight="1">
      <c r="B6" s="96" t="s">
        <v>584</v>
      </c>
      <c r="C6" s="97">
        <v>3</v>
      </c>
      <c r="D6" s="97">
        <v>3</v>
      </c>
      <c r="E6" s="97">
        <v>3</v>
      </c>
      <c r="F6" s="97">
        <v>3</v>
      </c>
      <c r="G6" s="97">
        <v>3</v>
      </c>
      <c r="H6" s="97">
        <v>0.5</v>
      </c>
      <c r="I6" s="97">
        <v>5</v>
      </c>
      <c r="J6" s="97">
        <v>0.5</v>
      </c>
      <c r="K6" s="97">
        <v>5</v>
      </c>
      <c r="L6" s="98" t="s">
        <v>585</v>
      </c>
      <c r="M6" s="97" t="s">
        <v>586</v>
      </c>
    </row>
    <row r="7" spans="1:13" ht="11.25" customHeight="1">
      <c r="B7" s="96" t="s">
        <v>587</v>
      </c>
      <c r="C7" s="99">
        <v>3.35</v>
      </c>
      <c r="D7" s="99">
        <v>3.43</v>
      </c>
      <c r="E7" s="99">
        <v>3.48</v>
      </c>
      <c r="F7" s="99">
        <f>D7*1.02</f>
        <v>3.4986000000000002</v>
      </c>
      <c r="G7" s="99">
        <f>F7*1.01</f>
        <v>3.5335860000000001</v>
      </c>
      <c r="H7" s="99">
        <v>3.33</v>
      </c>
      <c r="I7" s="99">
        <f>C7*1.05</f>
        <v>3.5175000000000001</v>
      </c>
      <c r="J7" s="99">
        <f>G7*0.97</f>
        <v>3.4275784200000001</v>
      </c>
      <c r="K7" s="99">
        <f>G7*1.02</f>
        <v>3.6042577200000001</v>
      </c>
      <c r="L7" s="98" t="s">
        <v>588</v>
      </c>
      <c r="M7" s="97" t="s">
        <v>589</v>
      </c>
    </row>
    <row r="8" spans="1:13" ht="11.25" customHeight="1">
      <c r="B8" s="96" t="s">
        <v>590</v>
      </c>
      <c r="C8" s="99">
        <f>C7-5%</f>
        <v>3.3000000000000003</v>
      </c>
      <c r="D8" s="99">
        <f t="shared" ref="D8:K8" si="0">D7-5%</f>
        <v>3.3800000000000003</v>
      </c>
      <c r="E8" s="99">
        <f t="shared" si="0"/>
        <v>3.43</v>
      </c>
      <c r="F8" s="99">
        <f t="shared" si="0"/>
        <v>3.4486000000000003</v>
      </c>
      <c r="G8" s="99">
        <f t="shared" si="0"/>
        <v>3.4835860000000003</v>
      </c>
      <c r="H8" s="99">
        <f t="shared" si="0"/>
        <v>3.2800000000000002</v>
      </c>
      <c r="I8" s="99">
        <f t="shared" si="0"/>
        <v>3.4675000000000002</v>
      </c>
      <c r="J8" s="99">
        <f t="shared" si="0"/>
        <v>3.3775784200000003</v>
      </c>
      <c r="K8" s="99">
        <f t="shared" si="0"/>
        <v>3.5542577200000003</v>
      </c>
      <c r="L8" s="98" t="s">
        <v>591</v>
      </c>
      <c r="M8" s="97"/>
    </row>
    <row r="9" spans="1:13" ht="11.25" customHeight="1">
      <c r="B9" s="96" t="s">
        <v>592</v>
      </c>
      <c r="C9" s="99">
        <v>0.01</v>
      </c>
      <c r="D9" s="99">
        <v>0.01</v>
      </c>
      <c r="E9" s="99">
        <v>0.01</v>
      </c>
      <c r="F9" s="99">
        <v>0.01</v>
      </c>
      <c r="G9" s="99">
        <v>0.01</v>
      </c>
      <c r="H9" s="99">
        <v>0.01</v>
      </c>
      <c r="I9" s="99">
        <v>0.04</v>
      </c>
      <c r="J9" s="99">
        <v>0.01</v>
      </c>
      <c r="K9" s="99">
        <v>0.04</v>
      </c>
      <c r="L9" s="98"/>
      <c r="M9" s="97">
        <v>2</v>
      </c>
    </row>
    <row r="10" spans="1:13" ht="11.25" customHeight="1">
      <c r="B10" s="96" t="s">
        <v>593</v>
      </c>
      <c r="C10" s="99">
        <v>0</v>
      </c>
      <c r="D10" s="99">
        <v>0</v>
      </c>
      <c r="E10" s="99">
        <v>0</v>
      </c>
      <c r="F10" s="99">
        <v>0</v>
      </c>
      <c r="G10" s="99">
        <v>0</v>
      </c>
      <c r="H10" s="99">
        <v>0</v>
      </c>
      <c r="I10" s="99">
        <v>0.01</v>
      </c>
      <c r="J10" s="99">
        <v>0</v>
      </c>
      <c r="K10" s="99">
        <v>0.01</v>
      </c>
      <c r="L10" s="98" t="s">
        <v>594</v>
      </c>
      <c r="M10" s="97">
        <v>2</v>
      </c>
    </row>
    <row r="11" spans="1:13" ht="11.25" customHeight="1">
      <c r="B11" s="96" t="s">
        <v>595</v>
      </c>
      <c r="C11" s="97">
        <v>1</v>
      </c>
      <c r="D11" s="97">
        <v>1</v>
      </c>
      <c r="E11" s="97">
        <v>1</v>
      </c>
      <c r="F11" s="97">
        <v>1</v>
      </c>
      <c r="G11" s="97">
        <v>1</v>
      </c>
      <c r="H11" s="97">
        <v>0.5</v>
      </c>
      <c r="I11" s="97">
        <v>2</v>
      </c>
      <c r="J11" s="97">
        <v>0.5</v>
      </c>
      <c r="K11" s="97">
        <v>2</v>
      </c>
      <c r="L11" s="98"/>
      <c r="M11" s="97">
        <v>2</v>
      </c>
    </row>
    <row r="12" spans="1:13" ht="11.25" customHeight="1">
      <c r="B12" s="96" t="s">
        <v>596</v>
      </c>
      <c r="C12" s="97">
        <v>25</v>
      </c>
      <c r="D12" s="97">
        <v>25</v>
      </c>
      <c r="E12" s="97">
        <v>25</v>
      </c>
      <c r="F12" s="97">
        <v>25</v>
      </c>
      <c r="G12" s="97">
        <v>25</v>
      </c>
      <c r="H12" s="97">
        <v>15</v>
      </c>
      <c r="I12" s="97">
        <v>40</v>
      </c>
      <c r="J12" s="97">
        <v>15</v>
      </c>
      <c r="K12" s="97">
        <v>40</v>
      </c>
      <c r="L12" s="97"/>
      <c r="M12" s="97">
        <v>2</v>
      </c>
    </row>
    <row r="13" spans="1:13" ht="11.25" customHeight="1">
      <c r="B13" s="96" t="s">
        <v>597</v>
      </c>
      <c r="C13" s="97">
        <v>0.5</v>
      </c>
      <c r="D13" s="97">
        <v>0.5</v>
      </c>
      <c r="E13" s="97">
        <v>0.5</v>
      </c>
      <c r="F13" s="97">
        <v>0.5</v>
      </c>
      <c r="G13" s="97">
        <v>0.5</v>
      </c>
      <c r="H13" s="97">
        <v>0.3</v>
      </c>
      <c r="I13" s="97">
        <v>1</v>
      </c>
      <c r="J13" s="97">
        <v>0.3</v>
      </c>
      <c r="K13" s="97">
        <v>1</v>
      </c>
      <c r="L13" s="97"/>
      <c r="M13" s="97">
        <v>2</v>
      </c>
    </row>
    <row r="14" spans="1:13" ht="11.25" customHeight="1">
      <c r="A14" s="100" t="s">
        <v>598</v>
      </c>
      <c r="B14" s="115"/>
      <c r="C14" s="102"/>
      <c r="D14" s="102"/>
      <c r="E14" s="102"/>
      <c r="F14" s="102"/>
      <c r="G14" s="102"/>
      <c r="H14" s="100"/>
      <c r="I14" s="100"/>
      <c r="J14" s="100"/>
      <c r="K14" s="100"/>
      <c r="L14" s="98"/>
      <c r="M14" s="98"/>
    </row>
    <row r="15" spans="1:13" ht="11.25" customHeight="1">
      <c r="B15" s="96" t="s">
        <v>599</v>
      </c>
      <c r="C15" s="99">
        <v>0.25</v>
      </c>
      <c r="D15" s="99">
        <v>0.25</v>
      </c>
      <c r="E15" s="99">
        <v>0.25</v>
      </c>
      <c r="F15" s="99">
        <v>0.25</v>
      </c>
      <c r="G15" s="99">
        <v>0.25</v>
      </c>
      <c r="H15" s="99">
        <v>0.1</v>
      </c>
      <c r="I15" s="99">
        <v>0.5</v>
      </c>
      <c r="J15" s="99">
        <v>0.1</v>
      </c>
      <c r="K15" s="99">
        <v>0.5</v>
      </c>
      <c r="L15" s="98"/>
      <c r="M15" s="98">
        <v>2</v>
      </c>
    </row>
    <row r="16" spans="1:13" ht="11.25" customHeight="1">
      <c r="B16" s="96" t="s">
        <v>600</v>
      </c>
      <c r="C16" s="103">
        <v>0.1</v>
      </c>
      <c r="D16" s="103">
        <v>0.1</v>
      </c>
      <c r="E16" s="103">
        <v>0.1</v>
      </c>
      <c r="F16" s="103">
        <v>0.1</v>
      </c>
      <c r="G16" s="103">
        <v>0.1</v>
      </c>
      <c r="H16" s="97">
        <v>0.1</v>
      </c>
      <c r="I16" s="97">
        <v>0.2</v>
      </c>
      <c r="J16" s="97">
        <v>0.1</v>
      </c>
      <c r="K16" s="97">
        <v>0.2</v>
      </c>
      <c r="L16" s="98"/>
      <c r="M16" s="98">
        <v>2</v>
      </c>
    </row>
    <row r="17" spans="1:13" ht="11.25" customHeight="1">
      <c r="B17" s="96" t="s">
        <v>601</v>
      </c>
      <c r="C17" s="103">
        <v>1</v>
      </c>
      <c r="D17" s="103">
        <v>1</v>
      </c>
      <c r="E17" s="103">
        <v>1</v>
      </c>
      <c r="F17" s="103">
        <v>1</v>
      </c>
      <c r="G17" s="103">
        <v>1</v>
      </c>
      <c r="H17" s="97">
        <v>0.2</v>
      </c>
      <c r="I17" s="97">
        <v>1</v>
      </c>
      <c r="J17" s="97">
        <v>0.2</v>
      </c>
      <c r="K17" s="97">
        <v>1</v>
      </c>
      <c r="L17" s="98"/>
      <c r="M17" s="98">
        <v>2</v>
      </c>
    </row>
    <row r="18" spans="1:13" ht="11.25" customHeight="1">
      <c r="A18" s="100" t="s">
        <v>602</v>
      </c>
      <c r="B18" s="115"/>
      <c r="C18" s="102"/>
      <c r="D18" s="102"/>
      <c r="E18" s="102"/>
      <c r="F18" s="102"/>
      <c r="G18" s="102"/>
      <c r="H18" s="100"/>
      <c r="I18" s="100"/>
      <c r="J18" s="100"/>
      <c r="K18" s="100"/>
      <c r="L18" s="98"/>
      <c r="M18" s="98"/>
    </row>
    <row r="19" spans="1:13" ht="11.25" customHeight="1">
      <c r="B19" s="96" t="s">
        <v>603</v>
      </c>
      <c r="C19" s="98">
        <v>0.95</v>
      </c>
      <c r="D19" s="98">
        <v>0.94</v>
      </c>
      <c r="E19" s="98">
        <v>0.91</v>
      </c>
      <c r="F19" s="98">
        <v>0.91</v>
      </c>
      <c r="G19" s="98">
        <v>0.89</v>
      </c>
      <c r="H19" s="87">
        <v>0.91</v>
      </c>
      <c r="I19" s="87">
        <v>0.95</v>
      </c>
      <c r="J19" s="87">
        <v>0.88</v>
      </c>
      <c r="K19" s="87">
        <v>0.95</v>
      </c>
      <c r="L19" s="98"/>
      <c r="M19" s="98">
        <v>2</v>
      </c>
    </row>
    <row r="20" spans="1:13" ht="11.25" customHeight="1">
      <c r="B20" s="96" t="s">
        <v>604</v>
      </c>
      <c r="C20" s="104">
        <v>0.4</v>
      </c>
      <c r="D20" s="104">
        <v>0.4</v>
      </c>
      <c r="E20" s="104">
        <v>0.4</v>
      </c>
      <c r="F20" s="104">
        <v>0.4</v>
      </c>
      <c r="G20" s="104">
        <v>0.4</v>
      </c>
      <c r="L20" s="98" t="s">
        <v>605</v>
      </c>
      <c r="M20" s="98">
        <v>2</v>
      </c>
    </row>
    <row r="21" spans="1:13" ht="11.25" customHeight="1">
      <c r="B21" s="96" t="s">
        <v>606</v>
      </c>
      <c r="C21" s="104">
        <v>0.6</v>
      </c>
      <c r="D21" s="104">
        <v>0.6</v>
      </c>
      <c r="E21" s="104">
        <v>0.6</v>
      </c>
      <c r="F21" s="104">
        <v>0.6</v>
      </c>
      <c r="G21" s="104">
        <v>0.6</v>
      </c>
      <c r="L21" s="98" t="s">
        <v>607</v>
      </c>
      <c r="M21" s="98">
        <v>2</v>
      </c>
    </row>
    <row r="22" spans="1:13" ht="11.25" customHeight="1">
      <c r="B22" s="96" t="s">
        <v>608</v>
      </c>
      <c r="C22" s="105">
        <v>2127</v>
      </c>
      <c r="D22" s="106">
        <v>2095</v>
      </c>
      <c r="E22" s="106">
        <v>2032</v>
      </c>
      <c r="F22" s="106">
        <v>2032</v>
      </c>
      <c r="G22" s="106">
        <v>2001</v>
      </c>
      <c r="H22" s="107">
        <v>2032</v>
      </c>
      <c r="I22" s="107">
        <v>2127</v>
      </c>
      <c r="J22" s="107">
        <v>1970</v>
      </c>
      <c r="K22" s="107">
        <v>2127</v>
      </c>
      <c r="L22" s="98"/>
      <c r="M22" s="98">
        <v>2</v>
      </c>
    </row>
    <row r="23" spans="1:13" ht="11.25" customHeight="1">
      <c r="B23" s="96" t="s">
        <v>609</v>
      </c>
      <c r="C23" s="108">
        <v>3.07</v>
      </c>
      <c r="D23" s="108">
        <v>3.02</v>
      </c>
      <c r="E23" s="108">
        <v>2.93</v>
      </c>
      <c r="F23" s="108">
        <v>2.93</v>
      </c>
      <c r="G23" s="108">
        <v>2.89</v>
      </c>
      <c r="H23" s="87">
        <v>2.93</v>
      </c>
      <c r="I23" s="87">
        <v>3.07</v>
      </c>
      <c r="J23" s="87">
        <v>2.84</v>
      </c>
      <c r="K23" s="87">
        <v>3.07</v>
      </c>
      <c r="L23" s="98"/>
      <c r="M23" s="98">
        <v>2</v>
      </c>
    </row>
    <row r="24" spans="1:13" ht="11.25" customHeight="1">
      <c r="A24" s="100" t="s">
        <v>610</v>
      </c>
      <c r="B24" s="115"/>
      <c r="C24" s="102"/>
      <c r="D24" s="102"/>
      <c r="E24" s="102"/>
      <c r="F24" s="102"/>
      <c r="G24" s="102"/>
      <c r="H24" s="100"/>
      <c r="I24" s="100"/>
      <c r="J24" s="100"/>
      <c r="K24" s="100"/>
      <c r="L24" s="98"/>
      <c r="M24" s="98"/>
    </row>
    <row r="25" spans="1:13" ht="11.25" customHeight="1">
      <c r="B25" s="96" t="s">
        <v>611</v>
      </c>
      <c r="C25" s="109">
        <f>C19*0.2</f>
        <v>0.19</v>
      </c>
      <c r="D25" s="109">
        <f>D19*0.2</f>
        <v>0.188</v>
      </c>
      <c r="E25" s="109">
        <f>E19*0.2</f>
        <v>0.18200000000000002</v>
      </c>
      <c r="F25" s="109">
        <f>F19*0.2</f>
        <v>0.18200000000000002</v>
      </c>
      <c r="G25" s="109">
        <f>G19*0.2</f>
        <v>0.17800000000000002</v>
      </c>
      <c r="H25" s="100"/>
      <c r="I25" s="100"/>
      <c r="J25" s="100"/>
      <c r="K25" s="100"/>
      <c r="L25" s="98" t="s">
        <v>612</v>
      </c>
      <c r="M25" s="98"/>
    </row>
    <row r="26" spans="1:13" ht="11.25" customHeight="1">
      <c r="B26" s="96" t="s">
        <v>613</v>
      </c>
      <c r="C26" s="98" t="s">
        <v>580</v>
      </c>
      <c r="D26" s="98" t="s">
        <v>580</v>
      </c>
      <c r="E26" s="98" t="s">
        <v>580</v>
      </c>
      <c r="F26" s="98" t="s">
        <v>580</v>
      </c>
      <c r="G26" s="98" t="s">
        <v>580</v>
      </c>
      <c r="L26" s="98"/>
      <c r="M26" s="98"/>
    </row>
    <row r="27" spans="1:13" ht="11.25" customHeight="1">
      <c r="B27" s="96" t="s">
        <v>614</v>
      </c>
      <c r="C27" s="98">
        <v>10</v>
      </c>
      <c r="D27" s="98">
        <v>10</v>
      </c>
      <c r="E27" s="98">
        <v>10</v>
      </c>
      <c r="F27" s="98">
        <v>10</v>
      </c>
      <c r="G27" s="98">
        <v>10</v>
      </c>
      <c r="L27" s="98"/>
      <c r="M27" s="98"/>
    </row>
    <row r="28" spans="1:13" ht="11.25" customHeight="1">
      <c r="B28" s="96" t="s">
        <v>615</v>
      </c>
      <c r="C28" s="98">
        <v>15</v>
      </c>
      <c r="D28" s="98">
        <v>15</v>
      </c>
      <c r="E28" s="98">
        <v>15</v>
      </c>
      <c r="F28" s="98">
        <v>15</v>
      </c>
      <c r="G28" s="98">
        <v>15</v>
      </c>
      <c r="L28" s="98" t="s">
        <v>616</v>
      </c>
      <c r="M28" s="98"/>
    </row>
    <row r="29" spans="1:13" ht="11.25" customHeight="1">
      <c r="B29" s="96" t="s">
        <v>617</v>
      </c>
      <c r="C29" s="98">
        <v>5</v>
      </c>
      <c r="D29" s="98">
        <v>5</v>
      </c>
      <c r="E29" s="98">
        <v>5</v>
      </c>
      <c r="F29" s="98">
        <v>5</v>
      </c>
      <c r="G29" s="98">
        <v>5</v>
      </c>
      <c r="L29" s="98" t="s">
        <v>616</v>
      </c>
      <c r="M29" s="98"/>
    </row>
    <row r="30" spans="1:13" ht="11.25" customHeight="1">
      <c r="B30" s="96" t="s">
        <v>621</v>
      </c>
      <c r="C30" s="116">
        <f>C6-C6/(C7/100)</f>
        <v>-86.552238805970148</v>
      </c>
      <c r="D30" s="116">
        <f t="shared" ref="D30:G30" si="1">D6-D6/(D7/100)</f>
        <v>-84.463556851311949</v>
      </c>
      <c r="E30" s="116">
        <f t="shared" si="1"/>
        <v>-83.206896551724142</v>
      </c>
      <c r="F30" s="116">
        <f t="shared" si="1"/>
        <v>-82.748585148345043</v>
      </c>
      <c r="G30" s="116">
        <f t="shared" si="1"/>
        <v>-81.899589255787177</v>
      </c>
      <c r="L30" s="98"/>
      <c r="M30" s="98"/>
    </row>
    <row r="31" spans="1:13" ht="11.25" customHeight="1" thickBot="1">
      <c r="A31" s="111"/>
      <c r="B31" s="111"/>
      <c r="C31" s="111"/>
      <c r="D31" s="111"/>
      <c r="E31" s="111"/>
      <c r="F31" s="111"/>
      <c r="G31" s="111"/>
      <c r="H31" s="111"/>
      <c r="I31" s="111"/>
      <c r="J31" s="111"/>
      <c r="K31" s="111"/>
      <c r="L31" s="111"/>
      <c r="M31" s="111"/>
    </row>
    <row r="32" spans="1:13" ht="11.25" customHeight="1">
      <c r="A32" s="112"/>
      <c r="B32" s="112"/>
      <c r="C32" s="112"/>
      <c r="D32" s="112"/>
      <c r="E32" s="112"/>
      <c r="F32" s="112"/>
      <c r="G32" s="112"/>
      <c r="H32" s="112"/>
      <c r="I32" s="112"/>
      <c r="J32" s="112"/>
      <c r="K32" s="112"/>
      <c r="L32" s="112"/>
      <c r="M32" s="112"/>
    </row>
    <row r="33" spans="1:13" ht="11.25" customHeight="1">
      <c r="A33" s="117" t="s">
        <v>622</v>
      </c>
      <c r="C33" s="112"/>
      <c r="D33" s="112"/>
      <c r="E33" s="112"/>
      <c r="F33" s="112"/>
      <c r="G33" s="112"/>
      <c r="H33" s="112"/>
      <c r="I33" s="112"/>
      <c r="J33" s="112"/>
      <c r="K33" s="112"/>
      <c r="L33" s="112"/>
      <c r="M33" s="112"/>
    </row>
    <row r="34" spans="1:13" ht="11.25" customHeight="1">
      <c r="A34" s="113" t="s">
        <v>585</v>
      </c>
      <c r="B34" s="112" t="s">
        <v>623</v>
      </c>
      <c r="C34" s="112"/>
      <c r="D34" s="112"/>
      <c r="E34" s="112"/>
      <c r="F34" s="112"/>
      <c r="G34" s="112"/>
      <c r="H34" s="112"/>
      <c r="I34" s="112"/>
      <c r="J34" s="112"/>
      <c r="K34" s="112"/>
      <c r="L34" s="112"/>
      <c r="M34" s="112"/>
    </row>
    <row r="35" spans="1:13" ht="11.25" customHeight="1">
      <c r="A35" s="113" t="s">
        <v>588</v>
      </c>
      <c r="B35" s="112" t="s">
        <v>624</v>
      </c>
      <c r="C35" s="112"/>
      <c r="D35" s="112"/>
      <c r="E35" s="112"/>
      <c r="F35" s="112"/>
      <c r="G35" s="112"/>
      <c r="H35" s="112"/>
      <c r="I35" s="112"/>
      <c r="J35" s="112"/>
      <c r="K35" s="112"/>
      <c r="L35" s="112"/>
      <c r="M35" s="112"/>
    </row>
    <row r="36" spans="1:13" ht="11.25" customHeight="1">
      <c r="A36" s="113" t="s">
        <v>625</v>
      </c>
      <c r="B36" s="112" t="s">
        <v>626</v>
      </c>
      <c r="C36" s="112"/>
      <c r="D36" s="112"/>
      <c r="E36" s="112"/>
      <c r="F36" s="112"/>
      <c r="G36" s="112"/>
      <c r="H36" s="112"/>
      <c r="I36" s="112"/>
      <c r="J36" s="112"/>
      <c r="K36" s="112"/>
      <c r="L36" s="112"/>
      <c r="M36" s="112"/>
    </row>
    <row r="37" spans="1:13" ht="11.25" customHeight="1">
      <c r="A37" s="113" t="s">
        <v>594</v>
      </c>
      <c r="B37" s="112" t="s">
        <v>627</v>
      </c>
      <c r="D37" s="112"/>
      <c r="E37" s="112"/>
      <c r="F37" s="112"/>
      <c r="G37" s="112"/>
      <c r="H37" s="112"/>
      <c r="I37" s="112"/>
      <c r="J37" s="112"/>
      <c r="K37" s="112"/>
      <c r="L37" s="112"/>
      <c r="M37" s="112"/>
    </row>
    <row r="38" spans="1:13" ht="11.25" customHeight="1">
      <c r="A38" s="113" t="s">
        <v>605</v>
      </c>
      <c r="B38" s="112" t="s">
        <v>628</v>
      </c>
      <c r="C38" s="112"/>
      <c r="D38" s="112"/>
      <c r="E38" s="112"/>
      <c r="F38" s="112"/>
      <c r="G38" s="112"/>
      <c r="H38" s="112"/>
      <c r="I38" s="112"/>
      <c r="J38" s="112"/>
      <c r="K38" s="112"/>
      <c r="L38" s="112"/>
      <c r="M38" s="112"/>
    </row>
    <row r="39" spans="1:13" ht="11.25" customHeight="1">
      <c r="A39" s="113" t="s">
        <v>607</v>
      </c>
      <c r="B39" s="112" t="s">
        <v>629</v>
      </c>
      <c r="C39" s="112"/>
      <c r="D39" s="112"/>
      <c r="E39" s="112"/>
      <c r="F39" s="112"/>
      <c r="G39" s="112"/>
      <c r="H39" s="112"/>
      <c r="I39" s="112"/>
      <c r="J39" s="112"/>
      <c r="K39" s="112"/>
      <c r="L39" s="112"/>
      <c r="M39" s="112"/>
    </row>
    <row r="40" spans="1:13" ht="11.25" customHeight="1">
      <c r="A40" s="113" t="s">
        <v>619</v>
      </c>
      <c r="B40" s="112" t="s">
        <v>630</v>
      </c>
      <c r="C40" s="112"/>
      <c r="D40" s="112"/>
      <c r="E40" s="112"/>
      <c r="F40" s="112"/>
      <c r="G40" s="112"/>
      <c r="H40" s="112"/>
      <c r="I40" s="112"/>
      <c r="J40" s="112"/>
      <c r="K40" s="112"/>
      <c r="L40" s="112"/>
      <c r="M40" s="112"/>
    </row>
    <row r="41" spans="1:13" ht="11.25" customHeight="1">
      <c r="A41" s="113" t="s">
        <v>612</v>
      </c>
      <c r="B41" s="112" t="s">
        <v>631</v>
      </c>
      <c r="C41" s="112"/>
      <c r="D41" s="112"/>
      <c r="E41" s="112"/>
      <c r="F41" s="112"/>
      <c r="G41" s="112"/>
      <c r="H41" s="112"/>
      <c r="I41" s="112"/>
      <c r="J41" s="112"/>
      <c r="K41" s="112"/>
      <c r="L41" s="112"/>
      <c r="M41" s="112"/>
    </row>
    <row r="42" spans="1:13" ht="11.25" customHeight="1">
      <c r="A42" s="113" t="s">
        <v>616</v>
      </c>
      <c r="B42" s="112" t="s">
        <v>632</v>
      </c>
      <c r="C42" s="112"/>
      <c r="D42" s="112"/>
      <c r="E42" s="112"/>
      <c r="F42" s="112"/>
      <c r="G42" s="112"/>
      <c r="H42" s="112"/>
      <c r="I42" s="112"/>
      <c r="J42" s="112"/>
      <c r="K42" s="112"/>
      <c r="L42" s="112"/>
      <c r="M42" s="112"/>
    </row>
    <row r="43" spans="1:13" ht="11.25" customHeight="1">
      <c r="C43" s="112"/>
    </row>
    <row r="44" spans="1:13" ht="11.25" customHeight="1">
      <c r="A44" s="95" t="s">
        <v>638</v>
      </c>
      <c r="B44" s="112"/>
      <c r="C44" s="112"/>
    </row>
    <row r="45" spans="1:13" ht="11.25" customHeight="1">
      <c r="A45" s="87">
        <v>1</v>
      </c>
      <c r="B45" s="112" t="s">
        <v>634</v>
      </c>
      <c r="C45" s="112"/>
    </row>
    <row r="46" spans="1:13" ht="11.25" customHeight="1">
      <c r="A46" s="87">
        <v>2</v>
      </c>
      <c r="B46" s="112" t="s">
        <v>635</v>
      </c>
      <c r="C46" s="112"/>
    </row>
    <row r="47" spans="1:13" ht="11.25" customHeight="1">
      <c r="A47" s="87">
        <v>3</v>
      </c>
      <c r="B47" s="112" t="s">
        <v>636</v>
      </c>
    </row>
  </sheetData>
  <mergeCells count="1">
    <mergeCell ref="C1:M1"/>
  </mergeCells>
  <hyperlinks>
    <hyperlink ref="C1" location="INDEX" display="Combined heating and cooling heat pump, up to 80 °C, Temp lift = 75 K" xr:uid="{A4087BCB-B177-489F-B434-B0BCD3775FCC}"/>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2F69-A69B-48AC-A273-79FBC780CAC2}">
  <dimension ref="A1:M192"/>
  <sheetViews>
    <sheetView showGridLines="0" zoomScaleNormal="100" workbookViewId="0">
      <pane xSplit="2" ySplit="2" topLeftCell="C3" activePane="bottomRight" state="frozen"/>
      <selection pane="topRight"/>
      <selection pane="bottomLeft"/>
      <selection pane="bottomRight"/>
    </sheetView>
  </sheetViews>
  <sheetFormatPr defaultColWidth="9" defaultRowHeight="11.25" customHeight="1"/>
  <cols>
    <col min="1" max="1" width="3.7109375" style="119" customWidth="1"/>
    <col min="2" max="2" width="57.85546875" style="119" customWidth="1"/>
    <col min="3" max="13" width="9.28515625" style="119" customWidth="1"/>
    <col min="14" max="16384" width="9" style="119"/>
  </cols>
  <sheetData>
    <row r="1" spans="1:13" ht="11.25" customHeight="1">
      <c r="A1" s="84" t="s">
        <v>557</v>
      </c>
      <c r="B1" s="118"/>
      <c r="C1" s="435" t="s">
        <v>639</v>
      </c>
      <c r="D1" s="434"/>
      <c r="E1" s="434"/>
      <c r="F1" s="434"/>
      <c r="G1" s="434"/>
      <c r="H1" s="434"/>
      <c r="I1" s="434"/>
      <c r="J1" s="434"/>
      <c r="K1" s="434"/>
      <c r="L1" s="434"/>
      <c r="M1" s="434"/>
    </row>
    <row r="2" spans="1:13" ht="11.25" customHeight="1">
      <c r="A2" s="88" t="s">
        <v>573</v>
      </c>
      <c r="B2" s="88"/>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0"/>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3" t="s">
        <v>582</v>
      </c>
      <c r="C4" s="86"/>
      <c r="D4" s="86"/>
      <c r="E4" s="86"/>
      <c r="F4" s="86"/>
      <c r="G4" s="86"/>
      <c r="H4" s="86"/>
      <c r="I4" s="86"/>
      <c r="J4" s="86"/>
      <c r="K4" s="86"/>
      <c r="L4" s="86"/>
      <c r="M4" s="86"/>
    </row>
    <row r="5" spans="1:13" ht="11.25" customHeight="1">
      <c r="A5" s="117" t="s">
        <v>583</v>
      </c>
      <c r="C5" s="120"/>
      <c r="D5" s="120"/>
      <c r="E5" s="120"/>
      <c r="F5" s="120"/>
      <c r="G5" s="120"/>
      <c r="H5" s="120"/>
      <c r="I5" s="120"/>
      <c r="J5" s="120"/>
      <c r="K5" s="120"/>
      <c r="L5" s="120"/>
      <c r="M5" s="120"/>
    </row>
    <row r="6" spans="1:13" ht="11.25" customHeight="1">
      <c r="A6" s="117"/>
      <c r="B6" s="119" t="s">
        <v>584</v>
      </c>
      <c r="C6" s="121">
        <v>2</v>
      </c>
      <c r="D6" s="121">
        <v>2</v>
      </c>
      <c r="E6" s="121">
        <v>3</v>
      </c>
      <c r="F6" s="121">
        <v>3</v>
      </c>
      <c r="G6" s="121">
        <v>3</v>
      </c>
      <c r="H6" s="121">
        <v>0.3</v>
      </c>
      <c r="I6" s="121">
        <v>25</v>
      </c>
      <c r="J6" s="121">
        <v>0.2</v>
      </c>
      <c r="K6" s="121">
        <v>50</v>
      </c>
      <c r="L6" s="121" t="s">
        <v>588</v>
      </c>
      <c r="M6" s="121">
        <v>4</v>
      </c>
    </row>
    <row r="7" spans="1:13" ht="11.25" customHeight="1">
      <c r="A7" s="117"/>
      <c r="B7" s="119" t="s">
        <v>640</v>
      </c>
      <c r="C7" s="122">
        <v>2.75</v>
      </c>
      <c r="D7" s="122">
        <v>2.85</v>
      </c>
      <c r="E7" s="122">
        <v>2.9</v>
      </c>
      <c r="F7" s="122">
        <v>2.95</v>
      </c>
      <c r="G7" s="122">
        <v>3</v>
      </c>
      <c r="H7" s="122">
        <v>2.25</v>
      </c>
      <c r="I7" s="122">
        <v>4</v>
      </c>
      <c r="J7" s="122">
        <v>2.5</v>
      </c>
      <c r="K7" s="122">
        <v>4.5</v>
      </c>
      <c r="L7" s="121" t="s">
        <v>641</v>
      </c>
      <c r="M7" s="121">
        <v>1</v>
      </c>
    </row>
    <row r="8" spans="1:13" ht="11.25" customHeight="1">
      <c r="A8" s="117"/>
      <c r="B8" s="119" t="s">
        <v>590</v>
      </c>
      <c r="C8" s="122">
        <v>2.7</v>
      </c>
      <c r="D8" s="122">
        <v>2.8</v>
      </c>
      <c r="E8" s="122">
        <v>2.85</v>
      </c>
      <c r="F8" s="122">
        <v>2.9</v>
      </c>
      <c r="G8" s="122">
        <v>2.95</v>
      </c>
      <c r="H8" s="122">
        <v>2.2000000000000002</v>
      </c>
      <c r="I8" s="122">
        <v>3.95</v>
      </c>
      <c r="J8" s="122">
        <v>2.4500000000000002</v>
      </c>
      <c r="K8" s="122">
        <v>4.45</v>
      </c>
      <c r="L8" s="121"/>
      <c r="M8" s="121"/>
    </row>
    <row r="9" spans="1:13" ht="11.25" customHeight="1">
      <c r="A9" s="117"/>
      <c r="B9" s="119" t="s">
        <v>592</v>
      </c>
      <c r="C9" s="122">
        <v>0.02</v>
      </c>
      <c r="D9" s="122">
        <v>0.02</v>
      </c>
      <c r="E9" s="122">
        <v>0.02</v>
      </c>
      <c r="F9" s="122">
        <v>0.02</v>
      </c>
      <c r="G9" s="122">
        <v>0.02</v>
      </c>
      <c r="H9" s="122">
        <v>0.01</v>
      </c>
      <c r="I9" s="122">
        <v>7.0000000000000007E-2</v>
      </c>
      <c r="J9" s="122">
        <v>0.01</v>
      </c>
      <c r="K9" s="122">
        <v>7.0000000000000007E-2</v>
      </c>
      <c r="L9" s="121"/>
      <c r="M9" s="121">
        <v>1</v>
      </c>
    </row>
    <row r="10" spans="1:13" ht="11.25" customHeight="1">
      <c r="A10" s="123"/>
      <c r="B10" s="123" t="s">
        <v>642</v>
      </c>
      <c r="C10" s="124">
        <v>0</v>
      </c>
      <c r="D10" s="124">
        <v>0</v>
      </c>
      <c r="E10" s="124">
        <v>0</v>
      </c>
      <c r="F10" s="124">
        <v>0</v>
      </c>
      <c r="G10" s="124">
        <v>0</v>
      </c>
      <c r="H10" s="124">
        <v>0</v>
      </c>
      <c r="I10" s="124">
        <v>1</v>
      </c>
      <c r="J10" s="124">
        <v>0</v>
      </c>
      <c r="K10" s="124">
        <v>1</v>
      </c>
      <c r="L10" s="121"/>
      <c r="M10" s="121">
        <v>4</v>
      </c>
    </row>
    <row r="11" spans="1:13" ht="11.25" customHeight="1">
      <c r="A11" s="117"/>
      <c r="B11" s="119" t="s">
        <v>595</v>
      </c>
      <c r="C11" s="125">
        <v>0.5</v>
      </c>
      <c r="D11" s="125">
        <v>0.5</v>
      </c>
      <c r="E11" s="125">
        <v>0.5</v>
      </c>
      <c r="F11" s="125">
        <v>0.5</v>
      </c>
      <c r="G11" s="125">
        <v>0.5</v>
      </c>
      <c r="H11" s="125">
        <v>0</v>
      </c>
      <c r="I11" s="125">
        <v>1</v>
      </c>
      <c r="J11" s="125">
        <v>0</v>
      </c>
      <c r="K11" s="125">
        <v>1</v>
      </c>
      <c r="L11" s="121"/>
      <c r="M11" s="121">
        <v>4</v>
      </c>
    </row>
    <row r="12" spans="1:13" ht="11.25" customHeight="1">
      <c r="A12" s="117"/>
      <c r="B12" s="119" t="s">
        <v>596</v>
      </c>
      <c r="C12" s="121">
        <v>20</v>
      </c>
      <c r="D12" s="121">
        <v>20</v>
      </c>
      <c r="E12" s="121">
        <v>20</v>
      </c>
      <c r="F12" s="121">
        <v>20</v>
      </c>
      <c r="G12" s="121">
        <v>20</v>
      </c>
      <c r="H12" s="121">
        <v>15</v>
      </c>
      <c r="I12" s="121">
        <v>30</v>
      </c>
      <c r="J12" s="121">
        <v>15</v>
      </c>
      <c r="K12" s="121">
        <v>30</v>
      </c>
      <c r="L12" s="121" t="s">
        <v>594</v>
      </c>
      <c r="M12" s="121">
        <v>4</v>
      </c>
    </row>
    <row r="13" spans="1:13" ht="11.25" customHeight="1">
      <c r="A13" s="117"/>
      <c r="B13" s="119" t="s">
        <v>597</v>
      </c>
      <c r="C13" s="125">
        <v>0.6</v>
      </c>
      <c r="D13" s="125">
        <v>0.5</v>
      </c>
      <c r="E13" s="125">
        <v>0.4</v>
      </c>
      <c r="F13" s="125">
        <v>0.4</v>
      </c>
      <c r="G13" s="125">
        <v>0.4</v>
      </c>
      <c r="H13" s="125">
        <v>0.4</v>
      </c>
      <c r="I13" s="125">
        <v>0.8</v>
      </c>
      <c r="J13" s="125">
        <v>0.2</v>
      </c>
      <c r="K13" s="125">
        <v>0.8</v>
      </c>
      <c r="L13" s="120" t="s">
        <v>605</v>
      </c>
      <c r="M13" s="121">
        <v>4</v>
      </c>
    </row>
    <row r="14" spans="1:13" ht="11.25" customHeight="1">
      <c r="A14" s="117"/>
      <c r="B14" s="119" t="s">
        <v>643</v>
      </c>
      <c r="C14" s="126">
        <v>0.02</v>
      </c>
      <c r="D14" s="126">
        <v>0.02</v>
      </c>
      <c r="E14" s="126">
        <v>0.02</v>
      </c>
      <c r="F14" s="126">
        <v>0.02</v>
      </c>
      <c r="G14" s="126">
        <v>0.02</v>
      </c>
      <c r="H14" s="126">
        <v>0.01</v>
      </c>
      <c r="I14" s="126">
        <v>0.04</v>
      </c>
      <c r="J14" s="126">
        <v>0.01</v>
      </c>
      <c r="K14" s="126">
        <v>0.04</v>
      </c>
      <c r="L14" s="120"/>
      <c r="M14" s="121"/>
    </row>
    <row r="15" spans="1:13" ht="11.25" customHeight="1">
      <c r="A15" s="117" t="s">
        <v>644</v>
      </c>
      <c r="C15" s="121"/>
      <c r="D15" s="121"/>
      <c r="E15" s="121"/>
      <c r="F15" s="121"/>
      <c r="G15" s="121"/>
      <c r="H15" s="121"/>
      <c r="I15" s="121"/>
      <c r="J15" s="121"/>
      <c r="K15" s="121"/>
      <c r="L15" s="121"/>
      <c r="M15" s="121"/>
    </row>
    <row r="16" spans="1:13" ht="11.25" customHeight="1">
      <c r="A16" s="123"/>
      <c r="B16" s="123" t="s">
        <v>645</v>
      </c>
      <c r="C16" s="122">
        <v>0.05</v>
      </c>
      <c r="D16" s="122">
        <v>7.0000000000000007E-2</v>
      </c>
      <c r="E16" s="122">
        <v>0.08</v>
      </c>
      <c r="F16" s="122">
        <v>0.09</v>
      </c>
      <c r="G16" s="122">
        <v>0.1</v>
      </c>
      <c r="H16" s="122">
        <v>0.02</v>
      </c>
      <c r="I16" s="122">
        <v>0.1</v>
      </c>
      <c r="J16" s="122">
        <v>0.05</v>
      </c>
      <c r="K16" s="122">
        <v>0.2</v>
      </c>
      <c r="L16" s="121"/>
      <c r="M16" s="121"/>
    </row>
    <row r="17" spans="1:13" ht="11.25" customHeight="1">
      <c r="A17" s="123"/>
      <c r="B17" s="123" t="s">
        <v>646</v>
      </c>
      <c r="C17" s="122">
        <v>0.1</v>
      </c>
      <c r="D17" s="122">
        <v>0.14000000000000001</v>
      </c>
      <c r="E17" s="122">
        <v>0.16</v>
      </c>
      <c r="F17" s="122">
        <v>0.18</v>
      </c>
      <c r="G17" s="122">
        <v>0.2</v>
      </c>
      <c r="H17" s="122">
        <v>0.04</v>
      </c>
      <c r="I17" s="122">
        <v>0.2</v>
      </c>
      <c r="J17" s="122">
        <v>0.1</v>
      </c>
      <c r="K17" s="122">
        <v>0.4</v>
      </c>
      <c r="L17" s="121"/>
      <c r="M17" s="121"/>
    </row>
    <row r="18" spans="1:13" ht="11.25" customHeight="1">
      <c r="A18" s="123"/>
      <c r="B18" s="123" t="s">
        <v>647</v>
      </c>
      <c r="C18" s="122">
        <v>0.25</v>
      </c>
      <c r="D18" s="122">
        <v>0.25</v>
      </c>
      <c r="E18" s="122">
        <v>0.25</v>
      </c>
      <c r="F18" s="122">
        <v>0.25</v>
      </c>
      <c r="G18" s="122">
        <v>0.25</v>
      </c>
      <c r="H18" s="122">
        <v>0.1</v>
      </c>
      <c r="I18" s="122">
        <v>0.5</v>
      </c>
      <c r="J18" s="122">
        <v>0.1</v>
      </c>
      <c r="K18" s="122">
        <v>0.5</v>
      </c>
      <c r="L18" s="121" t="s">
        <v>607</v>
      </c>
      <c r="M18" s="121">
        <v>4</v>
      </c>
    </row>
    <row r="19" spans="1:13" ht="11.25" customHeight="1">
      <c r="A19" s="117"/>
      <c r="B19" s="119" t="s">
        <v>600</v>
      </c>
      <c r="C19" s="121">
        <v>0.25</v>
      </c>
      <c r="D19" s="121">
        <v>0.25</v>
      </c>
      <c r="E19" s="121">
        <v>0.25</v>
      </c>
      <c r="F19" s="121">
        <v>0.25</v>
      </c>
      <c r="G19" s="121">
        <v>0.25</v>
      </c>
      <c r="H19" s="121">
        <v>0.1</v>
      </c>
      <c r="I19" s="121">
        <v>0.5</v>
      </c>
      <c r="J19" s="121">
        <v>0.1</v>
      </c>
      <c r="K19" s="121">
        <v>0.25</v>
      </c>
      <c r="L19" s="121"/>
      <c r="M19" s="121">
        <v>4</v>
      </c>
    </row>
    <row r="20" spans="1:13" ht="11.25" customHeight="1">
      <c r="A20" s="117"/>
      <c r="B20" s="119" t="s">
        <v>601</v>
      </c>
      <c r="C20" s="121">
        <v>1</v>
      </c>
      <c r="D20" s="121">
        <v>1</v>
      </c>
      <c r="E20" s="121">
        <v>1</v>
      </c>
      <c r="F20" s="121">
        <v>1</v>
      </c>
      <c r="G20" s="121">
        <v>1</v>
      </c>
      <c r="H20" s="121">
        <v>0.5</v>
      </c>
      <c r="I20" s="121">
        <v>1.5</v>
      </c>
      <c r="J20" s="121">
        <v>0.5</v>
      </c>
      <c r="K20" s="121">
        <v>1.5</v>
      </c>
      <c r="L20" s="121"/>
      <c r="M20" s="121">
        <v>4</v>
      </c>
    </row>
    <row r="21" spans="1:13" ht="11.25" customHeight="1">
      <c r="A21" s="117" t="s">
        <v>648</v>
      </c>
      <c r="C21" s="121"/>
      <c r="D21" s="121"/>
      <c r="E21" s="121"/>
      <c r="F21" s="121"/>
      <c r="G21" s="121"/>
      <c r="H21" s="121"/>
      <c r="I21" s="121"/>
      <c r="J21" s="121"/>
      <c r="K21" s="121"/>
      <c r="L21" s="121"/>
      <c r="M21" s="121"/>
    </row>
    <row r="22" spans="1:13" ht="11.25" customHeight="1">
      <c r="A22" s="117"/>
      <c r="B22" s="119" t="s">
        <v>649</v>
      </c>
      <c r="C22" s="126">
        <v>1.2</v>
      </c>
      <c r="D22" s="126">
        <v>1.1499999999999999</v>
      </c>
      <c r="E22" s="126">
        <v>1.1000000000000001</v>
      </c>
      <c r="F22" s="126">
        <v>1.05</v>
      </c>
      <c r="G22" s="126">
        <v>1</v>
      </c>
      <c r="H22" s="126">
        <v>0.9</v>
      </c>
      <c r="I22" s="126">
        <v>1.5</v>
      </c>
      <c r="J22" s="126">
        <v>0.7</v>
      </c>
      <c r="K22" s="126">
        <v>1.3</v>
      </c>
      <c r="L22" s="121" t="s">
        <v>619</v>
      </c>
      <c r="M22" s="121" t="s">
        <v>650</v>
      </c>
    </row>
    <row r="23" spans="1:13" ht="11.25" customHeight="1">
      <c r="A23" s="117"/>
      <c r="B23" s="119" t="s">
        <v>604</v>
      </c>
      <c r="C23" s="127">
        <v>0.4</v>
      </c>
      <c r="D23" s="127">
        <v>0.4</v>
      </c>
      <c r="E23" s="127">
        <v>0.4</v>
      </c>
      <c r="F23" s="127">
        <v>0.4</v>
      </c>
      <c r="G23" s="127">
        <v>0.4</v>
      </c>
      <c r="H23" s="127">
        <v>0.25</v>
      </c>
      <c r="I23" s="127">
        <v>0.6</v>
      </c>
      <c r="J23" s="127">
        <v>0.25</v>
      </c>
      <c r="K23" s="127">
        <v>0.7</v>
      </c>
      <c r="L23" s="121" t="s">
        <v>585</v>
      </c>
      <c r="M23" s="121">
        <v>1</v>
      </c>
    </row>
    <row r="24" spans="1:13" ht="11.25" customHeight="1">
      <c r="A24" s="117"/>
      <c r="B24" s="119" t="s">
        <v>651</v>
      </c>
      <c r="C24" s="127">
        <v>0.6</v>
      </c>
      <c r="D24" s="127">
        <v>0.6</v>
      </c>
      <c r="E24" s="127">
        <v>0.6</v>
      </c>
      <c r="F24" s="127">
        <v>0.6</v>
      </c>
      <c r="G24" s="127">
        <v>0.6</v>
      </c>
      <c r="H24" s="127">
        <v>0.4</v>
      </c>
      <c r="I24" s="127">
        <v>0.75</v>
      </c>
      <c r="J24" s="127">
        <v>0.3</v>
      </c>
      <c r="K24" s="127">
        <v>0.75</v>
      </c>
      <c r="L24" s="121" t="s">
        <v>585</v>
      </c>
      <c r="M24" s="121">
        <v>3</v>
      </c>
    </row>
    <row r="25" spans="1:13" ht="11.25" customHeight="1">
      <c r="A25" s="117"/>
      <c r="B25" s="119" t="s">
        <v>652</v>
      </c>
      <c r="C25" s="128">
        <v>2494</v>
      </c>
      <c r="D25" s="128">
        <v>2456</v>
      </c>
      <c r="E25" s="128">
        <v>2382</v>
      </c>
      <c r="F25" s="128">
        <v>2382</v>
      </c>
      <c r="G25" s="128">
        <v>2345</v>
      </c>
      <c r="H25" s="128"/>
      <c r="I25" s="128"/>
      <c r="J25" s="128"/>
      <c r="K25" s="128"/>
      <c r="L25" s="121"/>
      <c r="M25" s="121">
        <v>2</v>
      </c>
    </row>
    <row r="26" spans="1:13" ht="11.25" customHeight="1">
      <c r="A26" s="117"/>
      <c r="B26" s="119" t="s">
        <v>653</v>
      </c>
      <c r="C26" s="126">
        <v>3.6</v>
      </c>
      <c r="D26" s="126">
        <v>3.54</v>
      </c>
      <c r="E26" s="126">
        <v>3.43</v>
      </c>
      <c r="F26" s="126">
        <v>3.43</v>
      </c>
      <c r="G26" s="126">
        <v>3.39</v>
      </c>
      <c r="H26" s="126"/>
      <c r="I26" s="126"/>
      <c r="J26" s="126"/>
      <c r="K26" s="126"/>
      <c r="L26" s="121"/>
      <c r="M26" s="121">
        <v>2</v>
      </c>
    </row>
    <row r="27" spans="1:13" ht="11.25" customHeight="1">
      <c r="A27" s="117" t="s">
        <v>610</v>
      </c>
      <c r="C27" s="121"/>
      <c r="D27" s="121"/>
      <c r="E27" s="121"/>
      <c r="F27" s="121"/>
      <c r="G27" s="121"/>
      <c r="H27" s="121"/>
      <c r="I27" s="121"/>
      <c r="J27" s="121"/>
      <c r="K27" s="121"/>
      <c r="L27" s="121"/>
      <c r="M27" s="121"/>
    </row>
    <row r="28" spans="1:13" ht="11.25" customHeight="1">
      <c r="A28" s="117"/>
      <c r="B28" s="119" t="s">
        <v>654</v>
      </c>
      <c r="C28" s="128"/>
      <c r="D28" s="128"/>
      <c r="E28" s="128"/>
      <c r="F28" s="128"/>
      <c r="G28" s="128"/>
      <c r="H28" s="128"/>
      <c r="I28" s="128"/>
      <c r="J28" s="128"/>
      <c r="K28" s="128"/>
      <c r="L28" s="121"/>
      <c r="M28" s="121"/>
    </row>
    <row r="29" spans="1:13" ht="11.25" customHeight="1">
      <c r="A29" s="117"/>
      <c r="B29" s="119" t="s">
        <v>655</v>
      </c>
      <c r="C29" s="121">
        <v>0.23</v>
      </c>
      <c r="D29" s="121">
        <v>0.23</v>
      </c>
      <c r="E29" s="121">
        <v>0.23</v>
      </c>
      <c r="F29" s="121">
        <v>0.23</v>
      </c>
      <c r="G29" s="121">
        <v>0.23</v>
      </c>
      <c r="H29" s="121"/>
      <c r="I29" s="121"/>
      <c r="J29" s="121"/>
      <c r="K29" s="121"/>
      <c r="L29" s="121" t="s">
        <v>616</v>
      </c>
      <c r="M29" s="121"/>
    </row>
    <row r="30" spans="1:13" ht="11.25" customHeight="1">
      <c r="A30" s="117"/>
      <c r="B30" s="119" t="s">
        <v>656</v>
      </c>
      <c r="C30" s="127">
        <v>-0.15</v>
      </c>
      <c r="D30" s="127">
        <v>-0.1</v>
      </c>
      <c r="E30" s="127">
        <v>-0.05</v>
      </c>
      <c r="F30" s="127">
        <v>-0.05</v>
      </c>
      <c r="G30" s="127">
        <v>-0.05</v>
      </c>
      <c r="H30" s="127">
        <v>-0.05</v>
      </c>
      <c r="I30" s="127">
        <v>-0.2</v>
      </c>
      <c r="J30" s="127">
        <v>-0.05</v>
      </c>
      <c r="K30" s="127">
        <v>-0.15</v>
      </c>
      <c r="L30" s="121"/>
      <c r="M30" s="121" t="s">
        <v>650</v>
      </c>
    </row>
    <row r="31" spans="1:13" ht="11.25" customHeight="1">
      <c r="A31" s="117"/>
      <c r="B31" s="119" t="s">
        <v>657</v>
      </c>
      <c r="C31" s="129">
        <v>0.2</v>
      </c>
      <c r="D31" s="129">
        <v>0.15</v>
      </c>
      <c r="E31" s="129">
        <v>0.1</v>
      </c>
      <c r="F31" s="129">
        <v>0.1</v>
      </c>
      <c r="G31" s="129">
        <v>0.1</v>
      </c>
      <c r="H31" s="126">
        <v>0.05</v>
      </c>
      <c r="I31" s="126">
        <v>0.3</v>
      </c>
      <c r="J31" s="126">
        <v>0.05</v>
      </c>
      <c r="K31" s="126">
        <v>0.2</v>
      </c>
      <c r="L31" s="121"/>
      <c r="M31" s="121" t="s">
        <v>650</v>
      </c>
    </row>
    <row r="32" spans="1:13" ht="11.25" customHeight="1">
      <c r="A32" s="117"/>
      <c r="B32" s="130" t="s">
        <v>658</v>
      </c>
      <c r="C32" s="131">
        <f>MROUND(C22*C23*0.3,0.05)</f>
        <v>0.15000000000000002</v>
      </c>
      <c r="D32" s="131">
        <f t="shared" ref="D32:K32" si="0">MROUND(D22*D23*0.3,0.05)</f>
        <v>0.15000000000000002</v>
      </c>
      <c r="E32" s="131">
        <f t="shared" si="0"/>
        <v>0.15000000000000002</v>
      </c>
      <c r="F32" s="131">
        <f t="shared" si="0"/>
        <v>0.15000000000000002</v>
      </c>
      <c r="G32" s="131">
        <f t="shared" si="0"/>
        <v>0.1</v>
      </c>
      <c r="H32" s="131">
        <f t="shared" si="0"/>
        <v>0.05</v>
      </c>
      <c r="I32" s="131">
        <f t="shared" si="0"/>
        <v>0.25</v>
      </c>
      <c r="J32" s="131">
        <f t="shared" si="0"/>
        <v>0.05</v>
      </c>
      <c r="K32" s="131">
        <f t="shared" si="0"/>
        <v>0.25</v>
      </c>
      <c r="L32" s="121"/>
      <c r="M32" s="121" t="s">
        <v>650</v>
      </c>
    </row>
    <row r="33" spans="1:13" ht="11.25" customHeight="1">
      <c r="A33" s="132"/>
      <c r="B33" s="119" t="s">
        <v>659</v>
      </c>
      <c r="C33" s="122">
        <v>4.45</v>
      </c>
      <c r="D33" s="122">
        <v>4.6500000000000004</v>
      </c>
      <c r="E33" s="122">
        <v>4.7</v>
      </c>
      <c r="F33" s="122">
        <v>4.8</v>
      </c>
      <c r="G33" s="122">
        <v>4.9000000000000004</v>
      </c>
      <c r="H33" s="122">
        <v>3.65</v>
      </c>
      <c r="I33" s="122">
        <v>6.5</v>
      </c>
      <c r="J33" s="122">
        <v>4.05</v>
      </c>
      <c r="K33" s="122">
        <v>7.3</v>
      </c>
      <c r="L33" s="121"/>
      <c r="M33" s="121" t="s">
        <v>650</v>
      </c>
    </row>
    <row r="34" spans="1:13" ht="11.25" customHeight="1">
      <c r="A34" s="132"/>
      <c r="B34" s="119" t="s">
        <v>660</v>
      </c>
      <c r="C34" s="122">
        <v>2.4</v>
      </c>
      <c r="D34" s="122">
        <v>2.4500000000000002</v>
      </c>
      <c r="E34" s="122">
        <v>2.5</v>
      </c>
      <c r="F34" s="122">
        <v>2.5499999999999998</v>
      </c>
      <c r="G34" s="122">
        <v>2.6</v>
      </c>
      <c r="H34" s="122">
        <v>2</v>
      </c>
      <c r="I34" s="122">
        <v>3.4</v>
      </c>
      <c r="J34" s="122">
        <v>2.2000000000000002</v>
      </c>
      <c r="K34" s="122">
        <v>3.8</v>
      </c>
      <c r="L34" s="121"/>
      <c r="M34" s="121" t="s">
        <v>650</v>
      </c>
    </row>
    <row r="35" spans="1:13" ht="11.25" customHeight="1">
      <c r="A35" s="132"/>
      <c r="B35" s="119" t="s">
        <v>661</v>
      </c>
      <c r="C35" s="122">
        <v>2.0499999999999998</v>
      </c>
      <c r="D35" s="122">
        <v>2.1</v>
      </c>
      <c r="E35" s="122">
        <v>2.15</v>
      </c>
      <c r="F35" s="122">
        <v>2.2000000000000002</v>
      </c>
      <c r="G35" s="122">
        <v>2.2000000000000002</v>
      </c>
      <c r="H35" s="122">
        <v>1.7</v>
      </c>
      <c r="I35" s="122">
        <v>2.85</v>
      </c>
      <c r="J35" s="122">
        <v>1.9</v>
      </c>
      <c r="K35" s="122">
        <v>3.2</v>
      </c>
      <c r="L35" s="121"/>
      <c r="M35" s="121" t="s">
        <v>650</v>
      </c>
    </row>
    <row r="36" spans="1:13" ht="11.25" customHeight="1" thickBot="1">
      <c r="A36" s="111"/>
      <c r="B36" s="111"/>
      <c r="C36" s="111"/>
      <c r="D36" s="111"/>
      <c r="E36" s="111"/>
      <c r="F36" s="111"/>
      <c r="G36" s="111"/>
      <c r="H36" s="111"/>
      <c r="I36" s="111"/>
      <c r="J36" s="111"/>
      <c r="K36" s="111"/>
      <c r="L36" s="111"/>
      <c r="M36" s="111"/>
    </row>
    <row r="37" spans="1:13" ht="11.25" customHeight="1">
      <c r="A37" s="132"/>
      <c r="B37" s="133"/>
      <c r="C37" s="134"/>
      <c r="D37" s="134"/>
      <c r="E37" s="134"/>
      <c r="F37" s="134"/>
      <c r="G37" s="134"/>
      <c r="H37" s="134"/>
      <c r="I37" s="134"/>
      <c r="J37" s="134"/>
      <c r="K37" s="134"/>
    </row>
    <row r="38" spans="1:13" ht="11.25" customHeight="1">
      <c r="A38" s="117" t="s">
        <v>622</v>
      </c>
    </row>
    <row r="39" spans="1:13" s="135" customFormat="1" ht="11.25" customHeight="1">
      <c r="A39" s="113" t="s">
        <v>585</v>
      </c>
      <c r="B39" s="135" t="s">
        <v>662</v>
      </c>
    </row>
    <row r="40" spans="1:13" s="135" customFormat="1" ht="11.25" customHeight="1">
      <c r="A40" s="113" t="s">
        <v>588</v>
      </c>
      <c r="B40" s="135" t="s">
        <v>663</v>
      </c>
    </row>
    <row r="41" spans="1:13" s="135" customFormat="1" ht="11.25" customHeight="1">
      <c r="A41" s="113" t="s">
        <v>625</v>
      </c>
      <c r="B41" s="135" t="s">
        <v>664</v>
      </c>
    </row>
    <row r="42" spans="1:13" s="135" customFormat="1" ht="11.25" customHeight="1">
      <c r="A42" s="113" t="s">
        <v>594</v>
      </c>
      <c r="B42" s="119" t="s">
        <v>665</v>
      </c>
    </row>
    <row r="43" spans="1:13" s="135" customFormat="1" ht="11.25" customHeight="1">
      <c r="A43" s="113" t="s">
        <v>605</v>
      </c>
      <c r="B43" s="135" t="s">
        <v>666</v>
      </c>
    </row>
    <row r="44" spans="1:13" ht="11.25" customHeight="1">
      <c r="A44" s="113" t="s">
        <v>607</v>
      </c>
      <c r="B44" s="135" t="s">
        <v>667</v>
      </c>
    </row>
    <row r="45" spans="1:13" ht="11.25" customHeight="1">
      <c r="A45" s="113" t="s">
        <v>619</v>
      </c>
      <c r="B45" s="135" t="s">
        <v>668</v>
      </c>
    </row>
    <row r="46" spans="1:13" ht="11.25" customHeight="1">
      <c r="A46" s="113" t="s">
        <v>612</v>
      </c>
      <c r="B46" s="135" t="s">
        <v>669</v>
      </c>
    </row>
    <row r="47" spans="1:13" ht="11.25" customHeight="1">
      <c r="A47" s="113" t="s">
        <v>616</v>
      </c>
      <c r="B47" s="135" t="s">
        <v>670</v>
      </c>
    </row>
    <row r="48" spans="1:13" ht="11.25" customHeight="1">
      <c r="A48" s="135"/>
      <c r="B48" s="135"/>
    </row>
    <row r="49" spans="1:2" s="135" customFormat="1" ht="11.25" customHeight="1">
      <c r="A49" s="117" t="s">
        <v>633</v>
      </c>
      <c r="B49" s="119"/>
    </row>
    <row r="50" spans="1:2" s="135" customFormat="1" ht="11.25" customHeight="1">
      <c r="A50" s="87">
        <v>1</v>
      </c>
      <c r="B50" s="135" t="s">
        <v>671</v>
      </c>
    </row>
    <row r="51" spans="1:2" s="135" customFormat="1" ht="11.25" customHeight="1">
      <c r="A51" s="87">
        <v>2</v>
      </c>
      <c r="B51" s="112" t="s">
        <v>635</v>
      </c>
    </row>
    <row r="52" spans="1:2" s="135" customFormat="1" ht="11.25" customHeight="1">
      <c r="A52" s="87">
        <v>3</v>
      </c>
      <c r="B52" s="119" t="s">
        <v>672</v>
      </c>
    </row>
    <row r="53" spans="1:2" ht="11.25" customHeight="1">
      <c r="A53" s="87">
        <v>4</v>
      </c>
      <c r="B53" s="119" t="s">
        <v>673</v>
      </c>
    </row>
    <row r="54" spans="1:2" ht="11.25" customHeight="1">
      <c r="A54" s="87">
        <v>5</v>
      </c>
      <c r="B54" s="119" t="s">
        <v>674</v>
      </c>
    </row>
    <row r="55" spans="1:2" ht="11.25" customHeight="1">
      <c r="A55" s="136"/>
      <c r="B55" s="135"/>
    </row>
    <row r="56" spans="1:2" ht="11.25" customHeight="1">
      <c r="A56" s="117"/>
    </row>
    <row r="57" spans="1:2" ht="11.25" customHeight="1">
      <c r="A57" s="117"/>
    </row>
    <row r="58" spans="1:2" ht="11.25" customHeight="1">
      <c r="A58" s="117"/>
    </row>
    <row r="59" spans="1:2" ht="11.25" customHeight="1">
      <c r="A59" s="117"/>
    </row>
    <row r="60" spans="1:2" ht="11.25" customHeight="1">
      <c r="A60" s="117"/>
    </row>
    <row r="61" spans="1:2" ht="11.25" customHeight="1">
      <c r="A61" s="117"/>
    </row>
    <row r="62" spans="1:2" ht="11.25" customHeight="1">
      <c r="A62" s="117"/>
    </row>
    <row r="63" spans="1:2" ht="11.25" customHeight="1">
      <c r="A63" s="117"/>
    </row>
    <row r="64" spans="1:2" ht="11.25" customHeight="1">
      <c r="A64" s="117"/>
    </row>
    <row r="65" spans="1:1" ht="11.25" customHeight="1">
      <c r="A65" s="117"/>
    </row>
    <row r="66" spans="1:1" ht="11.25" customHeight="1">
      <c r="A66" s="117"/>
    </row>
    <row r="67" spans="1:1" ht="11.25" customHeight="1">
      <c r="A67" s="117"/>
    </row>
    <row r="68" spans="1:1" ht="11.25" customHeight="1">
      <c r="A68" s="117"/>
    </row>
    <row r="69" spans="1:1" ht="11.25" customHeight="1">
      <c r="A69" s="117"/>
    </row>
    <row r="70" spans="1:1" ht="11.25" customHeight="1">
      <c r="A70" s="117"/>
    </row>
    <row r="71" spans="1:1" ht="11.25" customHeight="1">
      <c r="A71" s="117"/>
    </row>
    <row r="72" spans="1:1" ht="11.25" customHeight="1">
      <c r="A72" s="117"/>
    </row>
    <row r="73" spans="1:1" ht="11.25" customHeight="1">
      <c r="A73" s="117"/>
    </row>
    <row r="74" spans="1:1" ht="11.25" customHeight="1">
      <c r="A74" s="117"/>
    </row>
    <row r="75" spans="1:1" ht="11.25" customHeight="1">
      <c r="A75" s="117"/>
    </row>
    <row r="76" spans="1:1" ht="11.25" customHeight="1">
      <c r="A76" s="117"/>
    </row>
    <row r="77" spans="1:1" ht="11.25" customHeight="1">
      <c r="A77" s="117"/>
    </row>
    <row r="78" spans="1:1" ht="11.25" customHeight="1">
      <c r="A78" s="117"/>
    </row>
    <row r="79" spans="1:1" ht="11.25" customHeight="1">
      <c r="A79" s="117"/>
    </row>
    <row r="80" spans="1:1" ht="11.25" customHeight="1">
      <c r="A80" s="117"/>
    </row>
    <row r="81" spans="1:1" ht="11.25" customHeight="1">
      <c r="A81" s="117"/>
    </row>
    <row r="82" spans="1:1" ht="11.25" customHeight="1">
      <c r="A82" s="117"/>
    </row>
    <row r="83" spans="1:1" ht="11.25" customHeight="1">
      <c r="A83" s="117"/>
    </row>
    <row r="84" spans="1:1" ht="11.25" customHeight="1">
      <c r="A84" s="117"/>
    </row>
    <row r="85" spans="1:1" ht="11.25" customHeight="1">
      <c r="A85" s="117"/>
    </row>
    <row r="86" spans="1:1" ht="11.25" customHeight="1">
      <c r="A86" s="117"/>
    </row>
    <row r="87" spans="1:1" ht="11.25" customHeight="1">
      <c r="A87" s="117"/>
    </row>
    <row r="88" spans="1:1" ht="11.25" customHeight="1">
      <c r="A88" s="117"/>
    </row>
    <row r="89" spans="1:1" ht="11.25" customHeight="1">
      <c r="A89" s="117"/>
    </row>
    <row r="90" spans="1:1" ht="11.25" customHeight="1">
      <c r="A90" s="117"/>
    </row>
    <row r="91" spans="1:1" ht="11.25" customHeight="1">
      <c r="A91" s="117"/>
    </row>
    <row r="92" spans="1:1" ht="11.25" customHeight="1">
      <c r="A92" s="117"/>
    </row>
    <row r="93" spans="1:1" ht="11.25" customHeight="1">
      <c r="A93" s="117"/>
    </row>
    <row r="94" spans="1:1" ht="11.25" customHeight="1">
      <c r="A94" s="117"/>
    </row>
    <row r="95" spans="1:1" ht="11.25" customHeight="1">
      <c r="A95" s="117"/>
    </row>
    <row r="96" spans="1:1" ht="11.25" customHeight="1">
      <c r="A96" s="117"/>
    </row>
    <row r="97" spans="1:1" ht="11.25" customHeight="1">
      <c r="A97" s="117"/>
    </row>
    <row r="98" spans="1:1" ht="11.25" customHeight="1">
      <c r="A98" s="117"/>
    </row>
    <row r="99" spans="1:1" ht="11.25" customHeight="1">
      <c r="A99" s="117"/>
    </row>
    <row r="100" spans="1:1" ht="11.25" customHeight="1">
      <c r="A100" s="117"/>
    </row>
    <row r="101" spans="1:1" ht="11.25" customHeight="1">
      <c r="A101" s="117"/>
    </row>
    <row r="102" spans="1:1" ht="11.25" customHeight="1">
      <c r="A102" s="117"/>
    </row>
    <row r="103" spans="1:1" ht="11.25" customHeight="1">
      <c r="A103" s="117"/>
    </row>
    <row r="104" spans="1:1" ht="11.25" customHeight="1">
      <c r="A104" s="117"/>
    </row>
    <row r="105" spans="1:1" ht="11.25" customHeight="1">
      <c r="A105" s="117"/>
    </row>
    <row r="106" spans="1:1" ht="11.25" customHeight="1">
      <c r="A106" s="117"/>
    </row>
    <row r="107" spans="1:1" ht="11.25" customHeight="1">
      <c r="A107" s="117"/>
    </row>
    <row r="108" spans="1:1" ht="11.25" customHeight="1">
      <c r="A108" s="117"/>
    </row>
    <row r="109" spans="1:1" ht="11.25" customHeight="1">
      <c r="A109" s="117"/>
    </row>
    <row r="110" spans="1:1" ht="11.25" customHeight="1">
      <c r="A110" s="117"/>
    </row>
    <row r="111" spans="1:1" ht="11.25" customHeight="1">
      <c r="A111" s="117"/>
    </row>
    <row r="112" spans="1:1" ht="11.25" customHeight="1">
      <c r="A112" s="117"/>
    </row>
    <row r="113" spans="1:1" ht="11.25" customHeight="1">
      <c r="A113" s="117"/>
    </row>
    <row r="114" spans="1:1" ht="11.25" customHeight="1">
      <c r="A114" s="117"/>
    </row>
    <row r="115" spans="1:1" ht="11.25" customHeight="1">
      <c r="A115" s="117"/>
    </row>
    <row r="116" spans="1:1" ht="11.25" customHeight="1">
      <c r="A116" s="117"/>
    </row>
    <row r="117" spans="1:1" ht="11.25" customHeight="1">
      <c r="A117" s="117"/>
    </row>
    <row r="118" spans="1:1" ht="11.25" customHeight="1">
      <c r="A118" s="117"/>
    </row>
    <row r="119" spans="1:1" ht="11.25" customHeight="1">
      <c r="A119" s="117"/>
    </row>
    <row r="120" spans="1:1" ht="11.25" customHeight="1">
      <c r="A120" s="117"/>
    </row>
    <row r="121" spans="1:1" ht="11.25" customHeight="1">
      <c r="A121" s="117"/>
    </row>
    <row r="122" spans="1:1" ht="11.25" customHeight="1">
      <c r="A122" s="117"/>
    </row>
    <row r="123" spans="1:1" ht="11.25" customHeight="1">
      <c r="A123" s="117"/>
    </row>
    <row r="124" spans="1:1" ht="11.25" customHeight="1">
      <c r="A124" s="117"/>
    </row>
    <row r="125" spans="1:1" ht="11.25" customHeight="1">
      <c r="A125" s="117"/>
    </row>
    <row r="126" spans="1:1" ht="11.25" customHeight="1">
      <c r="A126" s="117"/>
    </row>
    <row r="127" spans="1:1" ht="11.25" customHeight="1">
      <c r="A127" s="117"/>
    </row>
    <row r="128" spans="1:1" ht="11.25" customHeight="1">
      <c r="A128" s="117"/>
    </row>
    <row r="129" spans="1:1" ht="11.25" customHeight="1">
      <c r="A129" s="117"/>
    </row>
    <row r="130" spans="1:1" ht="11.25" customHeight="1">
      <c r="A130" s="117"/>
    </row>
    <row r="131" spans="1:1" ht="11.25" customHeight="1">
      <c r="A131" s="117"/>
    </row>
    <row r="132" spans="1:1" ht="11.25" customHeight="1">
      <c r="A132" s="117"/>
    </row>
    <row r="133" spans="1:1" ht="11.25" customHeight="1">
      <c r="A133" s="117"/>
    </row>
    <row r="134" spans="1:1" ht="11.25" customHeight="1">
      <c r="A134" s="117"/>
    </row>
    <row r="135" spans="1:1" ht="11.25" customHeight="1">
      <c r="A135" s="117"/>
    </row>
    <row r="136" spans="1:1" ht="11.25" customHeight="1">
      <c r="A136" s="117"/>
    </row>
    <row r="137" spans="1:1" ht="11.25" customHeight="1">
      <c r="A137" s="117"/>
    </row>
    <row r="138" spans="1:1" ht="11.25" customHeight="1">
      <c r="A138" s="117"/>
    </row>
    <row r="139" spans="1:1" ht="11.25" customHeight="1">
      <c r="A139" s="117"/>
    </row>
    <row r="140" spans="1:1" ht="11.25" customHeight="1">
      <c r="A140" s="117"/>
    </row>
    <row r="141" spans="1:1" ht="11.25" customHeight="1">
      <c r="A141" s="117"/>
    </row>
    <row r="142" spans="1:1" ht="11.25" customHeight="1">
      <c r="A142" s="117"/>
    </row>
    <row r="143" spans="1:1" ht="11.25" customHeight="1">
      <c r="A143" s="117"/>
    </row>
    <row r="144" spans="1:1" ht="11.25" customHeight="1">
      <c r="A144" s="117"/>
    </row>
    <row r="145" spans="1:1" ht="11.25" customHeight="1">
      <c r="A145" s="117"/>
    </row>
    <row r="146" spans="1:1" ht="11.25" customHeight="1">
      <c r="A146" s="117"/>
    </row>
    <row r="147" spans="1:1" ht="11.25" customHeight="1">
      <c r="A147" s="117"/>
    </row>
    <row r="148" spans="1:1" ht="11.25" customHeight="1">
      <c r="A148" s="117"/>
    </row>
    <row r="149" spans="1:1" ht="11.25" customHeight="1">
      <c r="A149" s="117"/>
    </row>
    <row r="150" spans="1:1" ht="11.25" customHeight="1">
      <c r="A150" s="117"/>
    </row>
    <row r="151" spans="1:1" ht="11.25" customHeight="1">
      <c r="A151" s="117"/>
    </row>
    <row r="152" spans="1:1" ht="11.25" customHeight="1">
      <c r="A152" s="117"/>
    </row>
    <row r="153" spans="1:1" ht="11.25" customHeight="1">
      <c r="A153" s="117"/>
    </row>
    <row r="154" spans="1:1" ht="11.25" customHeight="1">
      <c r="A154" s="117"/>
    </row>
    <row r="155" spans="1:1" ht="11.25" customHeight="1">
      <c r="A155" s="117"/>
    </row>
    <row r="156" spans="1:1" ht="11.25" customHeight="1">
      <c r="A156" s="117"/>
    </row>
    <row r="157" spans="1:1" ht="11.25" customHeight="1">
      <c r="A157" s="117"/>
    </row>
    <row r="158" spans="1:1" ht="11.25" customHeight="1">
      <c r="A158" s="117"/>
    </row>
    <row r="159" spans="1:1" ht="11.25" customHeight="1">
      <c r="A159" s="117"/>
    </row>
    <row r="160" spans="1:1" ht="11.25" customHeight="1">
      <c r="A160" s="117"/>
    </row>
    <row r="161" spans="1:1" ht="11.25" customHeight="1">
      <c r="A161" s="117"/>
    </row>
    <row r="162" spans="1:1" ht="11.25" customHeight="1">
      <c r="A162" s="117"/>
    </row>
    <row r="163" spans="1:1" ht="11.25" customHeight="1">
      <c r="A163" s="117"/>
    </row>
    <row r="164" spans="1:1" ht="11.25" customHeight="1">
      <c r="A164" s="117"/>
    </row>
    <row r="165" spans="1:1" ht="11.25" customHeight="1">
      <c r="A165" s="117"/>
    </row>
    <row r="166" spans="1:1" ht="11.25" customHeight="1">
      <c r="A166" s="117"/>
    </row>
    <row r="167" spans="1:1" ht="11.25" customHeight="1">
      <c r="A167" s="117"/>
    </row>
    <row r="168" spans="1:1" ht="11.25" customHeight="1">
      <c r="A168" s="117"/>
    </row>
    <row r="169" spans="1:1" ht="11.25" customHeight="1">
      <c r="A169" s="117"/>
    </row>
    <row r="170" spans="1:1" ht="11.25" customHeight="1">
      <c r="A170" s="117"/>
    </row>
    <row r="171" spans="1:1" ht="11.25" customHeight="1">
      <c r="A171" s="117"/>
    </row>
    <row r="172" spans="1:1" ht="11.25" customHeight="1">
      <c r="A172" s="117"/>
    </row>
    <row r="173" spans="1:1" ht="11.25" customHeight="1">
      <c r="A173" s="117"/>
    </row>
    <row r="174" spans="1:1" ht="11.25" customHeight="1">
      <c r="A174" s="117"/>
    </row>
    <row r="175" spans="1:1" ht="11.25" customHeight="1">
      <c r="A175" s="117"/>
    </row>
    <row r="176" spans="1:1" ht="11.25" customHeight="1">
      <c r="A176" s="117"/>
    </row>
    <row r="177" spans="1:1" ht="11.25" customHeight="1">
      <c r="A177" s="117"/>
    </row>
    <row r="178" spans="1:1" ht="11.25" customHeight="1">
      <c r="A178" s="117"/>
    </row>
    <row r="179" spans="1:1" ht="11.25" customHeight="1">
      <c r="A179" s="117"/>
    </row>
    <row r="180" spans="1:1" ht="11.25" customHeight="1">
      <c r="A180" s="117"/>
    </row>
    <row r="181" spans="1:1" ht="11.25" customHeight="1">
      <c r="A181" s="117"/>
    </row>
    <row r="182" spans="1:1" ht="11.25" customHeight="1">
      <c r="A182" s="117"/>
    </row>
    <row r="183" spans="1:1" ht="11.25" customHeight="1">
      <c r="A183" s="117"/>
    </row>
    <row r="184" spans="1:1" ht="11.25" customHeight="1">
      <c r="A184" s="117"/>
    </row>
    <row r="185" spans="1:1" ht="11.25" customHeight="1">
      <c r="A185" s="117"/>
    </row>
    <row r="186" spans="1:1" ht="11.25" customHeight="1">
      <c r="A186" s="117"/>
    </row>
    <row r="187" spans="1:1" ht="11.25" customHeight="1">
      <c r="A187" s="117"/>
    </row>
    <row r="188" spans="1:1" ht="11.25" customHeight="1">
      <c r="A188" s="117"/>
    </row>
    <row r="189" spans="1:1" ht="11.25" customHeight="1">
      <c r="A189" s="117"/>
    </row>
    <row r="190" spans="1:1" ht="11.25" customHeight="1">
      <c r="A190" s="117"/>
    </row>
    <row r="191" spans="1:1" ht="11.25" customHeight="1">
      <c r="A191" s="117"/>
    </row>
    <row r="192" spans="1:1" ht="11.25" customHeight="1">
      <c r="A192" s="117"/>
    </row>
  </sheetData>
  <mergeCells count="1">
    <mergeCell ref="C1:M1"/>
  </mergeCells>
  <hyperlinks>
    <hyperlink ref="C1" location="INDEX" display="High-temperature heat pumps up to 125 °C" xr:uid="{AD488F45-576E-40BC-9CA8-22E8E1867F7E}"/>
  </hyperlink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F8B8-74BC-4470-9908-147215AFA25F}">
  <dimension ref="A1:M192"/>
  <sheetViews>
    <sheetView showGridLines="0" zoomScaleNormal="100" workbookViewId="0">
      <pane xSplit="2" ySplit="2" topLeftCell="C3" activePane="bottomRight" state="frozen"/>
      <selection pane="topRight"/>
      <selection pane="bottomLeft"/>
      <selection pane="bottomRight"/>
    </sheetView>
  </sheetViews>
  <sheetFormatPr defaultColWidth="9" defaultRowHeight="11.25" customHeight="1"/>
  <cols>
    <col min="1" max="1" width="3.7109375" style="119" customWidth="1"/>
    <col min="2" max="2" width="57.85546875" style="119" customWidth="1"/>
    <col min="3" max="13" width="9.28515625" style="119" customWidth="1"/>
    <col min="14" max="16384" width="9" style="119"/>
  </cols>
  <sheetData>
    <row r="1" spans="1:13" ht="11.25" customHeight="1">
      <c r="A1" s="84" t="s">
        <v>557</v>
      </c>
      <c r="B1" s="118"/>
      <c r="C1" s="435" t="s">
        <v>675</v>
      </c>
      <c r="D1" s="434"/>
      <c r="E1" s="434"/>
      <c r="F1" s="434"/>
      <c r="G1" s="434"/>
      <c r="H1" s="434"/>
      <c r="I1" s="434"/>
      <c r="J1" s="434"/>
      <c r="K1" s="434"/>
      <c r="L1" s="434"/>
      <c r="M1" s="434"/>
    </row>
    <row r="2" spans="1:13" ht="11.25" customHeight="1">
      <c r="A2" s="88" t="s">
        <v>573</v>
      </c>
      <c r="B2" s="88"/>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0"/>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3" t="s">
        <v>582</v>
      </c>
      <c r="C4" s="86"/>
      <c r="D4" s="86"/>
      <c r="E4" s="86"/>
      <c r="F4" s="86"/>
      <c r="G4" s="86"/>
      <c r="H4" s="86"/>
      <c r="I4" s="86"/>
      <c r="J4" s="86"/>
      <c r="K4" s="86"/>
      <c r="L4" s="86"/>
      <c r="M4" s="86"/>
    </row>
    <row r="5" spans="1:13" ht="11.25" customHeight="1">
      <c r="A5" s="117" t="s">
        <v>583</v>
      </c>
      <c r="C5" s="120"/>
      <c r="D5" s="120"/>
      <c r="E5" s="120"/>
      <c r="F5" s="120"/>
      <c r="G5" s="120"/>
      <c r="H5" s="120"/>
      <c r="I5" s="120"/>
      <c r="J5" s="120"/>
      <c r="K5" s="120"/>
      <c r="L5" s="120"/>
      <c r="M5" s="120"/>
    </row>
    <row r="6" spans="1:13" ht="11.25" customHeight="1">
      <c r="A6" s="117"/>
      <c r="B6" s="119" t="s">
        <v>584</v>
      </c>
      <c r="C6" s="121">
        <v>2</v>
      </c>
      <c r="D6" s="121">
        <v>2</v>
      </c>
      <c r="E6" s="121">
        <v>3</v>
      </c>
      <c r="F6" s="121">
        <v>3</v>
      </c>
      <c r="G6" s="121">
        <v>3</v>
      </c>
      <c r="H6" s="121">
        <v>0.5</v>
      </c>
      <c r="I6" s="121">
        <v>80</v>
      </c>
      <c r="J6" s="121">
        <v>0.5</v>
      </c>
      <c r="K6" s="121">
        <v>100</v>
      </c>
      <c r="L6" s="121" t="s">
        <v>588</v>
      </c>
      <c r="M6" s="121">
        <v>4</v>
      </c>
    </row>
    <row r="7" spans="1:13" ht="11.25" customHeight="1">
      <c r="A7" s="117"/>
      <c r="B7" s="119" t="s">
        <v>640</v>
      </c>
      <c r="C7" s="122">
        <v>2.75</v>
      </c>
      <c r="D7" s="122">
        <v>2.85</v>
      </c>
      <c r="E7" s="122">
        <v>2.9</v>
      </c>
      <c r="F7" s="122">
        <v>2.95</v>
      </c>
      <c r="G7" s="122">
        <v>3</v>
      </c>
      <c r="H7" s="122">
        <v>2.25</v>
      </c>
      <c r="I7" s="122">
        <v>4</v>
      </c>
      <c r="J7" s="122">
        <v>2.5</v>
      </c>
      <c r="K7" s="122">
        <v>4.5</v>
      </c>
      <c r="L7" s="121" t="s">
        <v>641</v>
      </c>
      <c r="M7" s="121">
        <v>1</v>
      </c>
    </row>
    <row r="8" spans="1:13" ht="11.25" customHeight="1">
      <c r="A8" s="117"/>
      <c r="B8" s="119" t="s">
        <v>590</v>
      </c>
      <c r="C8" s="122">
        <v>2.7</v>
      </c>
      <c r="D8" s="122">
        <v>2.8</v>
      </c>
      <c r="E8" s="122">
        <v>2.85</v>
      </c>
      <c r="F8" s="122">
        <v>2.9</v>
      </c>
      <c r="G8" s="122">
        <v>2.95</v>
      </c>
      <c r="H8" s="122">
        <v>2.2000000000000002</v>
      </c>
      <c r="I8" s="122">
        <v>3.95</v>
      </c>
      <c r="J8" s="122">
        <v>2.4500000000000002</v>
      </c>
      <c r="K8" s="122">
        <v>4.45</v>
      </c>
      <c r="L8" s="121"/>
      <c r="M8" s="121"/>
    </row>
    <row r="9" spans="1:13" ht="11.25" customHeight="1">
      <c r="A9" s="117"/>
      <c r="B9" s="119" t="s">
        <v>592</v>
      </c>
      <c r="C9" s="122">
        <v>0.02</v>
      </c>
      <c r="D9" s="122">
        <v>0.02</v>
      </c>
      <c r="E9" s="122">
        <v>0.02</v>
      </c>
      <c r="F9" s="122">
        <v>0.02</v>
      </c>
      <c r="G9" s="122">
        <v>0.02</v>
      </c>
      <c r="H9" s="122">
        <v>0.01</v>
      </c>
      <c r="I9" s="122">
        <v>7.0000000000000007E-2</v>
      </c>
      <c r="J9" s="122">
        <v>0.01</v>
      </c>
      <c r="K9" s="122">
        <v>7.0000000000000007E-2</v>
      </c>
      <c r="L9" s="121"/>
      <c r="M9" s="121">
        <v>1</v>
      </c>
    </row>
    <row r="10" spans="1:13" ht="11.25" customHeight="1">
      <c r="A10" s="123"/>
      <c r="B10" s="123" t="s">
        <v>642</v>
      </c>
      <c r="C10" s="124">
        <v>0</v>
      </c>
      <c r="D10" s="124">
        <v>0</v>
      </c>
      <c r="E10" s="124">
        <v>0</v>
      </c>
      <c r="F10" s="124">
        <v>0</v>
      </c>
      <c r="G10" s="124">
        <v>0</v>
      </c>
      <c r="H10" s="124">
        <v>0</v>
      </c>
      <c r="I10" s="124">
        <v>1</v>
      </c>
      <c r="J10" s="124">
        <v>0</v>
      </c>
      <c r="K10" s="124">
        <v>1</v>
      </c>
      <c r="L10" s="121"/>
      <c r="M10" s="121">
        <v>4</v>
      </c>
    </row>
    <row r="11" spans="1:13" ht="11.25" customHeight="1">
      <c r="A11" s="117"/>
      <c r="B11" s="119" t="s">
        <v>595</v>
      </c>
      <c r="C11" s="125">
        <v>0.5</v>
      </c>
      <c r="D11" s="125">
        <v>0.5</v>
      </c>
      <c r="E11" s="125">
        <v>0.5</v>
      </c>
      <c r="F11" s="125">
        <v>0.5</v>
      </c>
      <c r="G11" s="125">
        <v>0.5</v>
      </c>
      <c r="H11" s="125">
        <v>0</v>
      </c>
      <c r="I11" s="125">
        <v>1</v>
      </c>
      <c r="J11" s="125">
        <v>0</v>
      </c>
      <c r="K11" s="125">
        <v>1</v>
      </c>
      <c r="L11" s="121"/>
      <c r="M11" s="121">
        <v>4</v>
      </c>
    </row>
    <row r="12" spans="1:13" ht="11.25" customHeight="1">
      <c r="A12" s="117"/>
      <c r="B12" s="119" t="s">
        <v>596</v>
      </c>
      <c r="C12" s="121">
        <v>20</v>
      </c>
      <c r="D12" s="121">
        <v>20</v>
      </c>
      <c r="E12" s="121">
        <v>20</v>
      </c>
      <c r="F12" s="121">
        <v>20</v>
      </c>
      <c r="G12" s="121">
        <v>20</v>
      </c>
      <c r="H12" s="121">
        <v>15</v>
      </c>
      <c r="I12" s="121">
        <v>30</v>
      </c>
      <c r="J12" s="121">
        <v>15</v>
      </c>
      <c r="K12" s="121">
        <v>30</v>
      </c>
      <c r="L12" s="121" t="s">
        <v>594</v>
      </c>
      <c r="M12" s="121">
        <v>4</v>
      </c>
    </row>
    <row r="13" spans="1:13" ht="11.25" customHeight="1">
      <c r="A13" s="117"/>
      <c r="B13" s="119" t="s">
        <v>597</v>
      </c>
      <c r="C13" s="125">
        <v>0.6</v>
      </c>
      <c r="D13" s="125">
        <v>0.5</v>
      </c>
      <c r="E13" s="125">
        <v>0.4</v>
      </c>
      <c r="F13" s="125">
        <v>0.4</v>
      </c>
      <c r="G13" s="125">
        <v>0.4</v>
      </c>
      <c r="H13" s="125">
        <v>0.4</v>
      </c>
      <c r="I13" s="125">
        <v>0.8</v>
      </c>
      <c r="J13" s="125">
        <v>0.2</v>
      </c>
      <c r="K13" s="125">
        <v>0.8</v>
      </c>
      <c r="L13" s="120" t="s">
        <v>605</v>
      </c>
      <c r="M13" s="121">
        <v>4</v>
      </c>
    </row>
    <row r="14" spans="1:13" ht="11.25" customHeight="1">
      <c r="A14" s="117"/>
      <c r="B14" s="119" t="s">
        <v>643</v>
      </c>
      <c r="C14" s="126">
        <v>0.03</v>
      </c>
      <c r="D14" s="126">
        <v>0.03</v>
      </c>
      <c r="E14" s="126">
        <v>0.03</v>
      </c>
      <c r="F14" s="126">
        <v>0.03</v>
      </c>
      <c r="G14" s="126">
        <v>0.03</v>
      </c>
      <c r="H14" s="126">
        <v>0.02</v>
      </c>
      <c r="I14" s="126">
        <v>0.06</v>
      </c>
      <c r="J14" s="126">
        <v>0.01</v>
      </c>
      <c r="K14" s="126">
        <v>0.05</v>
      </c>
      <c r="L14" s="120"/>
      <c r="M14" s="121"/>
    </row>
    <row r="15" spans="1:13" ht="11.25" customHeight="1">
      <c r="A15" s="117" t="s">
        <v>644</v>
      </c>
      <c r="C15" s="121"/>
      <c r="D15" s="121"/>
      <c r="E15" s="121"/>
      <c r="F15" s="121"/>
      <c r="G15" s="121"/>
      <c r="H15" s="121"/>
      <c r="I15" s="121"/>
      <c r="J15" s="121"/>
      <c r="K15" s="121"/>
      <c r="L15" s="121"/>
      <c r="M15" s="121"/>
    </row>
    <row r="16" spans="1:13" ht="11.25" customHeight="1">
      <c r="A16" s="123"/>
      <c r="B16" s="123" t="s">
        <v>645</v>
      </c>
      <c r="C16" s="122">
        <v>0.05</v>
      </c>
      <c r="D16" s="122">
        <v>7.0000000000000007E-2</v>
      </c>
      <c r="E16" s="122">
        <v>0.08</v>
      </c>
      <c r="F16" s="122">
        <v>0.09</v>
      </c>
      <c r="G16" s="122">
        <v>0.1</v>
      </c>
      <c r="H16" s="122">
        <v>0.02</v>
      </c>
      <c r="I16" s="122">
        <v>0.1</v>
      </c>
      <c r="J16" s="122">
        <v>0.05</v>
      </c>
      <c r="K16" s="122">
        <v>0.2</v>
      </c>
      <c r="L16" s="121"/>
      <c r="M16" s="121"/>
    </row>
    <row r="17" spans="1:13" ht="11.25" customHeight="1">
      <c r="A17" s="123"/>
      <c r="B17" s="123" t="s">
        <v>646</v>
      </c>
      <c r="C17" s="122">
        <v>0.1</v>
      </c>
      <c r="D17" s="122">
        <v>0.14000000000000001</v>
      </c>
      <c r="E17" s="122">
        <v>0.16</v>
      </c>
      <c r="F17" s="122">
        <v>0.18</v>
      </c>
      <c r="G17" s="122">
        <v>0.2</v>
      </c>
      <c r="H17" s="122">
        <v>0.04</v>
      </c>
      <c r="I17" s="122">
        <v>0.2</v>
      </c>
      <c r="J17" s="122">
        <v>0.1</v>
      </c>
      <c r="K17" s="122">
        <v>0.4</v>
      </c>
      <c r="L17" s="121"/>
      <c r="M17" s="121"/>
    </row>
    <row r="18" spans="1:13" ht="11.25" customHeight="1">
      <c r="A18" s="123"/>
      <c r="B18" s="123" t="s">
        <v>647</v>
      </c>
      <c r="C18" s="122">
        <v>0.25</v>
      </c>
      <c r="D18" s="122">
        <v>0.25</v>
      </c>
      <c r="E18" s="122">
        <v>0.25</v>
      </c>
      <c r="F18" s="122">
        <v>0.25</v>
      </c>
      <c r="G18" s="122">
        <v>0.25</v>
      </c>
      <c r="H18" s="122">
        <v>0.1</v>
      </c>
      <c r="I18" s="122">
        <v>0.5</v>
      </c>
      <c r="J18" s="122">
        <v>0.1</v>
      </c>
      <c r="K18" s="122">
        <v>0.5</v>
      </c>
      <c r="L18" s="121" t="s">
        <v>607</v>
      </c>
      <c r="M18" s="121">
        <v>4</v>
      </c>
    </row>
    <row r="19" spans="1:13" ht="11.25" customHeight="1">
      <c r="A19" s="117"/>
      <c r="B19" s="119" t="s">
        <v>600</v>
      </c>
      <c r="C19" s="121">
        <v>0.25</v>
      </c>
      <c r="D19" s="121">
        <v>0.25</v>
      </c>
      <c r="E19" s="121">
        <v>0.25</v>
      </c>
      <c r="F19" s="121">
        <v>0.25</v>
      </c>
      <c r="G19" s="121">
        <v>0.25</v>
      </c>
      <c r="H19" s="121">
        <v>0.1</v>
      </c>
      <c r="I19" s="121">
        <v>0.5</v>
      </c>
      <c r="J19" s="121">
        <v>0.1</v>
      </c>
      <c r="K19" s="121">
        <v>0.25</v>
      </c>
      <c r="L19" s="121"/>
      <c r="M19" s="121">
        <v>4</v>
      </c>
    </row>
    <row r="20" spans="1:13" ht="11.25" customHeight="1">
      <c r="A20" s="117"/>
      <c r="B20" s="119" t="s">
        <v>601</v>
      </c>
      <c r="C20" s="121">
        <v>1</v>
      </c>
      <c r="D20" s="121">
        <v>1</v>
      </c>
      <c r="E20" s="121">
        <v>1</v>
      </c>
      <c r="F20" s="121">
        <v>1</v>
      </c>
      <c r="G20" s="121">
        <v>1</v>
      </c>
      <c r="H20" s="121">
        <v>0.5</v>
      </c>
      <c r="I20" s="121">
        <v>1.5</v>
      </c>
      <c r="J20" s="121">
        <v>0.5</v>
      </c>
      <c r="K20" s="121">
        <v>1.5</v>
      </c>
      <c r="L20" s="121"/>
      <c r="M20" s="121">
        <v>4</v>
      </c>
    </row>
    <row r="21" spans="1:13" ht="11.25" customHeight="1">
      <c r="A21" s="117" t="s">
        <v>648</v>
      </c>
      <c r="C21" s="121"/>
      <c r="D21" s="121"/>
      <c r="E21" s="121"/>
      <c r="F21" s="121"/>
      <c r="G21" s="121"/>
      <c r="H21" s="121"/>
      <c r="I21" s="121"/>
      <c r="J21" s="121"/>
      <c r="K21" s="121"/>
      <c r="L21" s="121"/>
      <c r="M21" s="121"/>
    </row>
    <row r="22" spans="1:13" ht="11.25" customHeight="1">
      <c r="A22" s="117"/>
      <c r="B22" s="119" t="s">
        <v>649</v>
      </c>
      <c r="C22" s="126">
        <v>1.55</v>
      </c>
      <c r="D22" s="126">
        <v>1.5</v>
      </c>
      <c r="E22" s="126">
        <v>1.45</v>
      </c>
      <c r="F22" s="126">
        <v>1.4</v>
      </c>
      <c r="G22" s="126">
        <v>1.35</v>
      </c>
      <c r="H22" s="126">
        <v>1.25</v>
      </c>
      <c r="I22" s="126">
        <v>1.8</v>
      </c>
      <c r="J22" s="126">
        <v>1.1000000000000001</v>
      </c>
      <c r="K22" s="126">
        <v>1.65</v>
      </c>
      <c r="L22" s="121" t="s">
        <v>619</v>
      </c>
      <c r="M22" s="121"/>
    </row>
    <row r="23" spans="1:13" ht="11.25" customHeight="1">
      <c r="A23" s="117"/>
      <c r="B23" s="119" t="s">
        <v>604</v>
      </c>
      <c r="C23" s="127">
        <v>0.4</v>
      </c>
      <c r="D23" s="127">
        <v>0.4</v>
      </c>
      <c r="E23" s="127">
        <v>0.4</v>
      </c>
      <c r="F23" s="127">
        <v>0.4</v>
      </c>
      <c r="G23" s="127">
        <v>0.4</v>
      </c>
      <c r="H23" s="127">
        <v>0.25</v>
      </c>
      <c r="I23" s="127">
        <v>0.6</v>
      </c>
      <c r="J23" s="127">
        <v>0.25</v>
      </c>
      <c r="K23" s="127">
        <v>0.7</v>
      </c>
      <c r="L23" s="121" t="s">
        <v>585</v>
      </c>
      <c r="M23" s="121">
        <v>1</v>
      </c>
    </row>
    <row r="24" spans="1:13" ht="11.25" customHeight="1">
      <c r="A24" s="117"/>
      <c r="B24" s="119" t="s">
        <v>651</v>
      </c>
      <c r="C24" s="127">
        <v>0.6</v>
      </c>
      <c r="D24" s="127">
        <v>0.6</v>
      </c>
      <c r="E24" s="127">
        <v>0.6</v>
      </c>
      <c r="F24" s="127">
        <v>0.6</v>
      </c>
      <c r="G24" s="127">
        <v>0.6</v>
      </c>
      <c r="H24" s="127">
        <v>0.4</v>
      </c>
      <c r="I24" s="127">
        <v>0.75</v>
      </c>
      <c r="J24" s="127">
        <v>0.3</v>
      </c>
      <c r="K24" s="127">
        <v>0.75</v>
      </c>
      <c r="L24" s="121" t="s">
        <v>585</v>
      </c>
      <c r="M24" s="121">
        <v>3</v>
      </c>
    </row>
    <row r="25" spans="1:13" ht="11.25" customHeight="1">
      <c r="A25" s="117"/>
      <c r="B25" s="119" t="s">
        <v>676</v>
      </c>
      <c r="C25" s="128">
        <v>2494</v>
      </c>
      <c r="D25" s="128">
        <v>2456</v>
      </c>
      <c r="E25" s="128">
        <v>2382</v>
      </c>
      <c r="F25" s="128">
        <v>2382</v>
      </c>
      <c r="G25" s="128">
        <v>2345</v>
      </c>
      <c r="H25" s="128"/>
      <c r="I25" s="128"/>
      <c r="J25" s="128"/>
      <c r="K25" s="128"/>
      <c r="L25" s="121"/>
      <c r="M25" s="121">
        <v>2</v>
      </c>
    </row>
    <row r="26" spans="1:13" ht="11.25" customHeight="1">
      <c r="A26" s="117"/>
      <c r="B26" s="119" t="s">
        <v>677</v>
      </c>
      <c r="C26" s="126">
        <v>3.6</v>
      </c>
      <c r="D26" s="126">
        <v>3.54</v>
      </c>
      <c r="E26" s="126">
        <v>3.43</v>
      </c>
      <c r="F26" s="126">
        <v>3.43</v>
      </c>
      <c r="G26" s="126">
        <v>3.39</v>
      </c>
      <c r="H26" s="126"/>
      <c r="I26" s="126"/>
      <c r="J26" s="126"/>
      <c r="K26" s="126"/>
      <c r="L26" s="121"/>
      <c r="M26" s="121">
        <v>1</v>
      </c>
    </row>
    <row r="27" spans="1:13" ht="11.25" customHeight="1">
      <c r="A27" s="117" t="s">
        <v>610</v>
      </c>
      <c r="C27" s="121"/>
      <c r="D27" s="121"/>
      <c r="E27" s="121"/>
      <c r="F27" s="121"/>
      <c r="G27" s="121"/>
      <c r="H27" s="121"/>
      <c r="I27" s="121"/>
      <c r="J27" s="121"/>
      <c r="K27" s="121"/>
      <c r="L27" s="121"/>
      <c r="M27" s="121"/>
    </row>
    <row r="28" spans="1:13" ht="11.25" customHeight="1">
      <c r="A28" s="117"/>
      <c r="B28" s="119" t="s">
        <v>654</v>
      </c>
      <c r="C28" s="128"/>
      <c r="D28" s="128"/>
      <c r="E28" s="128"/>
      <c r="F28" s="128"/>
      <c r="G28" s="128"/>
      <c r="H28" s="128"/>
      <c r="I28" s="128"/>
      <c r="J28" s="128"/>
      <c r="K28" s="128"/>
      <c r="L28" s="121"/>
      <c r="M28" s="121"/>
    </row>
    <row r="29" spans="1:13" ht="11.25" customHeight="1">
      <c r="A29" s="117"/>
      <c r="B29" s="119" t="s">
        <v>655</v>
      </c>
      <c r="C29" s="121">
        <v>0.23</v>
      </c>
      <c r="D29" s="121">
        <v>0.23</v>
      </c>
      <c r="E29" s="121">
        <v>0.23</v>
      </c>
      <c r="F29" s="121">
        <v>0.23</v>
      </c>
      <c r="G29" s="121">
        <v>0.23</v>
      </c>
      <c r="H29" s="121"/>
      <c r="I29" s="121"/>
      <c r="J29" s="121"/>
      <c r="K29" s="121"/>
      <c r="L29" s="121" t="s">
        <v>616</v>
      </c>
      <c r="M29" s="121"/>
    </row>
    <row r="30" spans="1:13" ht="11.25" customHeight="1">
      <c r="A30" s="117"/>
      <c r="B30" s="119" t="s">
        <v>656</v>
      </c>
      <c r="C30" s="127">
        <v>-0.15</v>
      </c>
      <c r="D30" s="127">
        <v>-0.1</v>
      </c>
      <c r="E30" s="127">
        <v>-0.05</v>
      </c>
      <c r="F30" s="127">
        <v>-0.05</v>
      </c>
      <c r="G30" s="127">
        <v>-0.05</v>
      </c>
      <c r="H30" s="127">
        <v>-0.05</v>
      </c>
      <c r="I30" s="127">
        <v>-0.2</v>
      </c>
      <c r="J30" s="127">
        <v>-0.05</v>
      </c>
      <c r="K30" s="127">
        <v>-0.15</v>
      </c>
      <c r="L30" s="121"/>
      <c r="M30" s="121" t="s">
        <v>650</v>
      </c>
    </row>
    <row r="31" spans="1:13" ht="11.25" customHeight="1">
      <c r="A31" s="117"/>
      <c r="B31" s="119" t="s">
        <v>657</v>
      </c>
      <c r="C31" s="129">
        <v>0.2</v>
      </c>
      <c r="D31" s="129">
        <v>0.15</v>
      </c>
      <c r="E31" s="129">
        <v>0.1</v>
      </c>
      <c r="F31" s="129">
        <v>0.1</v>
      </c>
      <c r="G31" s="129">
        <v>0.1</v>
      </c>
      <c r="H31" s="126">
        <v>0.05</v>
      </c>
      <c r="I31" s="126">
        <v>0.3</v>
      </c>
      <c r="J31" s="126">
        <v>0.05</v>
      </c>
      <c r="K31" s="126">
        <v>0.2</v>
      </c>
      <c r="L31" s="121"/>
      <c r="M31" s="121" t="s">
        <v>650</v>
      </c>
    </row>
    <row r="32" spans="1:13" ht="11.25" customHeight="1">
      <c r="A32" s="117"/>
      <c r="B32" s="130" t="s">
        <v>658</v>
      </c>
      <c r="C32" s="131">
        <f>MROUND(C22*C23*0.3,0.05)</f>
        <v>0.2</v>
      </c>
      <c r="D32" s="131">
        <f t="shared" ref="D32:K32" si="0">MROUND(D22*D23*0.3,0.05)</f>
        <v>0.2</v>
      </c>
      <c r="E32" s="131">
        <f t="shared" si="0"/>
        <v>0.15000000000000002</v>
      </c>
      <c r="F32" s="131">
        <f t="shared" si="0"/>
        <v>0.15000000000000002</v>
      </c>
      <c r="G32" s="131">
        <f t="shared" si="0"/>
        <v>0.15000000000000002</v>
      </c>
      <c r="H32" s="131">
        <f t="shared" si="0"/>
        <v>0.1</v>
      </c>
      <c r="I32" s="131">
        <f t="shared" si="0"/>
        <v>0.30000000000000004</v>
      </c>
      <c r="J32" s="131">
        <f t="shared" si="0"/>
        <v>0.1</v>
      </c>
      <c r="K32" s="131">
        <f t="shared" si="0"/>
        <v>0.35000000000000003</v>
      </c>
      <c r="L32" s="121"/>
      <c r="M32" s="121" t="s">
        <v>650</v>
      </c>
    </row>
    <row r="33" spans="1:13" ht="11.25" customHeight="1">
      <c r="A33" s="117"/>
      <c r="B33" s="119" t="s">
        <v>659</v>
      </c>
      <c r="C33" s="122">
        <v>4.45</v>
      </c>
      <c r="D33" s="122">
        <v>4.6500000000000004</v>
      </c>
      <c r="E33" s="122">
        <v>4.7</v>
      </c>
      <c r="F33" s="122">
        <v>4.8</v>
      </c>
      <c r="G33" s="122">
        <v>4.9000000000000004</v>
      </c>
      <c r="H33" s="122">
        <v>3.65</v>
      </c>
      <c r="I33" s="122">
        <v>6.5</v>
      </c>
      <c r="J33" s="122">
        <v>4.05</v>
      </c>
      <c r="K33" s="122">
        <v>7.3</v>
      </c>
      <c r="L33" s="121"/>
      <c r="M33" s="121" t="s">
        <v>650</v>
      </c>
    </row>
    <row r="34" spans="1:13" ht="11.25" customHeight="1">
      <c r="A34" s="132"/>
      <c r="B34" s="119" t="s">
        <v>660</v>
      </c>
      <c r="C34" s="122">
        <v>2.4</v>
      </c>
      <c r="D34" s="122">
        <v>2.4500000000000002</v>
      </c>
      <c r="E34" s="122">
        <v>2.5</v>
      </c>
      <c r="F34" s="122">
        <v>2.5499999999999998</v>
      </c>
      <c r="G34" s="122">
        <v>2.6</v>
      </c>
      <c r="H34" s="122">
        <v>2</v>
      </c>
      <c r="I34" s="122">
        <v>3.4</v>
      </c>
      <c r="J34" s="122">
        <v>2.2000000000000002</v>
      </c>
      <c r="K34" s="122">
        <v>3.8</v>
      </c>
      <c r="L34" s="121"/>
      <c r="M34" s="121" t="s">
        <v>650</v>
      </c>
    </row>
    <row r="35" spans="1:13" ht="11.25" customHeight="1">
      <c r="A35" s="132"/>
      <c r="B35" s="119" t="s">
        <v>661</v>
      </c>
      <c r="C35" s="122">
        <v>2.0499999999999998</v>
      </c>
      <c r="D35" s="122">
        <v>2.1</v>
      </c>
      <c r="E35" s="122">
        <v>2.15</v>
      </c>
      <c r="F35" s="122">
        <v>2.2000000000000002</v>
      </c>
      <c r="G35" s="122">
        <v>2.2000000000000002</v>
      </c>
      <c r="H35" s="122">
        <v>1.7</v>
      </c>
      <c r="I35" s="122">
        <v>2.85</v>
      </c>
      <c r="J35" s="122">
        <v>1.9</v>
      </c>
      <c r="K35" s="122">
        <v>3.2</v>
      </c>
      <c r="L35" s="121"/>
      <c r="M35" s="121" t="s">
        <v>650</v>
      </c>
    </row>
    <row r="36" spans="1:13" ht="11.25" customHeight="1" thickBot="1">
      <c r="A36" s="111"/>
      <c r="B36" s="111"/>
      <c r="C36" s="111"/>
      <c r="D36" s="111"/>
      <c r="E36" s="111"/>
      <c r="F36" s="111"/>
      <c r="G36" s="111"/>
      <c r="H36" s="111"/>
      <c r="I36" s="111"/>
      <c r="J36" s="111"/>
      <c r="K36" s="111"/>
      <c r="L36" s="111"/>
      <c r="M36" s="111"/>
    </row>
    <row r="37" spans="1:13" ht="11.25" customHeight="1">
      <c r="A37" s="132"/>
      <c r="B37" s="133"/>
      <c r="C37" s="134"/>
      <c r="D37" s="134"/>
      <c r="E37" s="134"/>
      <c r="F37" s="134"/>
      <c r="G37" s="134"/>
      <c r="H37" s="134"/>
      <c r="I37" s="134"/>
      <c r="J37" s="134"/>
      <c r="K37" s="134"/>
    </row>
    <row r="38" spans="1:13" ht="11.25" customHeight="1">
      <c r="A38" s="117" t="s">
        <v>622</v>
      </c>
    </row>
    <row r="39" spans="1:13" s="135" customFormat="1" ht="11.25" customHeight="1">
      <c r="A39" s="113" t="s">
        <v>585</v>
      </c>
      <c r="B39" s="135" t="s">
        <v>662</v>
      </c>
    </row>
    <row r="40" spans="1:13" s="135" customFormat="1" ht="11.25" customHeight="1">
      <c r="A40" s="113" t="s">
        <v>588</v>
      </c>
      <c r="B40" s="135" t="s">
        <v>663</v>
      </c>
    </row>
    <row r="41" spans="1:13" s="135" customFormat="1" ht="11.25" customHeight="1">
      <c r="A41" s="113" t="s">
        <v>625</v>
      </c>
      <c r="B41" s="135" t="s">
        <v>664</v>
      </c>
    </row>
    <row r="42" spans="1:13" s="135" customFormat="1" ht="11.25" customHeight="1">
      <c r="A42" s="113" t="s">
        <v>594</v>
      </c>
      <c r="B42" s="119" t="s">
        <v>665</v>
      </c>
    </row>
    <row r="43" spans="1:13" s="135" customFormat="1" ht="11.25" customHeight="1">
      <c r="A43" s="113" t="s">
        <v>605</v>
      </c>
      <c r="B43" s="135" t="s">
        <v>666</v>
      </c>
    </row>
    <row r="44" spans="1:13" ht="11.25" customHeight="1">
      <c r="A44" s="113" t="s">
        <v>607</v>
      </c>
      <c r="B44" s="135" t="s">
        <v>667</v>
      </c>
    </row>
    <row r="45" spans="1:13" ht="11.25" customHeight="1">
      <c r="A45" s="113" t="s">
        <v>619</v>
      </c>
      <c r="B45" s="135" t="s">
        <v>668</v>
      </c>
    </row>
    <row r="46" spans="1:13" ht="11.25" customHeight="1">
      <c r="A46" s="113" t="s">
        <v>612</v>
      </c>
      <c r="B46" s="135" t="s">
        <v>669</v>
      </c>
    </row>
    <row r="47" spans="1:13" ht="11.25" customHeight="1">
      <c r="A47" s="113" t="s">
        <v>616</v>
      </c>
      <c r="B47" s="135" t="s">
        <v>670</v>
      </c>
    </row>
    <row r="48" spans="1:13" ht="11.25" customHeight="1">
      <c r="A48" s="135"/>
      <c r="B48" s="135"/>
    </row>
    <row r="49" spans="1:2" s="135" customFormat="1" ht="11.25" customHeight="1">
      <c r="A49" s="117" t="s">
        <v>633</v>
      </c>
      <c r="B49" s="119"/>
    </row>
    <row r="50" spans="1:2" s="135" customFormat="1" ht="11.25" customHeight="1">
      <c r="A50" s="87">
        <v>1</v>
      </c>
      <c r="B50" s="135" t="s">
        <v>671</v>
      </c>
    </row>
    <row r="51" spans="1:2" s="135" customFormat="1" ht="11.25" customHeight="1">
      <c r="A51" s="87">
        <v>2</v>
      </c>
      <c r="B51" s="135" t="s">
        <v>678</v>
      </c>
    </row>
    <row r="52" spans="1:2" s="135" customFormat="1" ht="11.25" customHeight="1">
      <c r="A52" s="87">
        <v>3</v>
      </c>
      <c r="B52" s="119" t="s">
        <v>672</v>
      </c>
    </row>
    <row r="53" spans="1:2" ht="11.25" customHeight="1">
      <c r="A53" s="87">
        <v>4</v>
      </c>
      <c r="B53" s="119" t="s">
        <v>673</v>
      </c>
    </row>
    <row r="54" spans="1:2" ht="11.25" customHeight="1">
      <c r="A54" s="117"/>
    </row>
    <row r="55" spans="1:2" ht="11.25" customHeight="1">
      <c r="A55" s="117"/>
    </row>
    <row r="56" spans="1:2" ht="11.25" customHeight="1">
      <c r="A56" s="117"/>
    </row>
    <row r="57" spans="1:2" ht="11.25" customHeight="1">
      <c r="A57" s="117"/>
    </row>
    <row r="58" spans="1:2" ht="11.25" customHeight="1">
      <c r="A58" s="117"/>
    </row>
    <row r="59" spans="1:2" ht="11.25" customHeight="1">
      <c r="A59" s="117"/>
    </row>
    <row r="60" spans="1:2" ht="11.25" customHeight="1">
      <c r="A60" s="117"/>
    </row>
    <row r="61" spans="1:2" ht="11.25" customHeight="1">
      <c r="A61" s="117"/>
    </row>
    <row r="62" spans="1:2" ht="11.25" customHeight="1">
      <c r="A62" s="117"/>
    </row>
    <row r="63" spans="1:2" ht="11.25" customHeight="1">
      <c r="A63" s="117"/>
    </row>
    <row r="64" spans="1:2" ht="11.25" customHeight="1">
      <c r="A64" s="117"/>
    </row>
    <row r="65" spans="1:1" ht="11.25" customHeight="1">
      <c r="A65" s="117"/>
    </row>
    <row r="66" spans="1:1" ht="11.25" customHeight="1">
      <c r="A66" s="117"/>
    </row>
    <row r="67" spans="1:1" ht="11.25" customHeight="1">
      <c r="A67" s="117"/>
    </row>
    <row r="68" spans="1:1" ht="11.25" customHeight="1">
      <c r="A68" s="117"/>
    </row>
    <row r="69" spans="1:1" ht="11.25" customHeight="1">
      <c r="A69" s="117"/>
    </row>
    <row r="70" spans="1:1" ht="11.25" customHeight="1">
      <c r="A70" s="117"/>
    </row>
    <row r="71" spans="1:1" ht="11.25" customHeight="1">
      <c r="A71" s="117"/>
    </row>
    <row r="72" spans="1:1" ht="11.25" customHeight="1">
      <c r="A72" s="117"/>
    </row>
    <row r="73" spans="1:1" ht="11.25" customHeight="1">
      <c r="A73" s="117"/>
    </row>
    <row r="74" spans="1:1" ht="11.25" customHeight="1">
      <c r="A74" s="117"/>
    </row>
    <row r="75" spans="1:1" ht="11.25" customHeight="1">
      <c r="A75" s="117"/>
    </row>
    <row r="76" spans="1:1" ht="11.25" customHeight="1">
      <c r="A76" s="117"/>
    </row>
    <row r="77" spans="1:1" ht="11.25" customHeight="1">
      <c r="A77" s="117"/>
    </row>
    <row r="78" spans="1:1" ht="11.25" customHeight="1">
      <c r="A78" s="117"/>
    </row>
    <row r="79" spans="1:1" ht="11.25" customHeight="1">
      <c r="A79" s="117"/>
    </row>
    <row r="80" spans="1:1" ht="11.25" customHeight="1">
      <c r="A80" s="117"/>
    </row>
    <row r="81" spans="1:1" ht="11.25" customHeight="1">
      <c r="A81" s="117"/>
    </row>
    <row r="82" spans="1:1" ht="11.25" customHeight="1">
      <c r="A82" s="117"/>
    </row>
    <row r="83" spans="1:1" ht="11.25" customHeight="1">
      <c r="A83" s="117"/>
    </row>
    <row r="84" spans="1:1" ht="11.25" customHeight="1">
      <c r="A84" s="117"/>
    </row>
    <row r="85" spans="1:1" ht="11.25" customHeight="1">
      <c r="A85" s="117"/>
    </row>
    <row r="86" spans="1:1" ht="11.25" customHeight="1">
      <c r="A86" s="117"/>
    </row>
    <row r="87" spans="1:1" ht="11.25" customHeight="1">
      <c r="A87" s="117"/>
    </row>
    <row r="88" spans="1:1" ht="11.25" customHeight="1">
      <c r="A88" s="117"/>
    </row>
    <row r="89" spans="1:1" ht="11.25" customHeight="1">
      <c r="A89" s="117"/>
    </row>
    <row r="90" spans="1:1" ht="11.25" customHeight="1">
      <c r="A90" s="117"/>
    </row>
    <row r="91" spans="1:1" ht="11.25" customHeight="1">
      <c r="A91" s="117"/>
    </row>
    <row r="92" spans="1:1" ht="11.25" customHeight="1">
      <c r="A92" s="117"/>
    </row>
    <row r="93" spans="1:1" ht="11.25" customHeight="1">
      <c r="A93" s="117"/>
    </row>
    <row r="94" spans="1:1" ht="11.25" customHeight="1">
      <c r="A94" s="117"/>
    </row>
    <row r="95" spans="1:1" ht="11.25" customHeight="1">
      <c r="A95" s="117"/>
    </row>
    <row r="96" spans="1:1" ht="11.25" customHeight="1">
      <c r="A96" s="117"/>
    </row>
    <row r="97" spans="1:1" ht="11.25" customHeight="1">
      <c r="A97" s="117"/>
    </row>
    <row r="98" spans="1:1" ht="11.25" customHeight="1">
      <c r="A98" s="117"/>
    </row>
    <row r="99" spans="1:1" ht="11.25" customHeight="1">
      <c r="A99" s="117"/>
    </row>
    <row r="100" spans="1:1" ht="11.25" customHeight="1">
      <c r="A100" s="117"/>
    </row>
    <row r="101" spans="1:1" ht="11.25" customHeight="1">
      <c r="A101" s="117"/>
    </row>
    <row r="102" spans="1:1" ht="11.25" customHeight="1">
      <c r="A102" s="117"/>
    </row>
    <row r="103" spans="1:1" ht="11.25" customHeight="1">
      <c r="A103" s="117"/>
    </row>
    <row r="104" spans="1:1" ht="11.25" customHeight="1">
      <c r="A104" s="117"/>
    </row>
    <row r="105" spans="1:1" ht="11.25" customHeight="1">
      <c r="A105" s="117"/>
    </row>
    <row r="106" spans="1:1" ht="11.25" customHeight="1">
      <c r="A106" s="117"/>
    </row>
    <row r="107" spans="1:1" ht="11.25" customHeight="1">
      <c r="A107" s="117"/>
    </row>
    <row r="108" spans="1:1" ht="11.25" customHeight="1">
      <c r="A108" s="117"/>
    </row>
    <row r="109" spans="1:1" ht="11.25" customHeight="1">
      <c r="A109" s="117"/>
    </row>
    <row r="110" spans="1:1" ht="11.25" customHeight="1">
      <c r="A110" s="117"/>
    </row>
    <row r="111" spans="1:1" ht="11.25" customHeight="1">
      <c r="A111" s="117"/>
    </row>
    <row r="112" spans="1:1" ht="11.25" customHeight="1">
      <c r="A112" s="117"/>
    </row>
    <row r="113" spans="1:1" ht="11.25" customHeight="1">
      <c r="A113" s="117"/>
    </row>
    <row r="114" spans="1:1" ht="11.25" customHeight="1">
      <c r="A114" s="117"/>
    </row>
    <row r="115" spans="1:1" ht="11.25" customHeight="1">
      <c r="A115" s="117"/>
    </row>
    <row r="116" spans="1:1" ht="11.25" customHeight="1">
      <c r="A116" s="117"/>
    </row>
    <row r="117" spans="1:1" ht="11.25" customHeight="1">
      <c r="A117" s="117"/>
    </row>
    <row r="118" spans="1:1" ht="11.25" customHeight="1">
      <c r="A118" s="117"/>
    </row>
    <row r="119" spans="1:1" ht="11.25" customHeight="1">
      <c r="A119" s="117"/>
    </row>
    <row r="120" spans="1:1" ht="11.25" customHeight="1">
      <c r="A120" s="117"/>
    </row>
    <row r="121" spans="1:1" ht="11.25" customHeight="1">
      <c r="A121" s="117"/>
    </row>
    <row r="122" spans="1:1" ht="11.25" customHeight="1">
      <c r="A122" s="117"/>
    </row>
    <row r="123" spans="1:1" ht="11.25" customHeight="1">
      <c r="A123" s="117"/>
    </row>
    <row r="124" spans="1:1" ht="11.25" customHeight="1">
      <c r="A124" s="117"/>
    </row>
    <row r="125" spans="1:1" ht="11.25" customHeight="1">
      <c r="A125" s="117"/>
    </row>
    <row r="126" spans="1:1" ht="11.25" customHeight="1">
      <c r="A126" s="117"/>
    </row>
    <row r="127" spans="1:1" ht="11.25" customHeight="1">
      <c r="A127" s="117"/>
    </row>
    <row r="128" spans="1:1" ht="11.25" customHeight="1">
      <c r="A128" s="117"/>
    </row>
    <row r="129" spans="1:1" ht="11.25" customHeight="1">
      <c r="A129" s="117"/>
    </row>
    <row r="130" spans="1:1" ht="11.25" customHeight="1">
      <c r="A130" s="117"/>
    </row>
    <row r="131" spans="1:1" ht="11.25" customHeight="1">
      <c r="A131" s="117"/>
    </row>
    <row r="132" spans="1:1" ht="11.25" customHeight="1">
      <c r="A132" s="117"/>
    </row>
    <row r="133" spans="1:1" ht="11.25" customHeight="1">
      <c r="A133" s="117"/>
    </row>
    <row r="134" spans="1:1" ht="11.25" customHeight="1">
      <c r="A134" s="117"/>
    </row>
    <row r="135" spans="1:1" ht="11.25" customHeight="1">
      <c r="A135" s="117"/>
    </row>
    <row r="136" spans="1:1" ht="11.25" customHeight="1">
      <c r="A136" s="117"/>
    </row>
    <row r="137" spans="1:1" ht="11.25" customHeight="1">
      <c r="A137" s="117"/>
    </row>
    <row r="138" spans="1:1" ht="11.25" customHeight="1">
      <c r="A138" s="117"/>
    </row>
    <row r="139" spans="1:1" ht="11.25" customHeight="1">
      <c r="A139" s="117"/>
    </row>
    <row r="140" spans="1:1" ht="11.25" customHeight="1">
      <c r="A140" s="117"/>
    </row>
    <row r="141" spans="1:1" ht="11.25" customHeight="1">
      <c r="A141" s="117"/>
    </row>
    <row r="142" spans="1:1" ht="11.25" customHeight="1">
      <c r="A142" s="117"/>
    </row>
    <row r="143" spans="1:1" ht="11.25" customHeight="1">
      <c r="A143" s="117"/>
    </row>
    <row r="144" spans="1:1" ht="11.25" customHeight="1">
      <c r="A144" s="117"/>
    </row>
    <row r="145" spans="1:1" ht="11.25" customHeight="1">
      <c r="A145" s="117"/>
    </row>
    <row r="146" spans="1:1" ht="11.25" customHeight="1">
      <c r="A146" s="117"/>
    </row>
    <row r="147" spans="1:1" ht="11.25" customHeight="1">
      <c r="A147" s="117"/>
    </row>
    <row r="148" spans="1:1" ht="11.25" customHeight="1">
      <c r="A148" s="117"/>
    </row>
    <row r="149" spans="1:1" ht="11.25" customHeight="1">
      <c r="A149" s="117"/>
    </row>
    <row r="150" spans="1:1" ht="11.25" customHeight="1">
      <c r="A150" s="117"/>
    </row>
    <row r="151" spans="1:1" ht="11.25" customHeight="1">
      <c r="A151" s="117"/>
    </row>
    <row r="152" spans="1:1" ht="11.25" customHeight="1">
      <c r="A152" s="117"/>
    </row>
    <row r="153" spans="1:1" ht="11.25" customHeight="1">
      <c r="A153" s="117"/>
    </row>
    <row r="154" spans="1:1" ht="11.25" customHeight="1">
      <c r="A154" s="117"/>
    </row>
    <row r="155" spans="1:1" ht="11.25" customHeight="1">
      <c r="A155" s="117"/>
    </row>
    <row r="156" spans="1:1" ht="11.25" customHeight="1">
      <c r="A156" s="117"/>
    </row>
    <row r="157" spans="1:1" ht="11.25" customHeight="1">
      <c r="A157" s="117"/>
    </row>
    <row r="158" spans="1:1" ht="11.25" customHeight="1">
      <c r="A158" s="117"/>
    </row>
    <row r="159" spans="1:1" ht="11.25" customHeight="1">
      <c r="A159" s="117"/>
    </row>
    <row r="160" spans="1:1" ht="11.25" customHeight="1">
      <c r="A160" s="117"/>
    </row>
    <row r="161" spans="1:1" ht="11.25" customHeight="1">
      <c r="A161" s="117"/>
    </row>
    <row r="162" spans="1:1" ht="11.25" customHeight="1">
      <c r="A162" s="117"/>
    </row>
    <row r="163" spans="1:1" ht="11.25" customHeight="1">
      <c r="A163" s="117"/>
    </row>
    <row r="164" spans="1:1" ht="11.25" customHeight="1">
      <c r="A164" s="117"/>
    </row>
    <row r="165" spans="1:1" ht="11.25" customHeight="1">
      <c r="A165" s="117"/>
    </row>
    <row r="166" spans="1:1" ht="11.25" customHeight="1">
      <c r="A166" s="117"/>
    </row>
    <row r="167" spans="1:1" ht="11.25" customHeight="1">
      <c r="A167" s="117"/>
    </row>
    <row r="168" spans="1:1" ht="11.25" customHeight="1">
      <c r="A168" s="117"/>
    </row>
    <row r="169" spans="1:1" ht="11.25" customHeight="1">
      <c r="A169" s="117"/>
    </row>
    <row r="170" spans="1:1" ht="11.25" customHeight="1">
      <c r="A170" s="117"/>
    </row>
    <row r="171" spans="1:1" ht="11.25" customHeight="1">
      <c r="A171" s="117"/>
    </row>
    <row r="172" spans="1:1" ht="11.25" customHeight="1">
      <c r="A172" s="117"/>
    </row>
    <row r="173" spans="1:1" ht="11.25" customHeight="1">
      <c r="A173" s="117"/>
    </row>
    <row r="174" spans="1:1" ht="11.25" customHeight="1">
      <c r="A174" s="117"/>
    </row>
    <row r="175" spans="1:1" ht="11.25" customHeight="1">
      <c r="A175" s="117"/>
    </row>
    <row r="176" spans="1:1" ht="11.25" customHeight="1">
      <c r="A176" s="117"/>
    </row>
    <row r="177" spans="1:1" ht="11.25" customHeight="1">
      <c r="A177" s="117"/>
    </row>
    <row r="178" spans="1:1" ht="11.25" customHeight="1">
      <c r="A178" s="117"/>
    </row>
    <row r="179" spans="1:1" ht="11.25" customHeight="1">
      <c r="A179" s="117"/>
    </row>
    <row r="180" spans="1:1" ht="11.25" customHeight="1">
      <c r="A180" s="117"/>
    </row>
    <row r="181" spans="1:1" ht="11.25" customHeight="1">
      <c r="A181" s="117"/>
    </row>
    <row r="182" spans="1:1" ht="11.25" customHeight="1">
      <c r="A182" s="117"/>
    </row>
    <row r="183" spans="1:1" ht="11.25" customHeight="1">
      <c r="A183" s="117"/>
    </row>
    <row r="184" spans="1:1" ht="11.25" customHeight="1">
      <c r="A184" s="117"/>
    </row>
    <row r="185" spans="1:1" ht="11.25" customHeight="1">
      <c r="A185" s="117"/>
    </row>
    <row r="186" spans="1:1" ht="11.25" customHeight="1">
      <c r="A186" s="117"/>
    </row>
    <row r="187" spans="1:1" ht="11.25" customHeight="1">
      <c r="A187" s="117"/>
    </row>
    <row r="188" spans="1:1" ht="11.25" customHeight="1">
      <c r="A188" s="117"/>
    </row>
    <row r="189" spans="1:1" ht="11.25" customHeight="1">
      <c r="A189" s="117"/>
    </row>
    <row r="190" spans="1:1" ht="11.25" customHeight="1">
      <c r="A190" s="117"/>
    </row>
    <row r="191" spans="1:1" ht="11.25" customHeight="1">
      <c r="A191" s="117"/>
    </row>
    <row r="192" spans="1:1" ht="11.25" customHeight="1">
      <c r="A192" s="117"/>
    </row>
  </sheetData>
  <mergeCells count="1">
    <mergeCell ref="C1:M1"/>
  </mergeCells>
  <hyperlinks>
    <hyperlink ref="C1" location="INDEX" display="High-temperature heat pumps up to 150 °C" xr:uid="{C76D4A99-A37E-457E-AE7C-4238DD524E50}"/>
  </hyperlink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1751-3C51-414C-BD49-F45ACAAB91FB}">
  <dimension ref="A1:M39"/>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7" width="9.140625" style="87"/>
    <col min="18" max="18" width="27.28515625" style="87" bestFit="1" customWidth="1"/>
    <col min="19" max="32" width="9.140625" style="87"/>
    <col min="33" max="33" width="10.5703125" style="87" customWidth="1"/>
    <col min="34" max="16384" width="9.140625" style="87"/>
  </cols>
  <sheetData>
    <row r="1" spans="1:13" ht="11.25" customHeight="1">
      <c r="A1" s="84" t="s">
        <v>557</v>
      </c>
      <c r="B1" s="118"/>
      <c r="C1" s="435" t="s">
        <v>679</v>
      </c>
      <c r="D1" s="434"/>
      <c r="E1" s="434"/>
      <c r="F1" s="434"/>
      <c r="G1" s="434"/>
      <c r="H1" s="434"/>
      <c r="I1" s="434"/>
      <c r="J1" s="434"/>
      <c r="K1" s="434"/>
      <c r="L1" s="434"/>
      <c r="M1" s="434"/>
    </row>
    <row r="2" spans="1:13" ht="11.25" customHeight="1">
      <c r="A2" s="88" t="s">
        <v>573</v>
      </c>
      <c r="B2" s="88"/>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0"/>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3" t="s">
        <v>582</v>
      </c>
      <c r="C4" s="86"/>
      <c r="D4" s="86"/>
      <c r="E4" s="86"/>
      <c r="F4" s="86"/>
      <c r="G4" s="86"/>
      <c r="H4" s="86"/>
      <c r="I4" s="86"/>
      <c r="J4" s="86"/>
      <c r="K4" s="86"/>
      <c r="L4" s="86"/>
      <c r="M4" s="86"/>
    </row>
    <row r="5" spans="1:13" ht="11.25" customHeight="1">
      <c r="A5" s="95" t="s">
        <v>583</v>
      </c>
      <c r="E5" s="98"/>
      <c r="H5" s="100"/>
      <c r="I5" s="100"/>
      <c r="J5" s="100"/>
      <c r="K5" s="100"/>
    </row>
    <row r="6" spans="1:13" ht="11.25" customHeight="1">
      <c r="B6" s="112" t="s">
        <v>584</v>
      </c>
      <c r="C6" s="97">
        <v>20</v>
      </c>
      <c r="D6" s="97">
        <v>20</v>
      </c>
      <c r="E6" s="97">
        <v>20</v>
      </c>
      <c r="F6" s="97">
        <v>20</v>
      </c>
      <c r="G6" s="97">
        <v>20</v>
      </c>
      <c r="H6" s="97">
        <v>5</v>
      </c>
      <c r="I6" s="97">
        <v>50</v>
      </c>
      <c r="J6" s="97">
        <v>5</v>
      </c>
      <c r="K6" s="97">
        <v>50</v>
      </c>
      <c r="L6" s="97" t="s">
        <v>585</v>
      </c>
      <c r="M6" s="97">
        <v>1</v>
      </c>
    </row>
    <row r="7" spans="1:13" ht="11.25" customHeight="1">
      <c r="B7" s="112" t="s">
        <v>587</v>
      </c>
      <c r="C7" s="99">
        <v>12.6</v>
      </c>
      <c r="D7" s="99">
        <v>13.2</v>
      </c>
      <c r="E7" s="99">
        <v>13.5</v>
      </c>
      <c r="F7" s="99">
        <v>13.8</v>
      </c>
      <c r="G7" s="99">
        <v>14.3</v>
      </c>
      <c r="H7" s="99">
        <v>10</v>
      </c>
      <c r="I7" s="99">
        <v>15.12</v>
      </c>
      <c r="J7" s="99">
        <v>10.56</v>
      </c>
      <c r="K7" s="99">
        <v>17.16</v>
      </c>
      <c r="L7" s="97" t="s">
        <v>588</v>
      </c>
      <c r="M7" s="97">
        <v>1</v>
      </c>
    </row>
    <row r="8" spans="1:13" ht="11.25" customHeight="1">
      <c r="B8" s="112" t="s">
        <v>590</v>
      </c>
      <c r="C8" s="99">
        <f>C7-50%</f>
        <v>12.1</v>
      </c>
      <c r="D8" s="99">
        <f t="shared" ref="D8:K8" si="0">D7-50%</f>
        <v>12.7</v>
      </c>
      <c r="E8" s="99">
        <f t="shared" si="0"/>
        <v>13</v>
      </c>
      <c r="F8" s="99">
        <f t="shared" si="0"/>
        <v>13.3</v>
      </c>
      <c r="G8" s="99">
        <f t="shared" si="0"/>
        <v>13.8</v>
      </c>
      <c r="H8" s="99">
        <f t="shared" si="0"/>
        <v>9.5</v>
      </c>
      <c r="I8" s="99">
        <f t="shared" si="0"/>
        <v>14.62</v>
      </c>
      <c r="J8" s="99">
        <f t="shared" si="0"/>
        <v>10.06</v>
      </c>
      <c r="K8" s="99">
        <f t="shared" si="0"/>
        <v>16.66</v>
      </c>
      <c r="L8" s="97"/>
      <c r="M8" s="97"/>
    </row>
    <row r="9" spans="1:13" ht="11.25" customHeight="1">
      <c r="B9" s="112" t="s">
        <v>592</v>
      </c>
      <c r="C9" s="99">
        <v>0.01</v>
      </c>
      <c r="D9" s="99">
        <v>0.01</v>
      </c>
      <c r="E9" s="99">
        <v>0.01</v>
      </c>
      <c r="F9" s="99">
        <v>0.01</v>
      </c>
      <c r="G9" s="99">
        <v>0.01</v>
      </c>
      <c r="H9" s="137">
        <v>0</v>
      </c>
      <c r="I9" s="99">
        <v>0.02</v>
      </c>
      <c r="J9" s="137">
        <v>0</v>
      </c>
      <c r="K9" s="99">
        <v>0.02</v>
      </c>
      <c r="L9" s="97"/>
      <c r="M9" s="97">
        <v>3</v>
      </c>
    </row>
    <row r="10" spans="1:13" ht="11.25" customHeight="1">
      <c r="B10" s="112" t="s">
        <v>593</v>
      </c>
      <c r="C10" s="137">
        <v>0</v>
      </c>
      <c r="D10" s="137">
        <v>0</v>
      </c>
      <c r="E10" s="137">
        <v>0</v>
      </c>
      <c r="F10" s="137">
        <v>0</v>
      </c>
      <c r="G10" s="137">
        <v>0</v>
      </c>
      <c r="H10" s="137">
        <v>0</v>
      </c>
      <c r="I10" s="99">
        <v>0.01</v>
      </c>
      <c r="J10" s="137">
        <v>0</v>
      </c>
      <c r="K10" s="99">
        <v>0.01</v>
      </c>
      <c r="L10" s="97"/>
      <c r="M10" s="97">
        <v>2</v>
      </c>
    </row>
    <row r="11" spans="1:13" ht="11.25" customHeight="1">
      <c r="B11" s="112" t="s">
        <v>595</v>
      </c>
      <c r="C11" s="103">
        <v>0.5</v>
      </c>
      <c r="D11" s="103">
        <v>0.5</v>
      </c>
      <c r="E11" s="103">
        <v>0.5</v>
      </c>
      <c r="F11" s="103">
        <v>0.5</v>
      </c>
      <c r="G11" s="103">
        <v>0.5</v>
      </c>
      <c r="H11" s="103">
        <v>0</v>
      </c>
      <c r="I11" s="103">
        <v>1</v>
      </c>
      <c r="J11" s="103">
        <v>0</v>
      </c>
      <c r="K11" s="103">
        <v>1</v>
      </c>
      <c r="L11" s="97"/>
      <c r="M11" s="97">
        <v>2</v>
      </c>
    </row>
    <row r="12" spans="1:13" ht="11.25" customHeight="1">
      <c r="B12" s="112" t="s">
        <v>596</v>
      </c>
      <c r="C12" s="103">
        <v>25</v>
      </c>
      <c r="D12" s="103">
        <v>25</v>
      </c>
      <c r="E12" s="103">
        <v>25</v>
      </c>
      <c r="F12" s="103">
        <v>25</v>
      </c>
      <c r="G12" s="103">
        <v>25</v>
      </c>
      <c r="H12" s="103">
        <v>15</v>
      </c>
      <c r="I12" s="103">
        <v>35</v>
      </c>
      <c r="J12" s="103">
        <v>15</v>
      </c>
      <c r="K12" s="103">
        <v>35</v>
      </c>
      <c r="L12" s="97"/>
      <c r="M12" s="97" t="s">
        <v>586</v>
      </c>
    </row>
    <row r="13" spans="1:13" ht="11.25" customHeight="1">
      <c r="B13" s="112" t="s">
        <v>597</v>
      </c>
      <c r="C13" s="103">
        <v>0.1</v>
      </c>
      <c r="D13" s="103">
        <v>0.1</v>
      </c>
      <c r="E13" s="103">
        <v>0.1</v>
      </c>
      <c r="F13" s="103">
        <v>0.1</v>
      </c>
      <c r="G13" s="103">
        <v>0.1</v>
      </c>
      <c r="H13" s="103">
        <v>0.05</v>
      </c>
      <c r="I13" s="103">
        <v>0.2</v>
      </c>
      <c r="J13" s="103">
        <v>0.05</v>
      </c>
      <c r="K13" s="103">
        <v>0.2</v>
      </c>
      <c r="L13" s="97"/>
      <c r="M13" s="97" t="s">
        <v>589</v>
      </c>
    </row>
    <row r="14" spans="1:13" ht="11.25" customHeight="1">
      <c r="A14" s="100" t="s">
        <v>598</v>
      </c>
      <c r="B14" s="100"/>
      <c r="C14" s="102"/>
      <c r="D14" s="102"/>
      <c r="E14" s="102"/>
      <c r="F14" s="102"/>
      <c r="G14" s="102"/>
      <c r="H14" s="100"/>
      <c r="I14" s="100"/>
      <c r="J14" s="100"/>
      <c r="K14" s="100"/>
      <c r="L14" s="98"/>
      <c r="M14" s="98"/>
    </row>
    <row r="15" spans="1:13" ht="11.25" customHeight="1">
      <c r="B15" s="112" t="s">
        <v>599</v>
      </c>
      <c r="C15" s="99">
        <v>0.15</v>
      </c>
      <c r="D15" s="99">
        <v>0.15</v>
      </c>
      <c r="E15" s="99">
        <v>0.15</v>
      </c>
      <c r="F15" s="99">
        <v>0.15</v>
      </c>
      <c r="G15" s="99">
        <v>0.15</v>
      </c>
      <c r="H15" s="97"/>
      <c r="I15" s="97"/>
      <c r="J15" s="97"/>
      <c r="K15" s="97"/>
      <c r="L15" s="98"/>
      <c r="M15" s="98">
        <v>4</v>
      </c>
    </row>
    <row r="16" spans="1:13" ht="11.25" customHeight="1">
      <c r="B16" s="112" t="s">
        <v>600</v>
      </c>
      <c r="C16" s="97">
        <v>0.5</v>
      </c>
      <c r="D16" s="97">
        <v>0.5</v>
      </c>
      <c r="E16" s="97">
        <v>0.5</v>
      </c>
      <c r="F16" s="97">
        <v>0.5</v>
      </c>
      <c r="G16" s="97">
        <v>0.5</v>
      </c>
      <c r="H16" s="97"/>
      <c r="I16" s="97"/>
      <c r="J16" s="97"/>
      <c r="K16" s="97"/>
      <c r="L16" s="98"/>
      <c r="M16" s="98">
        <v>3</v>
      </c>
    </row>
    <row r="17" spans="1:13" ht="11.25" customHeight="1">
      <c r="B17" s="112" t="s">
        <v>601</v>
      </c>
      <c r="C17" s="97">
        <v>1</v>
      </c>
      <c r="D17" s="97">
        <v>1</v>
      </c>
      <c r="E17" s="97">
        <v>1</v>
      </c>
      <c r="F17" s="97">
        <v>1</v>
      </c>
      <c r="G17" s="97">
        <v>1</v>
      </c>
      <c r="H17" s="97"/>
      <c r="I17" s="97"/>
      <c r="J17" s="97"/>
      <c r="K17" s="97"/>
      <c r="L17" s="98"/>
      <c r="M17" s="98">
        <v>3</v>
      </c>
    </row>
    <row r="18" spans="1:13" ht="11.25" customHeight="1">
      <c r="A18" s="100" t="s">
        <v>602</v>
      </c>
      <c r="B18" s="100"/>
      <c r="C18" s="102"/>
      <c r="D18" s="102"/>
      <c r="E18" s="102"/>
      <c r="F18" s="102"/>
      <c r="G18" s="102"/>
      <c r="H18" s="100"/>
      <c r="I18" s="100"/>
      <c r="J18" s="100"/>
      <c r="K18" s="100"/>
      <c r="L18" s="98"/>
      <c r="M18" s="98"/>
    </row>
    <row r="19" spans="1:13" ht="11.25" customHeight="1">
      <c r="B19" s="112" t="s">
        <v>680</v>
      </c>
      <c r="C19" s="109">
        <v>0.41</v>
      </c>
      <c r="D19" s="109">
        <v>0.39</v>
      </c>
      <c r="E19" s="109">
        <v>0.39</v>
      </c>
      <c r="F19" s="109">
        <v>0.38</v>
      </c>
      <c r="G19" s="109">
        <v>0.36</v>
      </c>
      <c r="L19" s="98"/>
      <c r="M19" s="98" t="s">
        <v>681</v>
      </c>
    </row>
    <row r="20" spans="1:13" ht="11.25" customHeight="1">
      <c r="B20" s="112" t="s">
        <v>604</v>
      </c>
      <c r="C20" s="137">
        <v>0.6</v>
      </c>
      <c r="D20" s="137">
        <v>0.6</v>
      </c>
      <c r="E20" s="137">
        <v>0.6</v>
      </c>
      <c r="F20" s="137">
        <v>0.6</v>
      </c>
      <c r="G20" s="137">
        <v>0.6</v>
      </c>
      <c r="L20" s="98"/>
      <c r="M20" s="98" t="s">
        <v>681</v>
      </c>
    </row>
    <row r="21" spans="1:13" ht="11.25" customHeight="1">
      <c r="B21" s="112" t="s">
        <v>651</v>
      </c>
      <c r="C21" s="137">
        <v>0.4</v>
      </c>
      <c r="D21" s="137">
        <v>0.4</v>
      </c>
      <c r="E21" s="137">
        <v>0.4</v>
      </c>
      <c r="F21" s="137">
        <v>0.4</v>
      </c>
      <c r="G21" s="137">
        <v>0.4</v>
      </c>
      <c r="L21" s="98"/>
      <c r="M21" s="98" t="s">
        <v>681</v>
      </c>
    </row>
    <row r="22" spans="1:13" ht="11.25" customHeight="1">
      <c r="B22" s="112" t="s">
        <v>608</v>
      </c>
      <c r="C22" s="128">
        <v>2345</v>
      </c>
      <c r="D22" s="128">
        <v>2345</v>
      </c>
      <c r="E22" s="128">
        <v>2345</v>
      </c>
      <c r="F22" s="128">
        <v>2345</v>
      </c>
      <c r="G22" s="128">
        <v>2345</v>
      </c>
      <c r="L22" s="98"/>
      <c r="M22" s="98">
        <v>2</v>
      </c>
    </row>
    <row r="23" spans="1:13" ht="11.25" customHeight="1">
      <c r="B23" s="112" t="s">
        <v>609</v>
      </c>
      <c r="C23" s="138">
        <v>2.1</v>
      </c>
      <c r="D23" s="138">
        <v>2</v>
      </c>
      <c r="E23" s="138">
        <v>2</v>
      </c>
      <c r="F23" s="138">
        <v>2</v>
      </c>
      <c r="G23" s="138">
        <v>1.9</v>
      </c>
      <c r="L23" s="98"/>
      <c r="M23" s="98">
        <v>2</v>
      </c>
    </row>
    <row r="24" spans="1:13" ht="11.25" customHeight="1" thickBot="1">
      <c r="A24" s="111"/>
      <c r="B24" s="111"/>
      <c r="C24" s="111"/>
      <c r="D24" s="111"/>
      <c r="E24" s="111"/>
      <c r="F24" s="111"/>
      <c r="G24" s="111"/>
      <c r="H24" s="111"/>
      <c r="I24" s="111"/>
      <c r="J24" s="111"/>
      <c r="K24" s="111"/>
      <c r="L24" s="111"/>
      <c r="M24" s="111"/>
    </row>
    <row r="25" spans="1:13" ht="11.25" customHeight="1">
      <c r="G25" s="112"/>
      <c r="H25" s="112"/>
      <c r="I25" s="112"/>
      <c r="J25" s="112"/>
      <c r="K25" s="112"/>
      <c r="L25" s="112"/>
      <c r="M25" s="112"/>
    </row>
    <row r="26" spans="1:13" ht="11.25" customHeight="1">
      <c r="A26" s="117" t="s">
        <v>622</v>
      </c>
      <c r="G26" s="112"/>
      <c r="H26" s="112"/>
      <c r="I26" s="112"/>
      <c r="J26" s="112"/>
      <c r="K26" s="112"/>
      <c r="L26" s="112"/>
      <c r="M26" s="112"/>
    </row>
    <row r="27" spans="1:13" ht="11.25" customHeight="1">
      <c r="A27" s="139" t="s">
        <v>585</v>
      </c>
      <c r="B27" s="87" t="s">
        <v>682</v>
      </c>
      <c r="D27" s="112"/>
      <c r="E27" s="112"/>
      <c r="F27" s="112"/>
      <c r="G27" s="112"/>
      <c r="H27" s="112"/>
      <c r="I27" s="112"/>
      <c r="J27" s="112"/>
      <c r="K27" s="112"/>
      <c r="L27" s="112"/>
      <c r="M27" s="112"/>
    </row>
    <row r="28" spans="1:13" ht="11.25" customHeight="1">
      <c r="A28" s="113" t="s">
        <v>588</v>
      </c>
      <c r="B28" s="87" t="s">
        <v>683</v>
      </c>
      <c r="D28" s="112"/>
      <c r="E28" s="112"/>
      <c r="F28" s="112"/>
      <c r="G28" s="112"/>
      <c r="H28" s="112"/>
      <c r="I28" s="112"/>
      <c r="J28" s="112"/>
      <c r="K28" s="112"/>
      <c r="L28" s="112"/>
      <c r="M28" s="112"/>
    </row>
    <row r="29" spans="1:13" ht="11.25" customHeight="1">
      <c r="A29" s="113"/>
      <c r="B29" s="113"/>
      <c r="D29" s="112"/>
      <c r="E29" s="112"/>
      <c r="F29" s="112"/>
      <c r="G29" s="112"/>
      <c r="H29" s="112"/>
      <c r="I29" s="112"/>
      <c r="J29" s="112"/>
      <c r="K29" s="112"/>
      <c r="L29" s="112"/>
      <c r="M29" s="112"/>
    </row>
    <row r="30" spans="1:13" ht="11.25" customHeight="1">
      <c r="A30" s="140" t="s">
        <v>633</v>
      </c>
      <c r="B30" s="140"/>
      <c r="D30" s="112"/>
      <c r="E30" s="112"/>
      <c r="F30" s="112"/>
      <c r="G30" s="112"/>
      <c r="H30" s="112"/>
      <c r="I30" s="112"/>
      <c r="J30" s="112"/>
      <c r="K30" s="112"/>
      <c r="L30" s="112"/>
      <c r="M30" s="112"/>
    </row>
    <row r="31" spans="1:13" ht="11.25" customHeight="1">
      <c r="A31" s="87">
        <v>1</v>
      </c>
      <c r="B31" s="112" t="s">
        <v>684</v>
      </c>
      <c r="F31" s="112"/>
      <c r="G31" s="112"/>
      <c r="H31" s="112"/>
      <c r="I31" s="112"/>
      <c r="J31" s="112"/>
      <c r="K31" s="112"/>
      <c r="L31" s="112"/>
      <c r="M31" s="112"/>
    </row>
    <row r="32" spans="1:13" ht="11.25" customHeight="1">
      <c r="A32" s="112">
        <v>2</v>
      </c>
      <c r="B32" s="112" t="s">
        <v>685</v>
      </c>
      <c r="F32" s="112"/>
      <c r="G32" s="112"/>
      <c r="H32" s="112"/>
      <c r="I32" s="112"/>
      <c r="J32" s="112"/>
      <c r="K32" s="112"/>
      <c r="L32" s="112"/>
      <c r="M32" s="112"/>
    </row>
    <row r="33" spans="1:13" ht="11.25" customHeight="1">
      <c r="A33" s="112">
        <v>3</v>
      </c>
      <c r="B33" s="112" t="s">
        <v>686</v>
      </c>
      <c r="F33" s="112"/>
      <c r="G33" s="112"/>
      <c r="H33" s="112"/>
      <c r="I33" s="112"/>
      <c r="J33" s="112"/>
      <c r="K33" s="112"/>
      <c r="L33" s="112"/>
      <c r="M33" s="112"/>
    </row>
    <row r="34" spans="1:13" ht="11.25" customHeight="1">
      <c r="A34" s="112">
        <v>4</v>
      </c>
      <c r="B34" s="112" t="s">
        <v>687</v>
      </c>
      <c r="F34" s="112"/>
      <c r="G34" s="112"/>
      <c r="H34" s="112"/>
      <c r="I34" s="112"/>
      <c r="J34" s="112"/>
      <c r="K34" s="112"/>
      <c r="L34" s="112"/>
      <c r="M34" s="112"/>
    </row>
    <row r="35" spans="1:13" ht="11.25" customHeight="1">
      <c r="A35" s="112">
        <v>5</v>
      </c>
      <c r="B35" s="87" t="s">
        <v>688</v>
      </c>
      <c r="F35" s="112"/>
      <c r="G35" s="112"/>
      <c r="H35" s="112"/>
      <c r="I35" s="112"/>
      <c r="J35" s="112"/>
      <c r="K35" s="112"/>
      <c r="L35" s="112"/>
      <c r="M35" s="112"/>
    </row>
    <row r="36" spans="1:13" ht="11.25" customHeight="1">
      <c r="A36" s="113"/>
      <c r="B36" s="113"/>
      <c r="F36" s="112"/>
      <c r="G36" s="112"/>
      <c r="H36" s="112"/>
      <c r="I36" s="112"/>
      <c r="J36" s="112"/>
      <c r="K36" s="112"/>
      <c r="L36" s="112"/>
      <c r="M36" s="112"/>
    </row>
    <row r="37" spans="1:13" ht="11.25" customHeight="1">
      <c r="F37" s="112"/>
      <c r="G37" s="112"/>
      <c r="H37" s="112"/>
      <c r="I37" s="112"/>
      <c r="J37" s="112"/>
      <c r="K37" s="112"/>
      <c r="L37" s="112"/>
      <c r="M37" s="112"/>
    </row>
    <row r="38" spans="1:13" ht="11.25" customHeight="1">
      <c r="D38" s="112"/>
      <c r="E38" s="112"/>
      <c r="F38" s="112"/>
      <c r="G38" s="141"/>
      <c r="H38" s="141"/>
      <c r="I38" s="141"/>
      <c r="J38" s="141"/>
      <c r="K38" s="141"/>
      <c r="L38" s="141"/>
      <c r="M38" s="141"/>
    </row>
    <row r="39" spans="1:13" ht="11.25" customHeight="1">
      <c r="A39" s="112"/>
      <c r="B39" s="112"/>
      <c r="C39" s="141"/>
      <c r="D39" s="141"/>
      <c r="E39" s="141"/>
      <c r="F39" s="141"/>
      <c r="G39" s="141"/>
      <c r="H39" s="141"/>
      <c r="I39" s="141"/>
      <c r="J39" s="141"/>
      <c r="K39" s="141"/>
      <c r="L39" s="141"/>
      <c r="M39" s="141"/>
    </row>
  </sheetData>
  <mergeCells count="1">
    <mergeCell ref="C1:M1"/>
  </mergeCells>
  <hyperlinks>
    <hyperlink ref="C1" location="INDEX" display="Mechanical vapor recompression" xr:uid="{63C3B991-5C54-4B27-88C0-8849B09D5791}"/>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769B7-9291-42F0-9BCD-2F6614CA9ADA}">
  <sheetPr>
    <pageSetUpPr fitToPage="1"/>
  </sheetPr>
  <dimension ref="A1:M40"/>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5" width="9.140625" style="87"/>
    <col min="16" max="16" width="18.7109375" style="87" bestFit="1" customWidth="1"/>
    <col min="17" max="17" width="7.28515625" style="87" customWidth="1"/>
    <col min="18" max="20" width="8.7109375" style="87" customWidth="1"/>
    <col min="21" max="21" width="7.28515625" style="87" bestFit="1" customWidth="1"/>
    <col min="22" max="24" width="8.7109375" style="87" customWidth="1"/>
    <col min="25" max="25" width="7.28515625" style="87" bestFit="1" customWidth="1"/>
    <col min="26" max="28" width="8.7109375" style="87" customWidth="1"/>
    <col min="29" max="32" width="9.140625" style="87"/>
    <col min="33" max="33" width="10.5703125" style="87" customWidth="1"/>
    <col min="34" max="16384" width="9.140625" style="87"/>
  </cols>
  <sheetData>
    <row r="1" spans="1:13" ht="11.25" customHeight="1">
      <c r="A1" s="84" t="s">
        <v>557</v>
      </c>
      <c r="B1" s="85"/>
      <c r="C1" s="433" t="s">
        <v>689</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114" t="s">
        <v>583</v>
      </c>
      <c r="B5" s="142"/>
      <c r="H5" s="100"/>
      <c r="I5" s="100"/>
      <c r="J5" s="100"/>
      <c r="K5" s="100"/>
    </row>
    <row r="6" spans="1:13" ht="11.25" customHeight="1">
      <c r="B6" s="96" t="s">
        <v>584</v>
      </c>
      <c r="C6" s="143">
        <v>2</v>
      </c>
      <c r="D6" s="143">
        <v>2</v>
      </c>
      <c r="E6" s="143">
        <v>2</v>
      </c>
      <c r="F6" s="143">
        <v>2</v>
      </c>
      <c r="G6" s="143">
        <v>2</v>
      </c>
      <c r="H6" s="143">
        <v>1</v>
      </c>
      <c r="I6" s="143">
        <v>5</v>
      </c>
      <c r="J6" s="143">
        <v>1</v>
      </c>
      <c r="K6" s="143">
        <v>5</v>
      </c>
      <c r="L6" s="143" t="s">
        <v>585</v>
      </c>
      <c r="M6" s="143"/>
    </row>
    <row r="7" spans="1:13" ht="11.25" customHeight="1">
      <c r="B7" s="96" t="s">
        <v>587</v>
      </c>
      <c r="C7" s="144">
        <v>0.99</v>
      </c>
      <c r="D7" s="144">
        <v>0.99</v>
      </c>
      <c r="E7" s="144">
        <v>0.99</v>
      </c>
      <c r="F7" s="144">
        <v>0.99</v>
      </c>
      <c r="G7" s="144">
        <v>0.99</v>
      </c>
      <c r="H7" s="144">
        <v>0.98</v>
      </c>
      <c r="I7" s="144">
        <v>1</v>
      </c>
      <c r="J7" s="144">
        <v>0.98</v>
      </c>
      <c r="K7" s="144">
        <v>1</v>
      </c>
      <c r="L7" s="143"/>
      <c r="M7" s="97" t="s">
        <v>586</v>
      </c>
    </row>
    <row r="8" spans="1:13" ht="11.25" customHeight="1">
      <c r="B8" s="96" t="s">
        <v>590</v>
      </c>
      <c r="C8" s="144">
        <v>0.99</v>
      </c>
      <c r="D8" s="144">
        <v>0.99</v>
      </c>
      <c r="E8" s="144">
        <v>0.99</v>
      </c>
      <c r="F8" s="144">
        <v>0.99</v>
      </c>
      <c r="G8" s="144">
        <v>0.99</v>
      </c>
      <c r="H8" s="144">
        <v>0.98</v>
      </c>
      <c r="I8" s="144">
        <v>0.99</v>
      </c>
      <c r="J8" s="144">
        <v>0.98</v>
      </c>
      <c r="K8" s="144">
        <v>0.99</v>
      </c>
      <c r="L8" s="143"/>
      <c r="M8" s="97" t="s">
        <v>586</v>
      </c>
    </row>
    <row r="9" spans="1:13" ht="11.25" customHeight="1">
      <c r="B9" s="96" t="s">
        <v>592</v>
      </c>
      <c r="C9" s="145">
        <v>5.0000000000000001E-3</v>
      </c>
      <c r="D9" s="145">
        <v>5.0000000000000001E-3</v>
      </c>
      <c r="E9" s="145">
        <v>5.0000000000000001E-3</v>
      </c>
      <c r="F9" s="145">
        <v>5.0000000000000001E-3</v>
      </c>
      <c r="G9" s="145">
        <v>5.0000000000000001E-3</v>
      </c>
      <c r="H9" s="145">
        <v>1E-3</v>
      </c>
      <c r="I9" s="145">
        <v>5.0000000000000001E-3</v>
      </c>
      <c r="J9" s="145">
        <v>1E-3</v>
      </c>
      <c r="K9" s="145">
        <v>5.0000000000000001E-3</v>
      </c>
      <c r="L9" s="143"/>
      <c r="M9" s="97" t="s">
        <v>586</v>
      </c>
    </row>
    <row r="10" spans="1:13" ht="11.25" customHeight="1">
      <c r="B10" s="96" t="s">
        <v>593</v>
      </c>
      <c r="C10" s="144">
        <v>0.01</v>
      </c>
      <c r="D10" s="144">
        <v>0.01</v>
      </c>
      <c r="E10" s="144">
        <v>0.01</v>
      </c>
      <c r="F10" s="144">
        <v>0.01</v>
      </c>
      <c r="G10" s="144">
        <v>0.01</v>
      </c>
      <c r="H10" s="145">
        <v>5.0000000000000001E-3</v>
      </c>
      <c r="I10" s="144">
        <v>0.01</v>
      </c>
      <c r="J10" s="145">
        <v>5.0000000000000001E-3</v>
      </c>
      <c r="K10" s="144">
        <v>0.01</v>
      </c>
      <c r="L10" s="143"/>
      <c r="M10" s="97" t="s">
        <v>586</v>
      </c>
    </row>
    <row r="11" spans="1:13" ht="11.25" customHeight="1">
      <c r="B11" s="96" t="s">
        <v>595</v>
      </c>
      <c r="C11" s="143">
        <v>0.2</v>
      </c>
      <c r="D11" s="143">
        <v>0.2</v>
      </c>
      <c r="E11" s="143">
        <v>0.2</v>
      </c>
      <c r="F11" s="143">
        <v>0.2</v>
      </c>
      <c r="G11" s="143">
        <v>0.2</v>
      </c>
      <c r="H11" s="143">
        <v>0.2</v>
      </c>
      <c r="I11" s="143">
        <v>0.2</v>
      </c>
      <c r="J11" s="143">
        <v>0.2</v>
      </c>
      <c r="K11" s="143">
        <v>0.2</v>
      </c>
      <c r="L11" s="143"/>
      <c r="M11" s="143">
        <v>2</v>
      </c>
    </row>
    <row r="12" spans="1:13" ht="11.25" customHeight="1">
      <c r="B12" s="96" t="s">
        <v>596</v>
      </c>
      <c r="C12" s="143">
        <v>25</v>
      </c>
      <c r="D12" s="143">
        <v>25</v>
      </c>
      <c r="E12" s="143">
        <v>25</v>
      </c>
      <c r="F12" s="143">
        <v>25</v>
      </c>
      <c r="G12" s="143">
        <v>25</v>
      </c>
      <c r="H12" s="143">
        <v>20</v>
      </c>
      <c r="I12" s="143">
        <v>25</v>
      </c>
      <c r="J12" s="143">
        <v>20</v>
      </c>
      <c r="K12" s="143">
        <v>25</v>
      </c>
      <c r="L12" s="143"/>
      <c r="M12" s="143">
        <v>2</v>
      </c>
    </row>
    <row r="13" spans="1:13" ht="11.25" customHeight="1">
      <c r="B13" s="96" t="s">
        <v>597</v>
      </c>
      <c r="C13" s="143">
        <v>0.5</v>
      </c>
      <c r="D13" s="143">
        <v>0.5</v>
      </c>
      <c r="E13" s="143">
        <v>0.5</v>
      </c>
      <c r="F13" s="143">
        <v>0.5</v>
      </c>
      <c r="G13" s="143">
        <v>0.5</v>
      </c>
      <c r="H13" s="143">
        <v>0.5</v>
      </c>
      <c r="I13" s="143">
        <v>1</v>
      </c>
      <c r="J13" s="143">
        <v>0.5</v>
      </c>
      <c r="K13" s="143">
        <v>1</v>
      </c>
      <c r="L13" s="143"/>
      <c r="M13" s="143">
        <v>1</v>
      </c>
    </row>
    <row r="14" spans="1:13" ht="11.25" customHeight="1">
      <c r="A14" s="100" t="s">
        <v>598</v>
      </c>
      <c r="B14" s="146"/>
      <c r="C14" s="147"/>
      <c r="D14" s="147"/>
      <c r="E14" s="147"/>
      <c r="F14" s="147"/>
      <c r="G14" s="147"/>
      <c r="H14" s="148"/>
      <c r="I14" s="148"/>
      <c r="J14" s="148"/>
      <c r="K14" s="148"/>
      <c r="L14" s="97"/>
      <c r="M14" s="97"/>
    </row>
    <row r="15" spans="1:13" ht="11.25" customHeight="1">
      <c r="B15" s="96" t="s">
        <v>599</v>
      </c>
      <c r="C15" s="144">
        <v>0.02</v>
      </c>
      <c r="D15" s="144">
        <v>0.02</v>
      </c>
      <c r="E15" s="144">
        <v>0.02</v>
      </c>
      <c r="F15" s="144">
        <v>0.02</v>
      </c>
      <c r="G15" s="144">
        <v>0.02</v>
      </c>
      <c r="H15" s="143"/>
      <c r="I15" s="143"/>
      <c r="J15" s="143"/>
      <c r="K15" s="143"/>
      <c r="L15" s="97"/>
      <c r="M15" s="97">
        <v>2</v>
      </c>
    </row>
    <row r="16" spans="1:13" ht="11.25" customHeight="1">
      <c r="B16" s="96" t="s">
        <v>600</v>
      </c>
      <c r="C16" s="149">
        <v>0.03</v>
      </c>
      <c r="D16" s="149">
        <v>0.03</v>
      </c>
      <c r="E16" s="149">
        <v>0.03</v>
      </c>
      <c r="F16" s="149">
        <v>0.03</v>
      </c>
      <c r="G16" s="149">
        <v>0.03</v>
      </c>
      <c r="H16" s="143"/>
      <c r="I16" s="143"/>
      <c r="J16" s="143"/>
      <c r="K16" s="143"/>
      <c r="L16" s="97"/>
      <c r="M16" s="97">
        <v>2</v>
      </c>
    </row>
    <row r="17" spans="1:13" ht="11.25" customHeight="1">
      <c r="B17" s="96" t="s">
        <v>601</v>
      </c>
      <c r="C17" s="149">
        <v>0.17</v>
      </c>
      <c r="D17" s="149">
        <v>0.17</v>
      </c>
      <c r="E17" s="149">
        <v>0.17</v>
      </c>
      <c r="F17" s="149">
        <v>0.17</v>
      </c>
      <c r="G17" s="149">
        <v>0.17</v>
      </c>
      <c r="H17" s="143"/>
      <c r="I17" s="143"/>
      <c r="J17" s="143"/>
      <c r="K17" s="143"/>
      <c r="L17" s="97"/>
      <c r="M17" s="97">
        <v>2</v>
      </c>
    </row>
    <row r="18" spans="1:13" ht="11.25" customHeight="1">
      <c r="A18" s="100" t="s">
        <v>602</v>
      </c>
      <c r="B18" s="146"/>
      <c r="C18" s="147"/>
      <c r="D18" s="147"/>
      <c r="E18" s="147"/>
      <c r="F18" s="147"/>
      <c r="G18" s="147"/>
      <c r="H18" s="148"/>
      <c r="I18" s="148"/>
      <c r="J18" s="148"/>
      <c r="K18" s="148"/>
      <c r="L18" s="97"/>
      <c r="M18" s="97"/>
    </row>
    <row r="19" spans="1:13" ht="11.25" customHeight="1">
      <c r="B19" s="96" t="s">
        <v>603</v>
      </c>
      <c r="C19" s="150">
        <v>0.25</v>
      </c>
      <c r="D19" s="150">
        <v>0.22</v>
      </c>
      <c r="E19" s="150">
        <v>0.22</v>
      </c>
      <c r="F19" s="150">
        <v>0.22</v>
      </c>
      <c r="G19" s="150">
        <v>0.22</v>
      </c>
      <c r="L19" s="97" t="s">
        <v>591</v>
      </c>
      <c r="M19" s="97" t="s">
        <v>690</v>
      </c>
    </row>
    <row r="20" spans="1:13" ht="11.25" customHeight="1">
      <c r="B20" s="96" t="s">
        <v>604</v>
      </c>
      <c r="C20" s="144">
        <v>0.75</v>
      </c>
      <c r="D20" s="144">
        <v>0.75</v>
      </c>
      <c r="E20" s="144">
        <v>0.75</v>
      </c>
      <c r="F20" s="144">
        <v>0.75</v>
      </c>
      <c r="G20" s="144">
        <v>0.75</v>
      </c>
      <c r="L20" s="97"/>
      <c r="M20" s="97" t="s">
        <v>691</v>
      </c>
    </row>
    <row r="21" spans="1:13" ht="11.25" customHeight="1">
      <c r="B21" s="96" t="s">
        <v>651</v>
      </c>
      <c r="C21" s="144">
        <v>0.25</v>
      </c>
      <c r="D21" s="144">
        <v>0.25</v>
      </c>
      <c r="E21" s="144">
        <v>0.25</v>
      </c>
      <c r="F21" s="144">
        <v>0.25</v>
      </c>
      <c r="G21" s="144">
        <v>0.25</v>
      </c>
      <c r="L21" s="97"/>
      <c r="M21" s="97" t="s">
        <v>691</v>
      </c>
    </row>
    <row r="22" spans="1:13" ht="11.25" customHeight="1">
      <c r="B22" s="96" t="s">
        <v>608</v>
      </c>
      <c r="C22" s="128">
        <v>1442</v>
      </c>
      <c r="D22" s="128">
        <v>1375</v>
      </c>
      <c r="E22" s="128">
        <v>1341</v>
      </c>
      <c r="F22" s="128">
        <v>1307</v>
      </c>
      <c r="G22" s="128">
        <v>1240</v>
      </c>
      <c r="L22" s="97"/>
      <c r="M22" s="97" t="s">
        <v>692</v>
      </c>
    </row>
    <row r="23" spans="1:13" ht="11.25" customHeight="1">
      <c r="B23" s="96" t="s">
        <v>609</v>
      </c>
      <c r="C23" s="138">
        <v>0.67400000000000004</v>
      </c>
      <c r="D23" s="138">
        <v>0.64200000000000002</v>
      </c>
      <c r="E23" s="138">
        <v>0.627</v>
      </c>
      <c r="F23" s="138">
        <v>0.61099999999999999</v>
      </c>
      <c r="G23" s="138">
        <v>0.57799999999999996</v>
      </c>
      <c r="L23" s="97"/>
      <c r="M23" s="97" t="s">
        <v>692</v>
      </c>
    </row>
    <row r="24" spans="1:13" ht="11.25" customHeight="1">
      <c r="A24" s="100" t="s">
        <v>610</v>
      </c>
      <c r="B24" s="146"/>
      <c r="C24" s="147"/>
      <c r="D24" s="147"/>
      <c r="E24" s="147"/>
      <c r="F24" s="147"/>
      <c r="G24" s="147"/>
      <c r="H24" s="148"/>
      <c r="I24" s="148"/>
      <c r="J24" s="148"/>
      <c r="K24" s="148"/>
      <c r="L24" s="97"/>
    </row>
    <row r="25" spans="1:13" ht="11.25" customHeight="1">
      <c r="B25" s="96" t="s">
        <v>693</v>
      </c>
      <c r="C25" s="150">
        <v>6.4000000000000001E-2</v>
      </c>
      <c r="D25" s="150">
        <v>5.7000000000000002E-2</v>
      </c>
      <c r="E25" s="150">
        <v>5.7000000000000002E-2</v>
      </c>
      <c r="F25" s="150">
        <v>5.7000000000000002E-2</v>
      </c>
      <c r="G25" s="150">
        <v>5.7000000000000002E-2</v>
      </c>
      <c r="H25" s="148"/>
      <c r="I25" s="148"/>
      <c r="J25" s="148"/>
      <c r="K25" s="148"/>
      <c r="L25" s="97"/>
      <c r="M25" s="97"/>
    </row>
    <row r="26" spans="1:13" ht="11.25" customHeight="1" thickBot="1">
      <c r="A26" s="111"/>
      <c r="B26" s="111"/>
      <c r="C26" s="111"/>
      <c r="D26" s="111"/>
      <c r="E26" s="111"/>
      <c r="F26" s="111"/>
      <c r="G26" s="111"/>
      <c r="H26" s="111"/>
      <c r="I26" s="111"/>
      <c r="J26" s="111"/>
      <c r="K26" s="111"/>
      <c r="L26" s="111"/>
      <c r="M26" s="111"/>
    </row>
    <row r="27" spans="1:13" ht="11.25" customHeight="1">
      <c r="J27" s="112"/>
      <c r="K27" s="112"/>
      <c r="L27" s="112"/>
      <c r="M27" s="112"/>
    </row>
    <row r="28" spans="1:13" ht="11.25" customHeight="1">
      <c r="A28" s="117" t="s">
        <v>622</v>
      </c>
      <c r="F28" s="112"/>
      <c r="G28" s="112"/>
      <c r="H28" s="112"/>
      <c r="I28" s="112"/>
      <c r="J28" s="112"/>
      <c r="K28" s="112"/>
      <c r="L28" s="112"/>
      <c r="M28" s="112"/>
    </row>
    <row r="29" spans="1:13" ht="11.25" customHeight="1">
      <c r="A29" s="151" t="s">
        <v>585</v>
      </c>
      <c r="B29" s="112" t="s">
        <v>694</v>
      </c>
      <c r="D29" s="112"/>
      <c r="E29" s="112"/>
      <c r="F29" s="112"/>
      <c r="G29" s="112"/>
      <c r="H29" s="112"/>
      <c r="I29" s="112"/>
      <c r="J29" s="112"/>
      <c r="K29" s="112"/>
      <c r="L29" s="112"/>
      <c r="M29" s="112"/>
    </row>
    <row r="30" spans="1:13" ht="11.25" customHeight="1">
      <c r="A30" s="151" t="s">
        <v>588</v>
      </c>
      <c r="B30" s="152" t="s">
        <v>695</v>
      </c>
      <c r="D30" s="112"/>
      <c r="E30" s="112"/>
      <c r="F30" s="112"/>
      <c r="G30" s="112"/>
      <c r="H30" s="112"/>
      <c r="I30" s="112"/>
      <c r="J30" s="112"/>
      <c r="K30" s="112"/>
      <c r="L30" s="112"/>
      <c r="M30" s="112"/>
    </row>
    <row r="31" spans="1:13" ht="11.25" customHeight="1">
      <c r="A31" s="139" t="s">
        <v>625</v>
      </c>
      <c r="B31" s="112" t="s">
        <v>696</v>
      </c>
      <c r="D31" s="112"/>
      <c r="E31" s="112"/>
      <c r="F31" s="112"/>
      <c r="G31" s="112"/>
      <c r="H31" s="112"/>
      <c r="I31" s="112"/>
      <c r="J31" s="112"/>
      <c r="K31" s="112"/>
      <c r="L31" s="112"/>
      <c r="M31" s="112"/>
    </row>
    <row r="32" spans="1:13" ht="11.25" customHeight="1">
      <c r="A32" s="151"/>
      <c r="B32" s="151"/>
      <c r="D32" s="112"/>
      <c r="E32" s="112"/>
      <c r="F32" s="112"/>
      <c r="G32" s="112"/>
      <c r="H32" s="112"/>
      <c r="I32" s="112"/>
      <c r="J32" s="112"/>
      <c r="K32" s="112"/>
      <c r="L32" s="112"/>
      <c r="M32" s="112"/>
    </row>
    <row r="33" spans="1:13" ht="11.25" customHeight="1">
      <c r="A33" s="140" t="s">
        <v>633</v>
      </c>
      <c r="B33" s="140"/>
      <c r="D33" s="112"/>
      <c r="E33" s="112"/>
      <c r="F33" s="112"/>
      <c r="G33" s="112"/>
      <c r="H33" s="112"/>
      <c r="I33" s="112"/>
      <c r="J33" s="112"/>
      <c r="K33" s="112"/>
      <c r="L33" s="112"/>
      <c r="M33" s="112"/>
    </row>
    <row r="34" spans="1:13" ht="11.25" customHeight="1">
      <c r="A34" s="151">
        <v>1</v>
      </c>
      <c r="B34" s="112" t="s">
        <v>697</v>
      </c>
      <c r="D34" s="112"/>
      <c r="E34" s="112"/>
      <c r="F34" s="112"/>
      <c r="G34" s="112"/>
      <c r="H34" s="112"/>
      <c r="I34" s="112"/>
      <c r="J34" s="112"/>
      <c r="K34" s="112"/>
      <c r="L34" s="112"/>
      <c r="M34" s="112"/>
    </row>
    <row r="35" spans="1:13" ht="11.25" customHeight="1">
      <c r="A35" s="151">
        <v>2</v>
      </c>
      <c r="B35" s="112" t="s">
        <v>698</v>
      </c>
      <c r="D35" s="112"/>
      <c r="E35" s="112"/>
      <c r="F35" s="112"/>
      <c r="G35" s="112"/>
      <c r="H35" s="112"/>
      <c r="I35" s="112"/>
      <c r="J35" s="112"/>
      <c r="K35" s="112"/>
      <c r="L35" s="112"/>
      <c r="M35" s="112"/>
    </row>
    <row r="36" spans="1:13" ht="11.25" customHeight="1">
      <c r="A36" s="151">
        <v>3</v>
      </c>
      <c r="B36" s="112" t="s">
        <v>699</v>
      </c>
      <c r="D36" s="112"/>
      <c r="E36" s="112"/>
      <c r="F36" s="112"/>
      <c r="G36" s="112"/>
      <c r="H36" s="112"/>
      <c r="I36" s="112"/>
      <c r="J36" s="112"/>
      <c r="K36" s="112"/>
      <c r="L36" s="112"/>
      <c r="M36" s="112"/>
    </row>
    <row r="37" spans="1:13" ht="11.25" customHeight="1">
      <c r="A37" s="151">
        <v>4</v>
      </c>
      <c r="B37" s="112" t="s">
        <v>700</v>
      </c>
    </row>
    <row r="39" spans="1:13" ht="11.25" customHeight="1">
      <c r="A39" s="151"/>
      <c r="B39" s="151"/>
      <c r="C39" s="112"/>
    </row>
    <row r="40" spans="1:13" ht="11.25" customHeight="1">
      <c r="A40" s="151"/>
      <c r="B40" s="151"/>
      <c r="C40" s="112"/>
    </row>
  </sheetData>
  <mergeCells count="1">
    <mergeCell ref="C1:M1"/>
  </mergeCells>
  <hyperlinks>
    <hyperlink ref="C1" location="INDEX" display="Electric boiler, 0,4-0,69 kV, steam, 1-12 bar" xr:uid="{BD279565-8B69-4442-BCB4-18A8EB04C04D}"/>
  </hyperlinks>
  <pageMargins left="0.7" right="0.7" top="0.75" bottom="0.75" header="0.3" footer="0.3"/>
  <pageSetup paperSize="9" scale="32" orientation="landscape" horizontalDpi="4294967295" verticalDpi="4294967295"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0510-8D13-40A4-9082-643522784EED}">
  <sheetPr>
    <pageSetUpPr fitToPage="1"/>
  </sheetPr>
  <dimension ref="A1:M37"/>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5" width="9.140625" style="87"/>
    <col min="16" max="16" width="18.7109375" style="87" bestFit="1" customWidth="1"/>
    <col min="17" max="17" width="7.28515625" style="87" customWidth="1"/>
    <col min="18" max="20" width="8.7109375" style="87" customWidth="1"/>
    <col min="21" max="21" width="7.28515625" style="87" bestFit="1" customWidth="1"/>
    <col min="22" max="24" width="8.7109375" style="87" customWidth="1"/>
    <col min="25" max="25" width="7.28515625" style="87" bestFit="1" customWidth="1"/>
    <col min="26" max="28" width="8.7109375" style="87" customWidth="1"/>
    <col min="29" max="32" width="9.140625" style="87"/>
    <col min="33" max="33" width="10.5703125" style="87" customWidth="1"/>
    <col min="34" max="16384" width="9.140625" style="87"/>
  </cols>
  <sheetData>
    <row r="1" spans="1:13" ht="11.25" customHeight="1">
      <c r="A1" s="84" t="s">
        <v>557</v>
      </c>
      <c r="B1" s="85"/>
      <c r="C1" s="433" t="s">
        <v>701</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114" t="s">
        <v>583</v>
      </c>
      <c r="B5" s="142"/>
      <c r="H5" s="100"/>
      <c r="I5" s="100"/>
      <c r="J5" s="100"/>
      <c r="K5" s="100"/>
    </row>
    <row r="6" spans="1:13" ht="11.25" customHeight="1">
      <c r="B6" s="96" t="s">
        <v>584</v>
      </c>
      <c r="C6" s="143">
        <v>15</v>
      </c>
      <c r="D6" s="143">
        <v>15</v>
      </c>
      <c r="E6" s="143">
        <v>15</v>
      </c>
      <c r="F6" s="143">
        <v>15</v>
      </c>
      <c r="G6" s="143">
        <v>15</v>
      </c>
      <c r="H6" s="143">
        <v>5</v>
      </c>
      <c r="I6" s="143">
        <v>60</v>
      </c>
      <c r="J6" s="143">
        <v>5</v>
      </c>
      <c r="K6" s="143">
        <v>60</v>
      </c>
      <c r="L6" s="143" t="s">
        <v>585</v>
      </c>
      <c r="M6" s="143"/>
    </row>
    <row r="7" spans="1:13" ht="11.25" customHeight="1">
      <c r="B7" s="96" t="s">
        <v>587</v>
      </c>
      <c r="C7" s="144">
        <v>0.99</v>
      </c>
      <c r="D7" s="144">
        <v>0.99</v>
      </c>
      <c r="E7" s="144">
        <v>0.99</v>
      </c>
      <c r="F7" s="144">
        <v>0.99</v>
      </c>
      <c r="G7" s="144">
        <v>0.99</v>
      </c>
      <c r="H7" s="144">
        <v>0.98</v>
      </c>
      <c r="I7" s="144">
        <v>1</v>
      </c>
      <c r="J7" s="144">
        <v>0.98</v>
      </c>
      <c r="K7" s="144">
        <v>1</v>
      </c>
      <c r="L7" s="143"/>
      <c r="M7" s="97" t="s">
        <v>586</v>
      </c>
    </row>
    <row r="8" spans="1:13" ht="11.25" customHeight="1">
      <c r="B8" s="96" t="s">
        <v>590</v>
      </c>
      <c r="C8" s="144">
        <v>0.99</v>
      </c>
      <c r="D8" s="144">
        <v>0.99</v>
      </c>
      <c r="E8" s="144">
        <v>0.99</v>
      </c>
      <c r="F8" s="144">
        <v>0.99</v>
      </c>
      <c r="G8" s="144">
        <v>0.99</v>
      </c>
      <c r="H8" s="144">
        <v>0.98</v>
      </c>
      <c r="I8" s="144">
        <v>0.99</v>
      </c>
      <c r="J8" s="144">
        <v>0.98</v>
      </c>
      <c r="K8" s="144">
        <v>0.99</v>
      </c>
      <c r="L8" s="143"/>
      <c r="M8" s="97" t="s">
        <v>586</v>
      </c>
    </row>
    <row r="9" spans="1:13" ht="11.25" customHeight="1">
      <c r="B9" s="96" t="s">
        <v>592</v>
      </c>
      <c r="C9" s="145">
        <v>5.0000000000000001E-3</v>
      </c>
      <c r="D9" s="145">
        <v>5.0000000000000001E-3</v>
      </c>
      <c r="E9" s="145">
        <v>5.0000000000000001E-3</v>
      </c>
      <c r="F9" s="145">
        <v>5.0000000000000001E-3</v>
      </c>
      <c r="G9" s="145">
        <v>5.0000000000000001E-3</v>
      </c>
      <c r="H9" s="145">
        <v>1E-3</v>
      </c>
      <c r="I9" s="145">
        <v>5.0000000000000001E-3</v>
      </c>
      <c r="J9" s="145">
        <v>1E-3</v>
      </c>
      <c r="K9" s="145">
        <v>5.0000000000000001E-3</v>
      </c>
      <c r="L9" s="143"/>
      <c r="M9" s="97" t="s">
        <v>586</v>
      </c>
    </row>
    <row r="10" spans="1:13" ht="11.25" customHeight="1">
      <c r="B10" s="96" t="s">
        <v>593</v>
      </c>
      <c r="C10" s="144">
        <v>0.01</v>
      </c>
      <c r="D10" s="144">
        <v>0.01</v>
      </c>
      <c r="E10" s="144">
        <v>0.01</v>
      </c>
      <c r="F10" s="144">
        <v>0.01</v>
      </c>
      <c r="G10" s="144">
        <v>0.01</v>
      </c>
      <c r="H10" s="145">
        <v>5.0000000000000001E-3</v>
      </c>
      <c r="I10" s="144">
        <v>0.01</v>
      </c>
      <c r="J10" s="145">
        <v>5.0000000000000001E-3</v>
      </c>
      <c r="K10" s="144">
        <v>0.01</v>
      </c>
      <c r="L10" s="143"/>
      <c r="M10" s="97" t="s">
        <v>586</v>
      </c>
    </row>
    <row r="11" spans="1:13" ht="11.25" customHeight="1">
      <c r="B11" s="96" t="s">
        <v>595</v>
      </c>
      <c r="C11" s="143">
        <v>0.2</v>
      </c>
      <c r="D11" s="143">
        <v>0.2</v>
      </c>
      <c r="E11" s="143">
        <v>0.2</v>
      </c>
      <c r="F11" s="143">
        <v>0.2</v>
      </c>
      <c r="G11" s="143">
        <v>0.2</v>
      </c>
      <c r="H11" s="143">
        <v>0.2</v>
      </c>
      <c r="I11" s="143">
        <v>0.2</v>
      </c>
      <c r="J11" s="143">
        <v>0.2</v>
      </c>
      <c r="K11" s="143">
        <v>0.2</v>
      </c>
      <c r="L11" s="143"/>
      <c r="M11" s="143">
        <v>2</v>
      </c>
    </row>
    <row r="12" spans="1:13" ht="11.25" customHeight="1">
      <c r="B12" s="96" t="s">
        <v>596</v>
      </c>
      <c r="C12" s="143">
        <v>25</v>
      </c>
      <c r="D12" s="143">
        <v>25</v>
      </c>
      <c r="E12" s="143">
        <v>25</v>
      </c>
      <c r="F12" s="143">
        <v>25</v>
      </c>
      <c r="G12" s="143">
        <v>25</v>
      </c>
      <c r="H12" s="143">
        <v>20</v>
      </c>
      <c r="I12" s="143">
        <v>25</v>
      </c>
      <c r="J12" s="143">
        <v>20</v>
      </c>
      <c r="K12" s="143">
        <v>25</v>
      </c>
      <c r="L12" s="143"/>
      <c r="M12" s="143">
        <v>2</v>
      </c>
    </row>
    <row r="13" spans="1:13" ht="11.25" customHeight="1">
      <c r="B13" s="96" t="s">
        <v>597</v>
      </c>
      <c r="C13" s="143">
        <v>0.5</v>
      </c>
      <c r="D13" s="143">
        <v>0.5</v>
      </c>
      <c r="E13" s="143">
        <v>0.5</v>
      </c>
      <c r="F13" s="143">
        <v>0.5</v>
      </c>
      <c r="G13" s="143">
        <v>0.5</v>
      </c>
      <c r="H13" s="143">
        <v>0.5</v>
      </c>
      <c r="I13" s="143">
        <v>1</v>
      </c>
      <c r="J13" s="143">
        <v>0.5</v>
      </c>
      <c r="K13" s="143">
        <v>1</v>
      </c>
      <c r="L13" s="143"/>
      <c r="M13" s="143">
        <v>1</v>
      </c>
    </row>
    <row r="14" spans="1:13" ht="11.25" customHeight="1">
      <c r="A14" s="100" t="s">
        <v>598</v>
      </c>
      <c r="B14" s="146"/>
      <c r="C14" s="147"/>
      <c r="D14" s="147"/>
      <c r="E14" s="147"/>
      <c r="F14" s="147"/>
      <c r="G14" s="147"/>
      <c r="H14" s="148"/>
      <c r="I14" s="148"/>
      <c r="J14" s="148"/>
      <c r="K14" s="148"/>
      <c r="L14" s="97"/>
      <c r="M14" s="97"/>
    </row>
    <row r="15" spans="1:13" ht="11.25" customHeight="1">
      <c r="B15" s="96" t="s">
        <v>599</v>
      </c>
      <c r="C15" s="144">
        <v>0.02</v>
      </c>
      <c r="D15" s="144">
        <v>0.02</v>
      </c>
      <c r="E15" s="144">
        <v>0.02</v>
      </c>
      <c r="F15" s="144">
        <v>0.02</v>
      </c>
      <c r="G15" s="144">
        <v>0.02</v>
      </c>
      <c r="H15" s="143"/>
      <c r="I15" s="143"/>
      <c r="J15" s="143"/>
      <c r="K15" s="143"/>
      <c r="L15" s="97"/>
      <c r="M15" s="97">
        <v>2</v>
      </c>
    </row>
    <row r="16" spans="1:13" ht="11.25" customHeight="1">
      <c r="B16" s="96" t="s">
        <v>600</v>
      </c>
      <c r="C16" s="149">
        <v>0.03</v>
      </c>
      <c r="D16" s="149">
        <v>0.03</v>
      </c>
      <c r="E16" s="149">
        <v>0.03</v>
      </c>
      <c r="F16" s="149">
        <v>0.03</v>
      </c>
      <c r="G16" s="149">
        <v>0.03</v>
      </c>
      <c r="H16" s="143"/>
      <c r="I16" s="143"/>
      <c r="J16" s="143"/>
      <c r="K16" s="143"/>
      <c r="L16" s="97"/>
      <c r="M16" s="97">
        <v>2</v>
      </c>
    </row>
    <row r="17" spans="1:13" ht="11.25" customHeight="1">
      <c r="B17" s="96" t="s">
        <v>601</v>
      </c>
      <c r="C17" s="149">
        <v>0.17</v>
      </c>
      <c r="D17" s="149">
        <v>0.17</v>
      </c>
      <c r="E17" s="149">
        <v>0.17</v>
      </c>
      <c r="F17" s="149">
        <v>0.17</v>
      </c>
      <c r="G17" s="149">
        <v>0.17</v>
      </c>
      <c r="H17" s="143"/>
      <c r="I17" s="143"/>
      <c r="J17" s="143"/>
      <c r="K17" s="143"/>
      <c r="L17" s="97"/>
      <c r="M17" s="97">
        <v>2</v>
      </c>
    </row>
    <row r="18" spans="1:13" ht="11.25" customHeight="1">
      <c r="A18" s="100" t="s">
        <v>602</v>
      </c>
      <c r="B18" s="146"/>
      <c r="C18" s="147"/>
      <c r="D18" s="147"/>
      <c r="E18" s="147"/>
      <c r="F18" s="147"/>
      <c r="G18" s="147"/>
      <c r="H18" s="148"/>
      <c r="I18" s="148"/>
      <c r="J18" s="148"/>
      <c r="K18" s="148"/>
      <c r="L18" s="97"/>
      <c r="M18" s="97"/>
    </row>
    <row r="19" spans="1:13" ht="11.25" customHeight="1">
      <c r="B19" s="96" t="s">
        <v>603</v>
      </c>
      <c r="C19" s="150">
        <v>0.11</v>
      </c>
      <c r="D19" s="150">
        <v>0.1</v>
      </c>
      <c r="E19" s="150">
        <v>0.1</v>
      </c>
      <c r="F19" s="150">
        <v>0.1</v>
      </c>
      <c r="G19" s="150">
        <v>0.1</v>
      </c>
      <c r="L19" s="97" t="s">
        <v>591</v>
      </c>
      <c r="M19" s="97" t="s">
        <v>690</v>
      </c>
    </row>
    <row r="20" spans="1:13" ht="11.25" customHeight="1">
      <c r="B20" s="96" t="s">
        <v>604</v>
      </c>
      <c r="C20" s="144">
        <v>0.85</v>
      </c>
      <c r="D20" s="144">
        <v>0.85</v>
      </c>
      <c r="E20" s="144">
        <v>0.85</v>
      </c>
      <c r="F20" s="144">
        <v>0.85</v>
      </c>
      <c r="G20" s="144">
        <v>0.85</v>
      </c>
      <c r="L20" s="97"/>
      <c r="M20" s="97">
        <v>2</v>
      </c>
    </row>
    <row r="21" spans="1:13" ht="11.25" customHeight="1">
      <c r="B21" s="96" t="s">
        <v>651</v>
      </c>
      <c r="C21" s="144">
        <v>0.15</v>
      </c>
      <c r="D21" s="144">
        <v>0.15</v>
      </c>
      <c r="E21" s="144">
        <v>0.15</v>
      </c>
      <c r="F21" s="144">
        <v>0.15</v>
      </c>
      <c r="G21" s="144">
        <v>0.15</v>
      </c>
      <c r="L21" s="97"/>
      <c r="M21" s="97">
        <v>2</v>
      </c>
    </row>
    <row r="22" spans="1:13" ht="11.25" customHeight="1">
      <c r="B22" s="96" t="s">
        <v>608</v>
      </c>
      <c r="C22" s="128">
        <v>1298</v>
      </c>
      <c r="D22" s="128">
        <v>1237</v>
      </c>
      <c r="E22" s="128">
        <v>1208</v>
      </c>
      <c r="F22" s="128">
        <v>1177</v>
      </c>
      <c r="G22" s="128">
        <v>1116</v>
      </c>
      <c r="L22" s="97"/>
      <c r="M22" s="97" t="s">
        <v>692</v>
      </c>
    </row>
    <row r="23" spans="1:13" ht="11.25" customHeight="1">
      <c r="B23" s="96" t="s">
        <v>609</v>
      </c>
      <c r="C23" s="153">
        <v>0.61</v>
      </c>
      <c r="D23" s="153">
        <v>0.57999999999999996</v>
      </c>
      <c r="E23" s="153">
        <v>0.56000000000000005</v>
      </c>
      <c r="F23" s="153">
        <v>0.55000000000000004</v>
      </c>
      <c r="G23" s="153">
        <v>0.52</v>
      </c>
      <c r="L23" s="97"/>
      <c r="M23" s="97" t="s">
        <v>692</v>
      </c>
    </row>
    <row r="24" spans="1:13" ht="11.25" customHeight="1">
      <c r="A24" s="100" t="s">
        <v>610</v>
      </c>
      <c r="B24" s="146"/>
      <c r="C24" s="147"/>
      <c r="D24" s="147"/>
      <c r="E24" s="147"/>
      <c r="F24" s="147"/>
      <c r="G24" s="147"/>
      <c r="H24" s="148"/>
      <c r="I24" s="148"/>
      <c r="J24" s="148"/>
      <c r="K24" s="148"/>
      <c r="L24" s="97"/>
    </row>
    <row r="25" spans="1:13" ht="11.25" customHeight="1">
      <c r="B25" s="96" t="s">
        <v>693</v>
      </c>
      <c r="C25" s="150">
        <v>2.1000000000000001E-2</v>
      </c>
      <c r="D25" s="150">
        <v>1.7999999999999999E-2</v>
      </c>
      <c r="E25" s="150">
        <v>1.7999999999999999E-2</v>
      </c>
      <c r="F25" s="150">
        <v>1.7999999999999999E-2</v>
      </c>
      <c r="G25" s="150">
        <v>1.7999999999999999E-2</v>
      </c>
      <c r="H25" s="148"/>
      <c r="I25" s="148"/>
      <c r="J25" s="148"/>
      <c r="K25" s="148"/>
      <c r="L25" s="97"/>
      <c r="M25" s="97"/>
    </row>
    <row r="26" spans="1:13" ht="11.25" customHeight="1" thickBot="1">
      <c r="A26" s="111"/>
      <c r="B26" s="111"/>
      <c r="C26" s="111"/>
      <c r="D26" s="111"/>
      <c r="E26" s="111"/>
      <c r="F26" s="111"/>
      <c r="G26" s="111"/>
      <c r="H26" s="111"/>
      <c r="I26" s="111"/>
      <c r="J26" s="111"/>
      <c r="K26" s="111"/>
      <c r="L26" s="111"/>
      <c r="M26" s="111"/>
    </row>
    <row r="27" spans="1:13" ht="11.25" customHeight="1">
      <c r="J27" s="112"/>
      <c r="K27" s="112"/>
      <c r="L27" s="112"/>
      <c r="M27" s="112"/>
    </row>
    <row r="28" spans="1:13" ht="11.25" customHeight="1">
      <c r="A28" s="117" t="s">
        <v>622</v>
      </c>
      <c r="F28" s="112"/>
      <c r="G28" s="112"/>
      <c r="H28" s="112"/>
      <c r="I28" s="112"/>
      <c r="J28" s="112"/>
      <c r="K28" s="112"/>
      <c r="L28" s="112"/>
      <c r="M28" s="112"/>
    </row>
    <row r="29" spans="1:13" ht="11.25" customHeight="1">
      <c r="A29" s="151" t="s">
        <v>585</v>
      </c>
      <c r="B29" s="112" t="s">
        <v>702</v>
      </c>
      <c r="D29" s="112"/>
      <c r="E29" s="112"/>
      <c r="F29" s="112"/>
      <c r="G29" s="112"/>
      <c r="H29" s="112"/>
      <c r="I29" s="112"/>
      <c r="J29" s="112"/>
      <c r="K29" s="112"/>
      <c r="L29" s="112"/>
      <c r="M29" s="112"/>
    </row>
    <row r="30" spans="1:13" ht="11.25" customHeight="1">
      <c r="A30" s="151" t="s">
        <v>588</v>
      </c>
      <c r="B30" s="112" t="s">
        <v>703</v>
      </c>
      <c r="D30" s="112"/>
      <c r="E30" s="112"/>
      <c r="F30" s="112"/>
      <c r="G30" s="112"/>
      <c r="H30" s="112"/>
      <c r="I30" s="112"/>
      <c r="J30" s="112"/>
      <c r="K30" s="112"/>
      <c r="L30" s="112"/>
      <c r="M30" s="112"/>
    </row>
    <row r="31" spans="1:13" ht="11.25" customHeight="1">
      <c r="A31" s="139" t="s">
        <v>625</v>
      </c>
      <c r="B31" s="112" t="s">
        <v>696</v>
      </c>
      <c r="D31" s="112"/>
      <c r="E31" s="112"/>
      <c r="F31" s="112"/>
      <c r="G31" s="112"/>
      <c r="H31" s="112"/>
      <c r="I31" s="112"/>
      <c r="J31" s="112"/>
      <c r="K31" s="112"/>
      <c r="L31" s="112"/>
      <c r="M31" s="112"/>
    </row>
    <row r="32" spans="1:13" ht="11.25" customHeight="1">
      <c r="A32" s="151"/>
      <c r="B32" s="151"/>
      <c r="D32" s="112"/>
      <c r="E32" s="112"/>
      <c r="F32" s="112"/>
      <c r="G32" s="112"/>
      <c r="H32" s="112"/>
      <c r="I32" s="112"/>
      <c r="J32" s="112"/>
      <c r="K32" s="112"/>
      <c r="L32" s="112"/>
      <c r="M32" s="112"/>
    </row>
    <row r="33" spans="1:13" ht="11.25" customHeight="1">
      <c r="A33" s="140" t="s">
        <v>633</v>
      </c>
      <c r="B33" s="140"/>
      <c r="D33" s="112"/>
      <c r="E33" s="112"/>
      <c r="F33" s="112"/>
      <c r="G33" s="112"/>
      <c r="H33" s="112"/>
      <c r="I33" s="112"/>
      <c r="J33" s="112"/>
      <c r="K33" s="112"/>
      <c r="L33" s="112"/>
      <c r="M33" s="112"/>
    </row>
    <row r="34" spans="1:13" ht="11.25" customHeight="1">
      <c r="A34" s="151">
        <v>1</v>
      </c>
      <c r="B34" s="112" t="s">
        <v>697</v>
      </c>
      <c r="D34" s="112"/>
      <c r="E34" s="112"/>
      <c r="F34" s="112"/>
      <c r="G34" s="112"/>
      <c r="H34" s="112"/>
      <c r="I34" s="112"/>
      <c r="J34" s="112"/>
      <c r="K34" s="112"/>
      <c r="L34" s="112"/>
      <c r="M34" s="112"/>
    </row>
    <row r="35" spans="1:13" ht="11.25" customHeight="1">
      <c r="A35" s="151">
        <v>2</v>
      </c>
      <c r="B35" s="112" t="s">
        <v>698</v>
      </c>
      <c r="D35" s="112"/>
      <c r="E35" s="112"/>
      <c r="F35" s="112"/>
      <c r="G35" s="112"/>
      <c r="H35" s="112"/>
      <c r="I35" s="112"/>
      <c r="J35" s="112"/>
      <c r="K35" s="112"/>
      <c r="L35" s="112"/>
      <c r="M35" s="112"/>
    </row>
    <row r="36" spans="1:13" ht="11.25" customHeight="1">
      <c r="A36" s="151">
        <v>3</v>
      </c>
      <c r="B36" s="112" t="s">
        <v>699</v>
      </c>
      <c r="D36" s="112"/>
      <c r="E36" s="112"/>
      <c r="F36" s="112"/>
      <c r="G36" s="112"/>
      <c r="H36" s="112"/>
      <c r="I36" s="112"/>
      <c r="J36" s="112"/>
      <c r="K36" s="112"/>
      <c r="L36" s="112"/>
      <c r="M36" s="112"/>
    </row>
    <row r="37" spans="1:13" ht="11.25" customHeight="1">
      <c r="A37" s="151">
        <v>4</v>
      </c>
      <c r="B37" s="112" t="s">
        <v>700</v>
      </c>
    </row>
  </sheetData>
  <mergeCells count="1">
    <mergeCell ref="C1:M1"/>
  </mergeCells>
  <hyperlinks>
    <hyperlink ref="C1" location="INDEX" display="Electric boiler, 10 kV, steam, 1-12 bar" xr:uid="{4A8F3C36-7F54-4A56-B91A-5411033236CC}"/>
  </hyperlinks>
  <pageMargins left="0.7" right="0.7" top="0.75" bottom="0.75" header="0.3" footer="0.3"/>
  <pageSetup paperSize="9" scale="32" orientation="landscape" horizontalDpi="4294967295" verticalDpi="4294967295"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E76B-25FB-4041-9B68-A9C7E4EE091C}">
  <dimension ref="A1:M41"/>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5" width="9.140625" style="87"/>
    <col min="16" max="16" width="19.85546875" style="87" bestFit="1" customWidth="1"/>
    <col min="17" max="17" width="7.28515625" style="87" customWidth="1"/>
    <col min="18" max="20" width="8.7109375" style="87" customWidth="1"/>
    <col min="21" max="21" width="7.28515625" style="87" bestFit="1" customWidth="1"/>
    <col min="22" max="24" width="8.7109375" style="87" customWidth="1"/>
    <col min="25" max="25" width="7.28515625" style="87" bestFit="1" customWidth="1"/>
    <col min="26" max="28" width="8.7109375" style="87" customWidth="1"/>
    <col min="29" max="30" width="9.140625" style="87"/>
    <col min="31" max="31" width="18.7109375" style="87" customWidth="1"/>
    <col min="32" max="32" width="9.140625" style="87"/>
    <col min="33" max="33" width="16.5703125" style="87" customWidth="1"/>
    <col min="34" max="16384" width="9.140625" style="87"/>
  </cols>
  <sheetData>
    <row r="1" spans="1:13" ht="11.25" customHeight="1">
      <c r="A1" s="84" t="s">
        <v>557</v>
      </c>
      <c r="B1" s="85"/>
      <c r="C1" s="433" t="s">
        <v>704</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114" t="s">
        <v>583</v>
      </c>
      <c r="B5" s="142"/>
      <c r="H5" s="100"/>
      <c r="I5" s="100"/>
      <c r="J5" s="100"/>
      <c r="K5" s="100"/>
    </row>
    <row r="6" spans="1:13" ht="11.25" customHeight="1">
      <c r="B6" s="96" t="s">
        <v>584</v>
      </c>
      <c r="C6" s="143">
        <v>2</v>
      </c>
      <c r="D6" s="143">
        <v>2</v>
      </c>
      <c r="E6" s="143">
        <v>2</v>
      </c>
      <c r="F6" s="143">
        <v>2</v>
      </c>
      <c r="G6" s="143">
        <v>2</v>
      </c>
      <c r="H6" s="143">
        <v>1</v>
      </c>
      <c r="I6" s="143">
        <v>5</v>
      </c>
      <c r="J6" s="143">
        <v>1</v>
      </c>
      <c r="K6" s="143">
        <v>5</v>
      </c>
      <c r="L6" s="143" t="s">
        <v>585</v>
      </c>
      <c r="M6" s="143"/>
    </row>
    <row r="7" spans="1:13" ht="11.25" customHeight="1">
      <c r="B7" s="96" t="s">
        <v>587</v>
      </c>
      <c r="C7" s="144">
        <v>0.99</v>
      </c>
      <c r="D7" s="144">
        <v>0.99</v>
      </c>
      <c r="E7" s="144">
        <v>0.99</v>
      </c>
      <c r="F7" s="144">
        <v>0.99</v>
      </c>
      <c r="G7" s="144">
        <v>0.99</v>
      </c>
      <c r="H7" s="144">
        <v>0.98</v>
      </c>
      <c r="I7" s="144">
        <v>1</v>
      </c>
      <c r="J7" s="144">
        <v>0.98</v>
      </c>
      <c r="K7" s="144">
        <v>1</v>
      </c>
      <c r="L7" s="143"/>
      <c r="M7" s="97" t="s">
        <v>586</v>
      </c>
    </row>
    <row r="8" spans="1:13" ht="11.25" customHeight="1">
      <c r="B8" s="96" t="s">
        <v>590</v>
      </c>
      <c r="C8" s="144">
        <v>0.99</v>
      </c>
      <c r="D8" s="144">
        <v>0.99</v>
      </c>
      <c r="E8" s="144">
        <v>0.99</v>
      </c>
      <c r="F8" s="144">
        <v>0.99</v>
      </c>
      <c r="G8" s="144">
        <v>0.99</v>
      </c>
      <c r="H8" s="144">
        <v>0.98</v>
      </c>
      <c r="I8" s="144">
        <v>0.99</v>
      </c>
      <c r="J8" s="144">
        <v>0.98</v>
      </c>
      <c r="K8" s="144">
        <v>0.99</v>
      </c>
      <c r="L8" s="143"/>
      <c r="M8" s="97" t="s">
        <v>586</v>
      </c>
    </row>
    <row r="9" spans="1:13" ht="11.25" customHeight="1">
      <c r="B9" s="96" t="s">
        <v>592</v>
      </c>
      <c r="C9" s="145">
        <v>5.0000000000000001E-3</v>
      </c>
      <c r="D9" s="145">
        <v>5.0000000000000001E-3</v>
      </c>
      <c r="E9" s="145">
        <v>5.0000000000000001E-3</v>
      </c>
      <c r="F9" s="145">
        <v>5.0000000000000001E-3</v>
      </c>
      <c r="G9" s="145">
        <v>5.0000000000000001E-3</v>
      </c>
      <c r="H9" s="145">
        <v>1E-3</v>
      </c>
      <c r="I9" s="145">
        <v>5.0000000000000001E-3</v>
      </c>
      <c r="J9" s="145">
        <v>1E-3</v>
      </c>
      <c r="K9" s="145">
        <v>5.0000000000000001E-3</v>
      </c>
      <c r="L9" s="143"/>
      <c r="M9" s="97" t="s">
        <v>586</v>
      </c>
    </row>
    <row r="10" spans="1:13" ht="11.25" customHeight="1">
      <c r="B10" s="96" t="s">
        <v>593</v>
      </c>
      <c r="C10" s="144">
        <v>0.01</v>
      </c>
      <c r="D10" s="144">
        <v>0.01</v>
      </c>
      <c r="E10" s="144">
        <v>0.01</v>
      </c>
      <c r="F10" s="144">
        <v>0.01</v>
      </c>
      <c r="G10" s="144">
        <v>0.01</v>
      </c>
      <c r="H10" s="145">
        <v>5.0000000000000001E-3</v>
      </c>
      <c r="I10" s="144">
        <v>0.01</v>
      </c>
      <c r="J10" s="145">
        <v>5.0000000000000001E-3</v>
      </c>
      <c r="K10" s="144">
        <v>0.01</v>
      </c>
      <c r="L10" s="143"/>
      <c r="M10" s="97" t="s">
        <v>586</v>
      </c>
    </row>
    <row r="11" spans="1:13" ht="11.25" customHeight="1">
      <c r="B11" s="96" t="s">
        <v>595</v>
      </c>
      <c r="C11" s="143">
        <v>0.2</v>
      </c>
      <c r="D11" s="143">
        <v>0.2</v>
      </c>
      <c r="E11" s="143">
        <v>0.2</v>
      </c>
      <c r="F11" s="143">
        <v>0.2</v>
      </c>
      <c r="G11" s="143">
        <v>0.2</v>
      </c>
      <c r="H11" s="143">
        <v>0.2</v>
      </c>
      <c r="I11" s="143">
        <v>0.2</v>
      </c>
      <c r="J11" s="143">
        <v>0.2</v>
      </c>
      <c r="K11" s="143">
        <v>0.2</v>
      </c>
      <c r="L11" s="143"/>
      <c r="M11" s="143">
        <v>1</v>
      </c>
    </row>
    <row r="12" spans="1:13" ht="11.25" customHeight="1">
      <c r="B12" s="96" t="s">
        <v>596</v>
      </c>
      <c r="C12" s="143">
        <v>25</v>
      </c>
      <c r="D12" s="143">
        <v>25</v>
      </c>
      <c r="E12" s="143">
        <v>25</v>
      </c>
      <c r="F12" s="143">
        <v>25</v>
      </c>
      <c r="G12" s="143">
        <v>25</v>
      </c>
      <c r="H12" s="143">
        <v>20</v>
      </c>
      <c r="I12" s="143">
        <v>25</v>
      </c>
      <c r="J12" s="143">
        <v>20</v>
      </c>
      <c r="K12" s="143">
        <v>25</v>
      </c>
      <c r="L12" s="143"/>
      <c r="M12" s="143">
        <v>2</v>
      </c>
    </row>
    <row r="13" spans="1:13" ht="11.25" customHeight="1">
      <c r="B13" s="96" t="s">
        <v>597</v>
      </c>
      <c r="C13" s="143">
        <v>0.5</v>
      </c>
      <c r="D13" s="143">
        <v>0.5</v>
      </c>
      <c r="E13" s="143">
        <v>0.5</v>
      </c>
      <c r="F13" s="143">
        <v>0.5</v>
      </c>
      <c r="G13" s="143">
        <v>0.5</v>
      </c>
      <c r="H13" s="143">
        <v>0.5</v>
      </c>
      <c r="I13" s="143">
        <v>1</v>
      </c>
      <c r="J13" s="143">
        <v>0.5</v>
      </c>
      <c r="K13" s="143">
        <v>1</v>
      </c>
      <c r="L13" s="143"/>
      <c r="M13" s="143">
        <v>1</v>
      </c>
    </row>
    <row r="14" spans="1:13" ht="11.25" customHeight="1">
      <c r="A14" s="100" t="s">
        <v>598</v>
      </c>
      <c r="B14" s="146"/>
      <c r="C14" s="147"/>
      <c r="D14" s="147"/>
      <c r="E14" s="147"/>
      <c r="F14" s="147"/>
      <c r="G14" s="147"/>
      <c r="H14" s="148"/>
      <c r="I14" s="148"/>
      <c r="J14" s="148"/>
      <c r="K14" s="148"/>
      <c r="L14" s="97"/>
      <c r="M14" s="97"/>
    </row>
    <row r="15" spans="1:13" ht="11.25" customHeight="1">
      <c r="B15" s="96" t="s">
        <v>599</v>
      </c>
      <c r="C15" s="144">
        <v>0.05</v>
      </c>
      <c r="D15" s="144">
        <v>0.05</v>
      </c>
      <c r="E15" s="144">
        <v>0.05</v>
      </c>
      <c r="F15" s="144">
        <v>0.05</v>
      </c>
      <c r="G15" s="144">
        <v>0.05</v>
      </c>
      <c r="H15" s="143"/>
      <c r="I15" s="143"/>
      <c r="J15" s="143"/>
      <c r="K15" s="143"/>
      <c r="L15" s="97"/>
      <c r="M15" s="97">
        <v>1</v>
      </c>
    </row>
    <row r="16" spans="1:13" ht="11.25" customHeight="1">
      <c r="B16" s="96" t="s">
        <v>600</v>
      </c>
      <c r="C16" s="149">
        <v>8.0000000000000002E-3</v>
      </c>
      <c r="D16" s="149">
        <v>8.0000000000000002E-3</v>
      </c>
      <c r="E16" s="149">
        <v>8.0000000000000002E-3</v>
      </c>
      <c r="F16" s="149">
        <v>8.0000000000000002E-3</v>
      </c>
      <c r="G16" s="149">
        <v>8.0000000000000002E-3</v>
      </c>
      <c r="H16" s="143"/>
      <c r="I16" s="143"/>
      <c r="J16" s="143"/>
      <c r="K16" s="143"/>
      <c r="L16" s="97"/>
      <c r="M16" s="97">
        <v>1</v>
      </c>
    </row>
    <row r="17" spans="1:13" ht="11.25" customHeight="1">
      <c r="B17" s="96" t="s">
        <v>601</v>
      </c>
      <c r="C17" s="149">
        <v>0.08</v>
      </c>
      <c r="D17" s="149">
        <v>0.08</v>
      </c>
      <c r="E17" s="149">
        <v>0.08</v>
      </c>
      <c r="F17" s="149">
        <v>0.08</v>
      </c>
      <c r="G17" s="149">
        <v>0.08</v>
      </c>
      <c r="H17" s="143"/>
      <c r="I17" s="143"/>
      <c r="J17" s="143"/>
      <c r="K17" s="143"/>
      <c r="L17" s="97"/>
      <c r="M17" s="97">
        <v>1</v>
      </c>
    </row>
    <row r="18" spans="1:13" ht="11.25" customHeight="1">
      <c r="A18" s="100" t="s">
        <v>602</v>
      </c>
      <c r="B18" s="146"/>
      <c r="C18" s="147"/>
      <c r="D18" s="147"/>
      <c r="E18" s="147"/>
      <c r="F18" s="147"/>
      <c r="G18" s="147"/>
      <c r="H18" s="148"/>
      <c r="I18" s="148"/>
      <c r="J18" s="148"/>
      <c r="K18" s="148"/>
      <c r="L18" s="97"/>
      <c r="M18" s="97"/>
    </row>
    <row r="19" spans="1:13" ht="11.25" customHeight="1">
      <c r="B19" s="96" t="s">
        <v>603</v>
      </c>
      <c r="C19" s="150">
        <v>0.20200000000000001</v>
      </c>
      <c r="D19" s="150">
        <v>0.187</v>
      </c>
      <c r="E19" s="150">
        <v>0.187</v>
      </c>
      <c r="F19" s="150">
        <v>0.187</v>
      </c>
      <c r="G19" s="150">
        <v>0.187</v>
      </c>
      <c r="L19" s="97" t="s">
        <v>591</v>
      </c>
      <c r="M19" s="97" t="s">
        <v>690</v>
      </c>
    </row>
    <row r="20" spans="1:13" ht="11.25" customHeight="1">
      <c r="B20" s="96" t="s">
        <v>604</v>
      </c>
      <c r="C20" s="144">
        <v>0.75</v>
      </c>
      <c r="D20" s="144">
        <v>0.75</v>
      </c>
      <c r="E20" s="144">
        <v>0.75</v>
      </c>
      <c r="F20" s="144">
        <v>0.75</v>
      </c>
      <c r="G20" s="144">
        <v>0.75</v>
      </c>
      <c r="L20" s="97"/>
      <c r="M20" s="97">
        <v>2</v>
      </c>
    </row>
    <row r="21" spans="1:13" ht="11.25" customHeight="1">
      <c r="B21" s="96" t="s">
        <v>651</v>
      </c>
      <c r="C21" s="144">
        <v>0.25</v>
      </c>
      <c r="D21" s="144">
        <v>0.25</v>
      </c>
      <c r="E21" s="144">
        <v>0.25</v>
      </c>
      <c r="F21" s="144">
        <v>0.25</v>
      </c>
      <c r="G21" s="144">
        <v>0.25</v>
      </c>
      <c r="L21" s="97"/>
      <c r="M21" s="97">
        <v>2</v>
      </c>
    </row>
    <row r="22" spans="1:13" ht="11.25" customHeight="1">
      <c r="B22" s="96" t="s">
        <v>608</v>
      </c>
      <c r="C22" s="128">
        <v>1254</v>
      </c>
      <c r="D22" s="128">
        <v>1196</v>
      </c>
      <c r="E22" s="128">
        <v>1166</v>
      </c>
      <c r="F22" s="128">
        <v>1137</v>
      </c>
      <c r="G22" s="128">
        <v>1079</v>
      </c>
      <c r="L22" s="97"/>
      <c r="M22" s="97">
        <v>1</v>
      </c>
    </row>
    <row r="23" spans="1:13" ht="11.25" customHeight="1">
      <c r="B23" s="96" t="s">
        <v>609</v>
      </c>
      <c r="C23" s="138">
        <v>0.59</v>
      </c>
      <c r="D23" s="138">
        <v>0.56000000000000005</v>
      </c>
      <c r="E23" s="138">
        <v>0.54</v>
      </c>
      <c r="F23" s="138">
        <v>0.53</v>
      </c>
      <c r="G23" s="138">
        <v>0.5</v>
      </c>
      <c r="L23" s="97"/>
      <c r="M23" s="97" t="s">
        <v>692</v>
      </c>
    </row>
    <row r="24" spans="1:13" ht="11.25" customHeight="1">
      <c r="A24" s="100" t="s">
        <v>610</v>
      </c>
      <c r="B24" s="146"/>
      <c r="C24" s="147"/>
      <c r="D24" s="147"/>
      <c r="E24" s="147"/>
      <c r="F24" s="147"/>
      <c r="G24" s="147"/>
      <c r="H24" s="148"/>
      <c r="I24" s="148"/>
      <c r="J24" s="148"/>
      <c r="K24" s="148"/>
      <c r="L24" s="97"/>
    </row>
    <row r="25" spans="1:13" ht="11.25" customHeight="1">
      <c r="B25" s="96" t="s">
        <v>611</v>
      </c>
      <c r="C25" s="150">
        <f>C19*0.5</f>
        <v>0.10100000000000001</v>
      </c>
      <c r="D25" s="150">
        <f t="shared" ref="D25:G25" si="0">D19*0.5</f>
        <v>9.35E-2</v>
      </c>
      <c r="E25" s="150">
        <f t="shared" si="0"/>
        <v>9.35E-2</v>
      </c>
      <c r="F25" s="150">
        <f t="shared" si="0"/>
        <v>9.35E-2</v>
      </c>
      <c r="G25" s="150">
        <f t="shared" si="0"/>
        <v>9.35E-2</v>
      </c>
      <c r="H25" s="148"/>
      <c r="I25" s="148"/>
      <c r="J25" s="148"/>
      <c r="K25" s="148"/>
      <c r="L25" s="97" t="s">
        <v>594</v>
      </c>
      <c r="M25" s="97"/>
    </row>
    <row r="26" spans="1:13" ht="11.25" customHeight="1">
      <c r="B26" s="96" t="s">
        <v>693</v>
      </c>
      <c r="C26" s="150">
        <v>5.7000000000000002E-2</v>
      </c>
      <c r="D26" s="150">
        <v>4.9000000000000002E-2</v>
      </c>
      <c r="E26" s="154">
        <v>4.9000000000000002E-2</v>
      </c>
      <c r="F26" s="150">
        <v>4.9000000000000002E-2</v>
      </c>
      <c r="G26" s="150">
        <v>4.9000000000000002E-2</v>
      </c>
      <c r="H26" s="148"/>
      <c r="I26" s="148"/>
      <c r="J26" s="148"/>
      <c r="K26" s="148"/>
      <c r="L26" s="97"/>
      <c r="M26" s="97"/>
    </row>
    <row r="27" spans="1:13" ht="11.25" customHeight="1" thickBot="1">
      <c r="A27" s="111"/>
      <c r="B27" s="111"/>
      <c r="C27" s="111"/>
      <c r="D27" s="111"/>
      <c r="E27" s="111"/>
      <c r="F27" s="111"/>
      <c r="G27" s="111"/>
      <c r="H27" s="111"/>
      <c r="I27" s="111"/>
      <c r="J27" s="111"/>
      <c r="K27" s="111"/>
      <c r="L27" s="111"/>
      <c r="M27" s="111"/>
    </row>
    <row r="28" spans="1:13" ht="11.25" customHeight="1">
      <c r="J28" s="112"/>
      <c r="K28" s="112"/>
      <c r="L28" s="112"/>
      <c r="M28" s="112"/>
    </row>
    <row r="29" spans="1:13" ht="11.25" customHeight="1">
      <c r="A29" s="117" t="s">
        <v>622</v>
      </c>
      <c r="F29" s="112"/>
      <c r="G29" s="112"/>
      <c r="H29" s="112"/>
      <c r="I29" s="112"/>
      <c r="J29" s="112"/>
      <c r="K29" s="112"/>
      <c r="L29" s="112"/>
      <c r="M29" s="112"/>
    </row>
    <row r="30" spans="1:13" ht="11.25" customHeight="1">
      <c r="A30" s="151" t="s">
        <v>585</v>
      </c>
      <c r="B30" s="112" t="s">
        <v>694</v>
      </c>
      <c r="D30" s="112"/>
      <c r="E30" s="112"/>
      <c r="F30" s="112"/>
      <c r="G30" s="112"/>
      <c r="H30" s="112"/>
      <c r="I30" s="112"/>
      <c r="J30" s="112"/>
      <c r="K30" s="112"/>
      <c r="L30" s="112"/>
      <c r="M30" s="112"/>
    </row>
    <row r="31" spans="1:13" ht="11.25" customHeight="1">
      <c r="A31" s="151" t="s">
        <v>588</v>
      </c>
      <c r="B31" s="152" t="s">
        <v>695</v>
      </c>
      <c r="D31" s="112"/>
      <c r="E31" s="112"/>
      <c r="F31" s="112"/>
      <c r="G31" s="112"/>
      <c r="H31" s="112"/>
      <c r="I31" s="112"/>
      <c r="J31" s="112"/>
      <c r="K31" s="112"/>
      <c r="L31" s="112"/>
      <c r="M31" s="112"/>
    </row>
    <row r="32" spans="1:13" ht="11.25" customHeight="1">
      <c r="A32" s="139" t="s">
        <v>625</v>
      </c>
      <c r="B32" s="112" t="s">
        <v>705</v>
      </c>
      <c r="D32" s="112"/>
      <c r="E32" s="112"/>
      <c r="F32" s="112"/>
      <c r="G32" s="112"/>
      <c r="H32" s="112"/>
      <c r="I32" s="112"/>
      <c r="J32" s="112"/>
      <c r="K32" s="112"/>
      <c r="L32" s="112"/>
      <c r="M32" s="112"/>
    </row>
    <row r="33" spans="1:13" ht="11.25" customHeight="1">
      <c r="A33" s="151" t="s">
        <v>594</v>
      </c>
      <c r="B33" s="112" t="s">
        <v>631</v>
      </c>
      <c r="D33" s="112"/>
      <c r="E33" s="112"/>
      <c r="F33" s="112"/>
      <c r="G33" s="112"/>
      <c r="H33" s="112"/>
      <c r="I33" s="112"/>
      <c r="J33" s="112"/>
      <c r="K33" s="112"/>
      <c r="L33" s="112"/>
      <c r="M33" s="112"/>
    </row>
    <row r="34" spans="1:13" ht="11.25" customHeight="1">
      <c r="D34" s="112"/>
      <c r="E34" s="112"/>
      <c r="F34" s="112"/>
      <c r="G34" s="112"/>
      <c r="H34" s="112"/>
      <c r="I34" s="112"/>
      <c r="J34" s="112"/>
      <c r="K34" s="112"/>
      <c r="L34" s="112"/>
      <c r="M34" s="112"/>
    </row>
    <row r="35" spans="1:13" ht="11.25" customHeight="1">
      <c r="A35" s="140" t="s">
        <v>633</v>
      </c>
      <c r="B35" s="140"/>
      <c r="D35" s="112"/>
      <c r="E35" s="112"/>
      <c r="F35" s="112"/>
      <c r="G35" s="112"/>
      <c r="H35" s="112"/>
      <c r="I35" s="112"/>
      <c r="J35" s="112"/>
      <c r="K35" s="112"/>
      <c r="L35" s="112"/>
      <c r="M35" s="112"/>
    </row>
    <row r="36" spans="1:13" ht="11.25" customHeight="1">
      <c r="A36" s="151">
        <v>1</v>
      </c>
      <c r="B36" s="112" t="s">
        <v>697</v>
      </c>
      <c r="D36" s="112"/>
      <c r="E36" s="112"/>
      <c r="F36" s="112"/>
      <c r="G36" s="112"/>
      <c r="H36" s="112"/>
      <c r="I36" s="112"/>
      <c r="J36" s="112"/>
      <c r="K36" s="112"/>
      <c r="L36" s="112"/>
      <c r="M36" s="112"/>
    </row>
    <row r="37" spans="1:13" ht="11.25" customHeight="1">
      <c r="A37" s="151">
        <v>2</v>
      </c>
      <c r="B37" s="112" t="s">
        <v>698</v>
      </c>
      <c r="D37" s="112"/>
      <c r="E37" s="112"/>
      <c r="F37" s="112"/>
      <c r="G37" s="112"/>
      <c r="H37" s="112"/>
      <c r="I37" s="112"/>
      <c r="J37" s="112"/>
      <c r="K37" s="112"/>
      <c r="L37" s="112"/>
      <c r="M37" s="112"/>
    </row>
    <row r="38" spans="1:13" ht="11.25" customHeight="1">
      <c r="A38" s="151">
        <v>3</v>
      </c>
      <c r="B38" s="112" t="s">
        <v>706</v>
      </c>
      <c r="D38" s="112"/>
      <c r="E38" s="112"/>
      <c r="F38" s="112"/>
      <c r="G38" s="112"/>
      <c r="H38" s="112"/>
      <c r="I38" s="112"/>
      <c r="J38" s="112"/>
      <c r="K38" s="112"/>
      <c r="L38" s="112"/>
      <c r="M38" s="112"/>
    </row>
    <row r="39" spans="1:13" ht="11.25" customHeight="1">
      <c r="A39" s="151">
        <v>4</v>
      </c>
      <c r="B39" s="112" t="s">
        <v>700</v>
      </c>
    </row>
    <row r="40" spans="1:13" ht="11.25" customHeight="1">
      <c r="A40" s="151"/>
      <c r="B40" s="151"/>
      <c r="C40" s="112"/>
    </row>
    <row r="41" spans="1:13" ht="11.25" customHeight="1">
      <c r="A41" s="151"/>
      <c r="B41" s="151"/>
      <c r="C41" s="112"/>
    </row>
  </sheetData>
  <mergeCells count="1">
    <mergeCell ref="C1:M1"/>
  </mergeCells>
  <hyperlinks>
    <hyperlink ref="C1" location="INDEX" display="Electric boiler, 0,4-0,69 kV, hot water, 1-12 bar" xr:uid="{0C7BB565-D2BB-495A-85E8-8B7A93D9F59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8A24-1DA5-46BD-B64E-4F86F4CD2585}">
  <dimension ref="A1:M41"/>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5" width="9.140625" style="87"/>
    <col min="16" max="16" width="19.28515625" style="87" bestFit="1" customWidth="1"/>
    <col min="17" max="17" width="7.28515625" style="87" customWidth="1"/>
    <col min="18" max="20" width="8.7109375" style="87" customWidth="1"/>
    <col min="21" max="21" width="7.42578125" style="87" bestFit="1" customWidth="1"/>
    <col min="22" max="24" width="8.7109375" style="87" customWidth="1"/>
    <col min="25" max="25" width="7.42578125" style="87" bestFit="1" customWidth="1"/>
    <col min="26" max="28" width="8.7109375" style="87" customWidth="1"/>
    <col min="29" max="30" width="9.140625" style="87"/>
    <col min="31" max="31" width="18.7109375" style="87" customWidth="1"/>
    <col min="32" max="32" width="9.140625" style="87"/>
    <col min="33" max="33" width="16.5703125" style="87" customWidth="1"/>
    <col min="34" max="16384" width="9.140625" style="87"/>
  </cols>
  <sheetData>
    <row r="1" spans="1:13" ht="11.25" customHeight="1">
      <c r="A1" s="84" t="s">
        <v>557</v>
      </c>
      <c r="B1" s="85"/>
      <c r="C1" s="433" t="s">
        <v>707</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114" t="s">
        <v>583</v>
      </c>
      <c r="B5" s="142"/>
      <c r="H5" s="100"/>
      <c r="I5" s="100"/>
      <c r="J5" s="100"/>
      <c r="K5" s="100"/>
    </row>
    <row r="6" spans="1:13" ht="11.25" customHeight="1">
      <c r="B6" s="96" t="s">
        <v>584</v>
      </c>
      <c r="C6" s="143">
        <v>15</v>
      </c>
      <c r="D6" s="143">
        <v>15</v>
      </c>
      <c r="E6" s="143">
        <v>15</v>
      </c>
      <c r="F6" s="143">
        <v>15</v>
      </c>
      <c r="G6" s="143">
        <v>15</v>
      </c>
      <c r="H6" s="143">
        <v>5</v>
      </c>
      <c r="I6" s="143">
        <v>60</v>
      </c>
      <c r="J6" s="143">
        <v>5</v>
      </c>
      <c r="K6" s="143">
        <v>60</v>
      </c>
      <c r="L6" s="143" t="s">
        <v>585</v>
      </c>
      <c r="M6" s="143"/>
    </row>
    <row r="7" spans="1:13" ht="11.25" customHeight="1">
      <c r="B7" s="96" t="s">
        <v>587</v>
      </c>
      <c r="C7" s="144">
        <v>0.99</v>
      </c>
      <c r="D7" s="144">
        <v>0.99</v>
      </c>
      <c r="E7" s="144">
        <v>0.99</v>
      </c>
      <c r="F7" s="144">
        <v>0.99</v>
      </c>
      <c r="G7" s="144">
        <v>0.99</v>
      </c>
      <c r="H7" s="144">
        <v>0.98</v>
      </c>
      <c r="I7" s="144">
        <v>1</v>
      </c>
      <c r="J7" s="144">
        <v>0.98</v>
      </c>
      <c r="K7" s="144">
        <v>1</v>
      </c>
      <c r="L7" s="143"/>
      <c r="M7" s="97" t="s">
        <v>586</v>
      </c>
    </row>
    <row r="8" spans="1:13" ht="11.25" customHeight="1">
      <c r="B8" s="96" t="s">
        <v>590</v>
      </c>
      <c r="C8" s="144">
        <v>0.99</v>
      </c>
      <c r="D8" s="144">
        <v>0.99</v>
      </c>
      <c r="E8" s="144">
        <v>0.99</v>
      </c>
      <c r="F8" s="144">
        <v>0.99</v>
      </c>
      <c r="G8" s="144">
        <v>0.99</v>
      </c>
      <c r="H8" s="144">
        <v>0.98</v>
      </c>
      <c r="I8" s="144">
        <v>0.99</v>
      </c>
      <c r="J8" s="144">
        <v>0.98</v>
      </c>
      <c r="K8" s="144">
        <v>0.99</v>
      </c>
      <c r="L8" s="143"/>
      <c r="M8" s="97" t="s">
        <v>586</v>
      </c>
    </row>
    <row r="9" spans="1:13" ht="11.25" customHeight="1">
      <c r="B9" s="96" t="s">
        <v>592</v>
      </c>
      <c r="C9" s="145">
        <v>5.0000000000000001E-3</v>
      </c>
      <c r="D9" s="145">
        <v>5.0000000000000001E-3</v>
      </c>
      <c r="E9" s="145">
        <v>5.0000000000000001E-3</v>
      </c>
      <c r="F9" s="145">
        <v>5.0000000000000001E-3</v>
      </c>
      <c r="G9" s="145">
        <v>5.0000000000000001E-3</v>
      </c>
      <c r="H9" s="145">
        <v>1E-3</v>
      </c>
      <c r="I9" s="145">
        <v>5.0000000000000001E-3</v>
      </c>
      <c r="J9" s="145">
        <v>1E-3</v>
      </c>
      <c r="K9" s="145">
        <v>5.0000000000000001E-3</v>
      </c>
      <c r="L9" s="143"/>
      <c r="M9" s="97" t="s">
        <v>586</v>
      </c>
    </row>
    <row r="10" spans="1:13" ht="11.25" customHeight="1">
      <c r="B10" s="96" t="s">
        <v>593</v>
      </c>
      <c r="C10" s="144">
        <v>0.01</v>
      </c>
      <c r="D10" s="144">
        <v>0.01</v>
      </c>
      <c r="E10" s="144">
        <v>0.01</v>
      </c>
      <c r="F10" s="144">
        <v>0.01</v>
      </c>
      <c r="G10" s="144">
        <v>0.01</v>
      </c>
      <c r="H10" s="155">
        <v>5.0000000000000001E-3</v>
      </c>
      <c r="I10" s="144">
        <v>0.01</v>
      </c>
      <c r="J10" s="155">
        <v>5.0000000000000001E-3</v>
      </c>
      <c r="K10" s="144">
        <v>0.01</v>
      </c>
      <c r="L10" s="143"/>
      <c r="M10" s="97" t="s">
        <v>586</v>
      </c>
    </row>
    <row r="11" spans="1:13" ht="11.25" customHeight="1">
      <c r="B11" s="96" t="s">
        <v>595</v>
      </c>
      <c r="C11" s="143">
        <v>0.2</v>
      </c>
      <c r="D11" s="143">
        <v>0.2</v>
      </c>
      <c r="E11" s="143">
        <v>0.2</v>
      </c>
      <c r="F11" s="143">
        <v>0.2</v>
      </c>
      <c r="G11" s="143">
        <v>0.2</v>
      </c>
      <c r="H11" s="143">
        <v>0.2</v>
      </c>
      <c r="I11" s="143">
        <v>0.2</v>
      </c>
      <c r="J11" s="143">
        <v>0.2</v>
      </c>
      <c r="K11" s="143">
        <v>0.2</v>
      </c>
      <c r="L11" s="143"/>
      <c r="M11" s="143">
        <v>1</v>
      </c>
    </row>
    <row r="12" spans="1:13" ht="11.25" customHeight="1">
      <c r="B12" s="96" t="s">
        <v>596</v>
      </c>
      <c r="C12" s="143">
        <v>25</v>
      </c>
      <c r="D12" s="143">
        <v>25</v>
      </c>
      <c r="E12" s="143">
        <v>25</v>
      </c>
      <c r="F12" s="143">
        <v>25</v>
      </c>
      <c r="G12" s="143">
        <v>25</v>
      </c>
      <c r="H12" s="143">
        <v>20</v>
      </c>
      <c r="I12" s="143">
        <v>25</v>
      </c>
      <c r="J12" s="143">
        <v>20</v>
      </c>
      <c r="K12" s="143">
        <v>25</v>
      </c>
      <c r="L12" s="143"/>
      <c r="M12" s="143">
        <v>2</v>
      </c>
    </row>
    <row r="13" spans="1:13" ht="11.25" customHeight="1">
      <c r="B13" s="96" t="s">
        <v>597</v>
      </c>
      <c r="C13" s="143">
        <v>0.5</v>
      </c>
      <c r="D13" s="143">
        <v>0.5</v>
      </c>
      <c r="E13" s="143">
        <v>0.5</v>
      </c>
      <c r="F13" s="143">
        <v>0.5</v>
      </c>
      <c r="G13" s="143">
        <v>0.5</v>
      </c>
      <c r="H13" s="143">
        <v>0.5</v>
      </c>
      <c r="I13" s="143">
        <v>1</v>
      </c>
      <c r="J13" s="143">
        <v>0.5</v>
      </c>
      <c r="K13" s="143">
        <v>1</v>
      </c>
      <c r="L13" s="143"/>
      <c r="M13" s="143">
        <v>1</v>
      </c>
    </row>
    <row r="14" spans="1:13" ht="11.25" customHeight="1">
      <c r="A14" s="100" t="s">
        <v>598</v>
      </c>
      <c r="B14" s="146"/>
      <c r="C14" s="147"/>
      <c r="D14" s="147"/>
      <c r="E14" s="147"/>
      <c r="F14" s="147"/>
      <c r="G14" s="147"/>
      <c r="H14" s="148"/>
      <c r="I14" s="148"/>
      <c r="J14" s="148"/>
      <c r="K14" s="148"/>
      <c r="L14" s="97"/>
      <c r="M14" s="97"/>
    </row>
    <row r="15" spans="1:13" ht="11.25" customHeight="1">
      <c r="B15" s="96" t="s">
        <v>599</v>
      </c>
      <c r="C15" s="144">
        <v>0.05</v>
      </c>
      <c r="D15" s="144">
        <v>0.05</v>
      </c>
      <c r="E15" s="144">
        <v>0.05</v>
      </c>
      <c r="F15" s="144">
        <v>0.05</v>
      </c>
      <c r="G15" s="144">
        <v>0.05</v>
      </c>
      <c r="H15" s="143"/>
      <c r="I15" s="143"/>
      <c r="J15" s="143"/>
      <c r="K15" s="143"/>
      <c r="L15" s="97"/>
      <c r="M15" s="97">
        <v>1</v>
      </c>
    </row>
    <row r="16" spans="1:13" ht="11.25" customHeight="1">
      <c r="B16" s="96" t="s">
        <v>600</v>
      </c>
      <c r="C16" s="149">
        <v>8.0000000000000002E-3</v>
      </c>
      <c r="D16" s="149">
        <v>8.0000000000000002E-3</v>
      </c>
      <c r="E16" s="149">
        <v>8.0000000000000002E-3</v>
      </c>
      <c r="F16" s="149">
        <v>8.0000000000000002E-3</v>
      </c>
      <c r="G16" s="149">
        <v>8.0000000000000002E-3</v>
      </c>
      <c r="H16" s="143"/>
      <c r="I16" s="143"/>
      <c r="J16" s="143"/>
      <c r="K16" s="143"/>
      <c r="L16" s="97"/>
      <c r="M16" s="97">
        <v>1</v>
      </c>
    </row>
    <row r="17" spans="1:13" ht="11.25" customHeight="1">
      <c r="B17" s="96" t="s">
        <v>601</v>
      </c>
      <c r="C17" s="149">
        <v>0.08</v>
      </c>
      <c r="D17" s="149">
        <v>0.08</v>
      </c>
      <c r="E17" s="149">
        <v>0.08</v>
      </c>
      <c r="F17" s="149">
        <v>0.08</v>
      </c>
      <c r="G17" s="149">
        <v>0.08</v>
      </c>
      <c r="H17" s="143"/>
      <c r="I17" s="143"/>
      <c r="J17" s="143"/>
      <c r="K17" s="143"/>
      <c r="L17" s="97"/>
      <c r="M17" s="97">
        <v>1</v>
      </c>
    </row>
    <row r="18" spans="1:13" ht="11.25" customHeight="1">
      <c r="A18" s="100" t="s">
        <v>602</v>
      </c>
      <c r="B18" s="146"/>
      <c r="C18" s="147"/>
      <c r="D18" s="147"/>
      <c r="E18" s="147"/>
      <c r="F18" s="147"/>
      <c r="G18" s="147"/>
      <c r="H18" s="148"/>
      <c r="I18" s="148"/>
      <c r="J18" s="148"/>
      <c r="K18" s="148"/>
      <c r="L18" s="97"/>
      <c r="M18" s="97"/>
    </row>
    <row r="19" spans="1:13" ht="11.25" customHeight="1">
      <c r="B19" s="96" t="s">
        <v>603</v>
      </c>
      <c r="C19" s="150">
        <v>8.8999999999999996E-2</v>
      </c>
      <c r="D19" s="150">
        <v>8.4000000000000005E-2</v>
      </c>
      <c r="E19" s="150">
        <v>8.4000000000000005E-2</v>
      </c>
      <c r="F19" s="150">
        <v>8.4000000000000005E-2</v>
      </c>
      <c r="G19" s="150">
        <v>8.4000000000000005E-2</v>
      </c>
      <c r="L19" s="97" t="s">
        <v>591</v>
      </c>
      <c r="M19" s="97" t="s">
        <v>690</v>
      </c>
    </row>
    <row r="20" spans="1:13" ht="11.25" customHeight="1">
      <c r="B20" s="96" t="s">
        <v>604</v>
      </c>
      <c r="C20" s="144">
        <v>0.85</v>
      </c>
      <c r="D20" s="144">
        <v>0.85</v>
      </c>
      <c r="E20" s="144">
        <v>0.85</v>
      </c>
      <c r="F20" s="144">
        <v>0.85</v>
      </c>
      <c r="G20" s="144">
        <v>0.85</v>
      </c>
      <c r="L20" s="97"/>
      <c r="M20" s="97">
        <v>2</v>
      </c>
    </row>
    <row r="21" spans="1:13" ht="11.25" customHeight="1">
      <c r="B21" s="96" t="s">
        <v>651</v>
      </c>
      <c r="C21" s="144">
        <v>0.15</v>
      </c>
      <c r="D21" s="144">
        <v>0.15</v>
      </c>
      <c r="E21" s="144">
        <v>0.15</v>
      </c>
      <c r="F21" s="144">
        <v>0.15</v>
      </c>
      <c r="G21" s="144">
        <v>0.15</v>
      </c>
      <c r="L21" s="97"/>
      <c r="M21" s="97">
        <v>2</v>
      </c>
    </row>
    <row r="22" spans="1:13" ht="11.25" customHeight="1">
      <c r="B22" s="96" t="s">
        <v>608</v>
      </c>
      <c r="C22" s="128">
        <v>1103</v>
      </c>
      <c r="D22" s="128">
        <v>1076</v>
      </c>
      <c r="E22" s="128">
        <v>1050</v>
      </c>
      <c r="F22" s="128">
        <v>1023</v>
      </c>
      <c r="G22" s="128">
        <v>971</v>
      </c>
      <c r="L22" s="97"/>
      <c r="M22" s="97" t="s">
        <v>690</v>
      </c>
    </row>
    <row r="23" spans="1:13" ht="11.25" customHeight="1">
      <c r="B23" s="96" t="s">
        <v>609</v>
      </c>
      <c r="C23" s="138">
        <v>0.53</v>
      </c>
      <c r="D23" s="138">
        <v>0.5</v>
      </c>
      <c r="E23" s="138">
        <v>0.49</v>
      </c>
      <c r="F23" s="138">
        <v>0.48</v>
      </c>
      <c r="G23" s="138">
        <v>0.45</v>
      </c>
      <c r="L23" s="97"/>
      <c r="M23" s="97" t="s">
        <v>692</v>
      </c>
    </row>
    <row r="24" spans="1:13" ht="11.25" customHeight="1">
      <c r="A24" s="100" t="s">
        <v>610</v>
      </c>
      <c r="B24" s="146"/>
      <c r="C24" s="147"/>
      <c r="D24" s="147"/>
      <c r="E24" s="147"/>
      <c r="F24" s="147"/>
      <c r="G24" s="147"/>
      <c r="H24" s="148"/>
      <c r="I24" s="148"/>
      <c r="J24" s="148"/>
      <c r="K24" s="148"/>
      <c r="L24" s="97"/>
    </row>
    <row r="25" spans="1:13" ht="11.25" customHeight="1">
      <c r="B25" s="96" t="s">
        <v>611</v>
      </c>
      <c r="C25" s="150">
        <f>C19/2</f>
        <v>4.4499999999999998E-2</v>
      </c>
      <c r="D25" s="150">
        <f t="shared" ref="D25:G25" si="0">D19/2</f>
        <v>4.2000000000000003E-2</v>
      </c>
      <c r="E25" s="150">
        <f>E19/2</f>
        <v>4.2000000000000003E-2</v>
      </c>
      <c r="F25" s="150">
        <f>F19/2</f>
        <v>4.2000000000000003E-2</v>
      </c>
      <c r="G25" s="150">
        <f t="shared" si="0"/>
        <v>4.2000000000000003E-2</v>
      </c>
      <c r="H25" s="148"/>
      <c r="I25" s="148"/>
      <c r="J25" s="148"/>
      <c r="K25" s="148"/>
      <c r="L25" s="97" t="s">
        <v>594</v>
      </c>
      <c r="M25" s="97"/>
    </row>
    <row r="26" spans="1:13" ht="11.25" customHeight="1">
      <c r="B26" s="96" t="s">
        <v>693</v>
      </c>
      <c r="C26" s="150">
        <v>1.7999999999999999E-2</v>
      </c>
      <c r="D26" s="150">
        <v>1.6E-2</v>
      </c>
      <c r="E26" s="150">
        <v>1.6E-2</v>
      </c>
      <c r="F26" s="150">
        <v>1.6E-2</v>
      </c>
      <c r="G26" s="150">
        <v>1.6E-2</v>
      </c>
      <c r="H26" s="148"/>
      <c r="I26" s="148"/>
      <c r="J26" s="148"/>
      <c r="K26" s="148"/>
      <c r="L26" s="97"/>
      <c r="M26" s="97"/>
    </row>
    <row r="27" spans="1:13" ht="11.25" customHeight="1" thickBot="1">
      <c r="A27" s="111"/>
      <c r="B27" s="111"/>
      <c r="C27" s="111"/>
      <c r="D27" s="111"/>
      <c r="E27" s="111"/>
      <c r="F27" s="111"/>
      <c r="G27" s="111"/>
      <c r="H27" s="111"/>
      <c r="I27" s="111"/>
      <c r="J27" s="111"/>
      <c r="K27" s="111"/>
      <c r="L27" s="111"/>
      <c r="M27" s="111"/>
    </row>
    <row r="28" spans="1:13" ht="11.25" customHeight="1">
      <c r="J28" s="112"/>
      <c r="K28" s="112"/>
      <c r="L28" s="112"/>
      <c r="M28" s="112"/>
    </row>
    <row r="29" spans="1:13" ht="11.25" customHeight="1">
      <c r="A29" s="117" t="s">
        <v>622</v>
      </c>
      <c r="F29" s="112"/>
      <c r="G29" s="112"/>
      <c r="H29" s="112"/>
      <c r="I29" s="112"/>
      <c r="J29" s="112"/>
      <c r="K29" s="112"/>
      <c r="L29" s="112"/>
      <c r="M29" s="112"/>
    </row>
    <row r="30" spans="1:13" ht="11.25" customHeight="1">
      <c r="A30" s="151" t="s">
        <v>585</v>
      </c>
      <c r="B30" s="112" t="s">
        <v>702</v>
      </c>
      <c r="D30" s="112"/>
      <c r="E30" s="112"/>
      <c r="F30" s="112"/>
      <c r="G30" s="112"/>
      <c r="H30" s="112"/>
      <c r="I30" s="112"/>
      <c r="J30" s="112"/>
      <c r="K30" s="112"/>
      <c r="L30" s="112"/>
      <c r="M30" s="112"/>
    </row>
    <row r="31" spans="1:13" ht="11.25" customHeight="1">
      <c r="A31" s="151" t="s">
        <v>588</v>
      </c>
      <c r="B31" s="112" t="s">
        <v>703</v>
      </c>
      <c r="D31" s="112"/>
      <c r="E31" s="112"/>
      <c r="F31" s="112"/>
      <c r="G31" s="112"/>
      <c r="H31" s="112"/>
      <c r="I31" s="112"/>
      <c r="J31" s="112"/>
      <c r="K31" s="112"/>
      <c r="L31" s="112"/>
      <c r="M31" s="112"/>
    </row>
    <row r="32" spans="1:13" ht="11.25" customHeight="1">
      <c r="A32" s="139" t="s">
        <v>625</v>
      </c>
      <c r="B32" s="112" t="s">
        <v>705</v>
      </c>
      <c r="D32" s="112"/>
      <c r="E32" s="112"/>
      <c r="F32" s="112"/>
      <c r="G32" s="112"/>
      <c r="H32" s="112"/>
      <c r="I32" s="112"/>
      <c r="J32" s="112"/>
      <c r="K32" s="112"/>
      <c r="L32" s="112"/>
      <c r="M32" s="112"/>
    </row>
    <row r="33" spans="1:13" ht="11.25" customHeight="1">
      <c r="A33" s="151" t="s">
        <v>594</v>
      </c>
      <c r="B33" s="112" t="s">
        <v>631</v>
      </c>
      <c r="D33" s="112"/>
      <c r="E33" s="112"/>
      <c r="F33" s="112"/>
      <c r="G33" s="112"/>
      <c r="H33" s="112"/>
      <c r="I33" s="112"/>
      <c r="J33" s="112"/>
      <c r="K33" s="112"/>
      <c r="L33" s="112"/>
      <c r="M33" s="112"/>
    </row>
    <row r="34" spans="1:13" ht="11.25" customHeight="1">
      <c r="D34" s="112"/>
      <c r="E34" s="112"/>
      <c r="F34" s="112"/>
      <c r="G34" s="112"/>
      <c r="H34" s="112"/>
      <c r="I34" s="112"/>
      <c r="J34" s="112"/>
      <c r="K34" s="112"/>
      <c r="L34" s="112"/>
      <c r="M34" s="112"/>
    </row>
    <row r="35" spans="1:13" ht="11.25" customHeight="1">
      <c r="A35" s="140" t="s">
        <v>633</v>
      </c>
      <c r="B35" s="140"/>
      <c r="D35" s="112"/>
      <c r="E35" s="112"/>
      <c r="F35" s="112"/>
      <c r="G35" s="112"/>
      <c r="H35" s="112"/>
      <c r="I35" s="112"/>
      <c r="J35" s="112"/>
      <c r="K35" s="112"/>
      <c r="L35" s="112"/>
      <c r="M35" s="112"/>
    </row>
    <row r="36" spans="1:13" ht="11.25" customHeight="1">
      <c r="A36" s="151">
        <v>1</v>
      </c>
      <c r="B36" s="112" t="s">
        <v>697</v>
      </c>
      <c r="D36" s="112"/>
      <c r="E36" s="112"/>
      <c r="F36" s="112"/>
      <c r="G36" s="112"/>
      <c r="H36" s="112"/>
      <c r="I36" s="112"/>
      <c r="J36" s="112"/>
      <c r="K36" s="112"/>
      <c r="L36" s="112"/>
      <c r="M36" s="112"/>
    </row>
    <row r="37" spans="1:13" ht="11.25" customHeight="1">
      <c r="A37" s="151">
        <v>2</v>
      </c>
      <c r="B37" s="112" t="s">
        <v>698</v>
      </c>
      <c r="D37" s="112"/>
      <c r="E37" s="112"/>
      <c r="F37" s="112"/>
      <c r="G37" s="112"/>
      <c r="H37" s="112"/>
      <c r="I37" s="112"/>
      <c r="J37" s="112"/>
      <c r="K37" s="112"/>
      <c r="L37" s="112"/>
      <c r="M37" s="112"/>
    </row>
    <row r="38" spans="1:13" ht="11.25" customHeight="1">
      <c r="A38" s="151">
        <v>3</v>
      </c>
      <c r="B38" s="112" t="s">
        <v>699</v>
      </c>
      <c r="D38" s="112"/>
      <c r="E38" s="112"/>
    </row>
    <row r="39" spans="1:13" ht="11.25" customHeight="1">
      <c r="A39" s="151">
        <v>4</v>
      </c>
      <c r="B39" s="112" t="s">
        <v>700</v>
      </c>
    </row>
    <row r="40" spans="1:13" ht="11.25" customHeight="1">
      <c r="A40" s="151"/>
      <c r="B40" s="151"/>
      <c r="C40" s="112"/>
    </row>
    <row r="41" spans="1:13" ht="11.25" customHeight="1">
      <c r="A41" s="151"/>
      <c r="B41" s="151"/>
      <c r="C41" s="112"/>
    </row>
  </sheetData>
  <mergeCells count="1">
    <mergeCell ref="C1:M1"/>
  </mergeCells>
  <hyperlinks>
    <hyperlink ref="C1" location="INDEX" display="Electric boiler,10 kV, hot water, 1-12 bar" xr:uid="{CDD00B30-A94F-46EC-8EA8-05925AD1883E}"/>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836CA-D975-4945-AFED-8B66E6466CAA}">
  <dimension ref="A1:M189"/>
  <sheetViews>
    <sheetView zoomScaleNormal="100" workbookViewId="0">
      <pane xSplit="2" ySplit="2" topLeftCell="C3" activePane="bottomRight" state="frozen"/>
      <selection pane="topRight"/>
      <selection pane="bottomLeft"/>
      <selection pane="bottomRight"/>
    </sheetView>
  </sheetViews>
  <sheetFormatPr defaultColWidth="9" defaultRowHeight="11.25" customHeight="1"/>
  <cols>
    <col min="1" max="1" width="3.7109375" style="119" customWidth="1"/>
    <col min="2" max="2" width="70.85546875" style="119" customWidth="1"/>
    <col min="3" max="13" width="9.28515625" style="119" customWidth="1"/>
    <col min="14" max="16384" width="9" style="119"/>
  </cols>
  <sheetData>
    <row r="1" spans="1:13" ht="11.25" customHeight="1">
      <c r="A1" s="84" t="s">
        <v>557</v>
      </c>
      <c r="B1" s="118"/>
      <c r="C1" s="435" t="s">
        <v>708</v>
      </c>
      <c r="D1" s="434"/>
      <c r="E1" s="434"/>
      <c r="F1" s="434"/>
      <c r="G1" s="434"/>
      <c r="H1" s="434"/>
      <c r="I1" s="434"/>
      <c r="J1" s="434"/>
      <c r="K1" s="434"/>
      <c r="L1" s="434"/>
      <c r="M1" s="434"/>
    </row>
    <row r="2" spans="1:13" ht="11.25" customHeight="1">
      <c r="A2" s="88" t="s">
        <v>573</v>
      </c>
      <c r="B2" s="88"/>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0"/>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3" t="s">
        <v>582</v>
      </c>
      <c r="C4" s="86"/>
      <c r="D4" s="86"/>
      <c r="E4" s="86"/>
      <c r="F4" s="86"/>
      <c r="G4" s="86"/>
      <c r="H4" s="86"/>
      <c r="I4" s="86"/>
      <c r="J4" s="86"/>
      <c r="K4" s="86"/>
      <c r="L4" s="86"/>
      <c r="M4" s="86"/>
    </row>
    <row r="5" spans="1:13" ht="11.25" customHeight="1">
      <c r="A5" s="117" t="s">
        <v>583</v>
      </c>
      <c r="C5" s="120"/>
      <c r="D5" s="120"/>
      <c r="E5" s="120"/>
      <c r="F5" s="120"/>
      <c r="G5" s="120"/>
      <c r="H5" s="120"/>
      <c r="I5" s="120"/>
      <c r="J5" s="120"/>
      <c r="K5" s="120"/>
      <c r="L5" s="120"/>
      <c r="M5" s="120"/>
    </row>
    <row r="6" spans="1:13" ht="11.25" customHeight="1">
      <c r="A6" s="117"/>
      <c r="B6" s="119" t="s">
        <v>584</v>
      </c>
      <c r="C6" s="121">
        <v>5</v>
      </c>
      <c r="D6" s="121">
        <v>5</v>
      </c>
      <c r="E6" s="121">
        <v>5</v>
      </c>
      <c r="F6" s="121">
        <v>5</v>
      </c>
      <c r="G6" s="121">
        <v>5</v>
      </c>
      <c r="H6" s="121">
        <v>0.5</v>
      </c>
      <c r="I6" s="121">
        <v>50</v>
      </c>
      <c r="J6" s="121">
        <v>0.5</v>
      </c>
      <c r="K6" s="121">
        <v>50</v>
      </c>
      <c r="L6" s="121"/>
      <c r="M6" s="121" t="s">
        <v>709</v>
      </c>
    </row>
    <row r="7" spans="1:13" ht="11.25" customHeight="1">
      <c r="A7" s="117"/>
      <c r="B7" s="119" t="s">
        <v>587</v>
      </c>
      <c r="C7" s="122">
        <v>0.94</v>
      </c>
      <c r="D7" s="122">
        <v>0.94</v>
      </c>
      <c r="E7" s="122">
        <v>0.94</v>
      </c>
      <c r="F7" s="122">
        <v>0.94</v>
      </c>
      <c r="G7" s="122">
        <v>0.94</v>
      </c>
      <c r="H7" s="122">
        <v>0.92</v>
      </c>
      <c r="I7" s="122">
        <v>0.95</v>
      </c>
      <c r="J7" s="122">
        <v>0.92</v>
      </c>
      <c r="K7" s="122">
        <v>0.95</v>
      </c>
      <c r="L7" s="121" t="s">
        <v>710</v>
      </c>
      <c r="M7" s="121" t="s">
        <v>711</v>
      </c>
    </row>
    <row r="8" spans="1:13" ht="11.25" customHeight="1">
      <c r="A8" s="117"/>
      <c r="B8" s="119" t="s">
        <v>590</v>
      </c>
      <c r="C8" s="156">
        <v>0.93899999999999995</v>
      </c>
      <c r="D8" s="156">
        <v>0.93899999999999995</v>
      </c>
      <c r="E8" s="156">
        <v>0.93899999999999995</v>
      </c>
      <c r="F8" s="156">
        <v>0.93899999999999995</v>
      </c>
      <c r="G8" s="156">
        <v>0.93899999999999995</v>
      </c>
      <c r="H8" s="156">
        <v>0.91900000000000004</v>
      </c>
      <c r="I8" s="156">
        <v>0.94899999999999995</v>
      </c>
      <c r="J8" s="156">
        <v>0.91900000000000004</v>
      </c>
      <c r="K8" s="156">
        <v>0.94899999999999995</v>
      </c>
      <c r="L8" s="121" t="s">
        <v>712</v>
      </c>
      <c r="M8" s="121" t="s">
        <v>650</v>
      </c>
    </row>
    <row r="9" spans="1:13" ht="11.25" customHeight="1">
      <c r="A9" s="117"/>
      <c r="B9" s="119" t="s">
        <v>592</v>
      </c>
      <c r="C9" s="157">
        <v>1.5E-3</v>
      </c>
      <c r="D9" s="157">
        <v>1.5E-3</v>
      </c>
      <c r="E9" s="157">
        <v>1.5E-3</v>
      </c>
      <c r="F9" s="157">
        <v>1.5E-3</v>
      </c>
      <c r="G9" s="157">
        <v>1.5E-3</v>
      </c>
      <c r="H9" s="122">
        <v>0</v>
      </c>
      <c r="I9" s="157">
        <v>1.5E-3</v>
      </c>
      <c r="J9" s="122">
        <v>0</v>
      </c>
      <c r="K9" s="157">
        <v>1.5E-3</v>
      </c>
      <c r="L9" s="121"/>
      <c r="M9" s="121" t="s">
        <v>586</v>
      </c>
    </row>
    <row r="10" spans="1:13" ht="11.25" customHeight="1">
      <c r="A10" s="123"/>
      <c r="B10" s="123" t="s">
        <v>593</v>
      </c>
      <c r="C10" s="122">
        <v>0.01</v>
      </c>
      <c r="D10" s="122">
        <v>0.01</v>
      </c>
      <c r="E10" s="122">
        <v>0.01</v>
      </c>
      <c r="F10" s="122">
        <v>0.01</v>
      </c>
      <c r="G10" s="122">
        <v>0.01</v>
      </c>
      <c r="H10" s="122">
        <v>0</v>
      </c>
      <c r="I10" s="122">
        <v>0.02</v>
      </c>
      <c r="J10" s="122">
        <v>0</v>
      </c>
      <c r="K10" s="122">
        <v>0.02</v>
      </c>
      <c r="L10" s="121"/>
      <c r="M10" s="121">
        <v>1</v>
      </c>
    </row>
    <row r="11" spans="1:13" ht="11.25" customHeight="1">
      <c r="A11" s="117"/>
      <c r="B11" s="119" t="s">
        <v>595</v>
      </c>
      <c r="C11" s="125">
        <v>0.5</v>
      </c>
      <c r="D11" s="125">
        <v>0.5</v>
      </c>
      <c r="E11" s="125">
        <v>0.5</v>
      </c>
      <c r="F11" s="125">
        <v>0.5</v>
      </c>
      <c r="G11" s="125">
        <v>0.5</v>
      </c>
      <c r="H11" s="125">
        <v>0.3</v>
      </c>
      <c r="I11" s="125">
        <v>0.6</v>
      </c>
      <c r="J11" s="125">
        <v>0.3</v>
      </c>
      <c r="K11" s="125">
        <v>0.6</v>
      </c>
      <c r="L11" s="121"/>
      <c r="M11" s="121" t="s">
        <v>586</v>
      </c>
    </row>
    <row r="12" spans="1:13" ht="11.25" customHeight="1">
      <c r="A12" s="117"/>
      <c r="B12" s="119" t="s">
        <v>596</v>
      </c>
      <c r="C12" s="121">
        <v>25</v>
      </c>
      <c r="D12" s="121">
        <v>25</v>
      </c>
      <c r="E12" s="121">
        <v>25</v>
      </c>
      <c r="F12" s="121">
        <v>25</v>
      </c>
      <c r="G12" s="121">
        <v>25</v>
      </c>
      <c r="H12" s="121">
        <v>25</v>
      </c>
      <c r="I12" s="121"/>
      <c r="J12" s="121">
        <v>25</v>
      </c>
      <c r="K12" s="121"/>
      <c r="L12" s="121"/>
      <c r="M12" s="121">
        <v>1</v>
      </c>
    </row>
    <row r="13" spans="1:13" ht="11.25" customHeight="1">
      <c r="A13" s="117"/>
      <c r="B13" s="119" t="s">
        <v>597</v>
      </c>
      <c r="C13" s="126">
        <v>0.2</v>
      </c>
      <c r="D13" s="126">
        <v>0.2</v>
      </c>
      <c r="E13" s="126">
        <v>0.2</v>
      </c>
      <c r="F13" s="126">
        <v>0.2</v>
      </c>
      <c r="G13" s="126">
        <v>0.2</v>
      </c>
      <c r="H13" s="126">
        <v>0.02</v>
      </c>
      <c r="I13" s="125">
        <v>0.7</v>
      </c>
      <c r="J13" s="126">
        <v>0.02</v>
      </c>
      <c r="K13" s="125">
        <v>0.7</v>
      </c>
      <c r="L13" s="120"/>
      <c r="M13" s="121" t="s">
        <v>586</v>
      </c>
    </row>
    <row r="14" spans="1:13" ht="11.25" customHeight="1">
      <c r="A14" s="117"/>
      <c r="B14" s="119" t="s">
        <v>643</v>
      </c>
      <c r="C14" s="158">
        <v>8.0000000000000002E-3</v>
      </c>
      <c r="D14" s="158">
        <v>8.0000000000000002E-3</v>
      </c>
      <c r="E14" s="158">
        <v>8.0000000000000002E-3</v>
      </c>
      <c r="F14" s="158">
        <v>8.0000000000000002E-3</v>
      </c>
      <c r="G14" s="158">
        <v>8.0000000000000002E-3</v>
      </c>
      <c r="H14" s="158">
        <v>7.0000000000000001E-3</v>
      </c>
      <c r="I14" s="126">
        <v>0.01</v>
      </c>
      <c r="J14" s="158">
        <v>7.0000000000000001E-3</v>
      </c>
      <c r="K14" s="126">
        <v>0.01</v>
      </c>
      <c r="L14" s="120"/>
      <c r="M14" s="121" t="s">
        <v>713</v>
      </c>
    </row>
    <row r="15" spans="1:13" ht="11.25" customHeight="1">
      <c r="A15" s="117" t="s">
        <v>644</v>
      </c>
      <c r="C15" s="121"/>
      <c r="D15" s="121"/>
      <c r="E15" s="121"/>
      <c r="F15" s="121"/>
      <c r="G15" s="121"/>
      <c r="H15" s="121"/>
      <c r="I15" s="121"/>
      <c r="J15" s="158"/>
      <c r="K15" s="121"/>
      <c r="L15" s="121"/>
      <c r="M15" s="121"/>
    </row>
    <row r="16" spans="1:13" ht="11.25" customHeight="1">
      <c r="A16" s="123"/>
      <c r="B16" s="123" t="s">
        <v>714</v>
      </c>
      <c r="C16" s="122">
        <v>0.15</v>
      </c>
      <c r="D16" s="122">
        <v>0.15</v>
      </c>
      <c r="E16" s="122">
        <v>0.15</v>
      </c>
      <c r="F16" s="122">
        <v>0.15</v>
      </c>
      <c r="G16" s="122">
        <v>0.15</v>
      </c>
      <c r="H16" s="122">
        <v>3.5000000000000003E-2</v>
      </c>
      <c r="I16" s="122">
        <v>0.3</v>
      </c>
      <c r="J16" s="122"/>
      <c r="K16" s="122"/>
      <c r="L16" s="121" t="s">
        <v>612</v>
      </c>
      <c r="M16" s="121" t="s">
        <v>715</v>
      </c>
    </row>
    <row r="17" spans="1:13" ht="11.25" customHeight="1">
      <c r="A17" s="123"/>
      <c r="B17" s="123" t="s">
        <v>716</v>
      </c>
      <c r="C17" s="122">
        <v>0.3</v>
      </c>
      <c r="D17" s="122">
        <v>0.3</v>
      </c>
      <c r="E17" s="122">
        <v>0.3</v>
      </c>
      <c r="F17" s="122">
        <v>0.3</v>
      </c>
      <c r="G17" s="122">
        <v>0.3</v>
      </c>
      <c r="H17" s="122">
        <v>7.0000000000000007E-2</v>
      </c>
      <c r="I17" s="122">
        <v>0.6</v>
      </c>
      <c r="J17" s="122"/>
      <c r="K17" s="122"/>
      <c r="L17" s="121" t="s">
        <v>612</v>
      </c>
      <c r="M17" s="121" t="s">
        <v>715</v>
      </c>
    </row>
    <row r="18" spans="1:13" ht="11.25" customHeight="1">
      <c r="A18" s="123"/>
      <c r="B18" s="123" t="s">
        <v>717</v>
      </c>
      <c r="C18" s="122">
        <v>0.15</v>
      </c>
      <c r="D18" s="122">
        <v>0.15</v>
      </c>
      <c r="E18" s="122">
        <v>0.15</v>
      </c>
      <c r="F18" s="122">
        <v>0.15</v>
      </c>
      <c r="G18" s="122">
        <v>0.15</v>
      </c>
      <c r="H18" s="122">
        <v>0.1</v>
      </c>
      <c r="I18" s="122">
        <v>0.2</v>
      </c>
      <c r="J18" s="122"/>
      <c r="K18" s="122"/>
      <c r="L18" s="121"/>
      <c r="M18" s="121" t="s">
        <v>715</v>
      </c>
    </row>
    <row r="19" spans="1:13" ht="11.25" customHeight="1">
      <c r="A19" s="117"/>
      <c r="B19" s="119" t="s">
        <v>600</v>
      </c>
      <c r="C19" s="121">
        <v>0.06</v>
      </c>
      <c r="D19" s="121">
        <v>0.06</v>
      </c>
      <c r="E19" s="121">
        <v>0.06</v>
      </c>
      <c r="F19" s="121">
        <v>0.06</v>
      </c>
      <c r="G19" s="121">
        <v>0.06</v>
      </c>
      <c r="H19" s="121">
        <v>2.5000000000000001E-2</v>
      </c>
      <c r="I19" s="121">
        <v>0.2</v>
      </c>
      <c r="J19" s="121"/>
      <c r="K19" s="121"/>
      <c r="L19" s="121"/>
      <c r="M19" s="121" t="s">
        <v>715</v>
      </c>
    </row>
    <row r="20" spans="1:13" ht="11.25" customHeight="1">
      <c r="A20" s="117"/>
      <c r="B20" s="119" t="s">
        <v>601</v>
      </c>
      <c r="C20" s="121">
        <v>0.5</v>
      </c>
      <c r="D20" s="121">
        <v>0.5</v>
      </c>
      <c r="E20" s="121">
        <v>0.5</v>
      </c>
      <c r="F20" s="121">
        <v>0.5</v>
      </c>
      <c r="G20" s="121">
        <v>0.5</v>
      </c>
      <c r="H20" s="121">
        <v>0.3</v>
      </c>
      <c r="I20" s="121">
        <v>1</v>
      </c>
      <c r="J20" s="121"/>
      <c r="K20" s="121"/>
      <c r="L20" s="121"/>
      <c r="M20" s="121" t="s">
        <v>715</v>
      </c>
    </row>
    <row r="21" spans="1:13" ht="11.25" customHeight="1">
      <c r="A21" s="117" t="s">
        <v>648</v>
      </c>
      <c r="C21" s="121"/>
      <c r="D21" s="121"/>
      <c r="E21" s="121"/>
      <c r="F21" s="121"/>
      <c r="G21" s="121"/>
      <c r="H21" s="121"/>
      <c r="I21" s="121"/>
      <c r="J21" s="121"/>
      <c r="K21" s="121"/>
      <c r="L21" s="121"/>
      <c r="M21" s="121"/>
    </row>
    <row r="22" spans="1:13" ht="11.25" customHeight="1">
      <c r="A22" s="117"/>
      <c r="B22" s="119" t="s">
        <v>649</v>
      </c>
      <c r="C22" s="126">
        <v>0.09</v>
      </c>
      <c r="D22" s="126">
        <v>0.09</v>
      </c>
      <c r="E22" s="126">
        <v>0.09</v>
      </c>
      <c r="F22" s="126">
        <v>0.09</v>
      </c>
      <c r="G22" s="126">
        <v>0.09</v>
      </c>
      <c r="H22" s="126"/>
      <c r="I22" s="126"/>
      <c r="J22" s="126"/>
      <c r="K22" s="126"/>
      <c r="L22" s="121" t="s">
        <v>718</v>
      </c>
      <c r="M22" s="121" t="s">
        <v>715</v>
      </c>
    </row>
    <row r="23" spans="1:13" ht="11.25" customHeight="1">
      <c r="A23" s="117"/>
      <c r="B23" s="119" t="s">
        <v>604</v>
      </c>
      <c r="C23" s="122">
        <v>0.66</v>
      </c>
      <c r="D23" s="122">
        <v>0.66</v>
      </c>
      <c r="E23" s="122">
        <v>0.66</v>
      </c>
      <c r="F23" s="122">
        <v>0.66</v>
      </c>
      <c r="G23" s="122">
        <v>0.66</v>
      </c>
      <c r="H23" s="126"/>
      <c r="I23" s="126"/>
      <c r="J23" s="126"/>
      <c r="K23" s="126"/>
      <c r="L23" s="159"/>
      <c r="M23" s="121" t="s">
        <v>586</v>
      </c>
    </row>
    <row r="24" spans="1:13" ht="11.25" customHeight="1">
      <c r="A24" s="117"/>
      <c r="B24" s="119" t="s">
        <v>651</v>
      </c>
      <c r="C24" s="122">
        <v>0.34</v>
      </c>
      <c r="D24" s="122">
        <v>0.34</v>
      </c>
      <c r="E24" s="122">
        <v>0.34</v>
      </c>
      <c r="F24" s="122">
        <v>0.34</v>
      </c>
      <c r="G24" s="122">
        <v>0.34</v>
      </c>
      <c r="H24" s="126"/>
      <c r="I24" s="126"/>
      <c r="J24" s="126"/>
      <c r="K24" s="126"/>
      <c r="L24" s="121"/>
      <c r="M24" s="121" t="s">
        <v>586</v>
      </c>
    </row>
    <row r="25" spans="1:13" ht="11.25" customHeight="1">
      <c r="A25" s="117"/>
      <c r="B25" s="119" t="s">
        <v>652</v>
      </c>
      <c r="C25" s="128">
        <v>2000</v>
      </c>
      <c r="D25" s="128">
        <v>2000</v>
      </c>
      <c r="E25" s="128">
        <v>2000</v>
      </c>
      <c r="F25" s="128">
        <v>2000</v>
      </c>
      <c r="G25" s="128">
        <v>2000</v>
      </c>
      <c r="H25" s="128"/>
      <c r="I25" s="128"/>
      <c r="J25" s="128"/>
      <c r="K25" s="128"/>
      <c r="L25" s="121"/>
      <c r="M25" s="121" t="s">
        <v>586</v>
      </c>
    </row>
    <row r="26" spans="1:13" ht="11.25" customHeight="1">
      <c r="A26" s="117"/>
      <c r="B26" s="119" t="s">
        <v>653</v>
      </c>
      <c r="C26" s="126">
        <v>1.23</v>
      </c>
      <c r="D26" s="126">
        <v>1.23</v>
      </c>
      <c r="E26" s="126">
        <v>1.23</v>
      </c>
      <c r="F26" s="126">
        <v>1.23</v>
      </c>
      <c r="G26" s="126">
        <v>1.23</v>
      </c>
      <c r="H26" s="126"/>
      <c r="I26" s="126"/>
      <c r="J26" s="126"/>
      <c r="K26" s="126"/>
      <c r="L26" s="159"/>
      <c r="M26" s="121">
        <v>1</v>
      </c>
    </row>
    <row r="27" spans="1:13" ht="11.25" customHeight="1">
      <c r="A27" s="117" t="s">
        <v>610</v>
      </c>
      <c r="C27" s="121"/>
      <c r="D27" s="121"/>
      <c r="E27" s="121"/>
      <c r="F27" s="121"/>
      <c r="G27" s="121"/>
      <c r="H27" s="121"/>
      <c r="I27" s="121"/>
      <c r="J27" s="121"/>
      <c r="K27" s="121"/>
      <c r="L27" s="121"/>
      <c r="M27" s="121"/>
    </row>
    <row r="28" spans="1:13" ht="11.25" customHeight="1">
      <c r="A28" s="117"/>
      <c r="B28" s="119" t="s">
        <v>655</v>
      </c>
      <c r="C28" s="121">
        <v>0.23</v>
      </c>
      <c r="D28" s="121">
        <v>0.23</v>
      </c>
      <c r="E28" s="121">
        <v>0.23</v>
      </c>
      <c r="F28" s="121">
        <v>0.23</v>
      </c>
      <c r="G28" s="121">
        <v>0.23</v>
      </c>
      <c r="H28" s="121"/>
      <c r="I28" s="121"/>
      <c r="J28" s="121"/>
      <c r="K28" s="121"/>
      <c r="L28" s="121" t="s">
        <v>719</v>
      </c>
      <c r="M28" s="121">
        <v>2</v>
      </c>
    </row>
    <row r="29" spans="1:13" ht="11.25" customHeight="1">
      <c r="A29" s="117"/>
      <c r="B29" s="119" t="s">
        <v>654</v>
      </c>
      <c r="C29" s="128"/>
      <c r="D29" s="128"/>
      <c r="E29" s="128"/>
      <c r="F29" s="128"/>
      <c r="G29" s="128"/>
      <c r="H29" s="128"/>
      <c r="I29" s="128"/>
      <c r="J29" s="128"/>
      <c r="K29" s="128"/>
      <c r="L29" s="121"/>
      <c r="M29" s="121"/>
    </row>
    <row r="30" spans="1:13" ht="11.25" customHeight="1">
      <c r="A30" s="117"/>
      <c r="B30" s="119" t="s">
        <v>720</v>
      </c>
      <c r="C30" s="122">
        <v>0.06</v>
      </c>
      <c r="D30" s="122">
        <v>0.06</v>
      </c>
      <c r="E30" s="122">
        <v>0.06</v>
      </c>
      <c r="F30" s="122">
        <v>0.06</v>
      </c>
      <c r="G30" s="122">
        <v>0.06</v>
      </c>
      <c r="H30" s="128"/>
      <c r="I30" s="128"/>
      <c r="J30" s="128"/>
      <c r="K30" s="128"/>
      <c r="L30" s="121" t="s">
        <v>721</v>
      </c>
      <c r="M30" s="121" t="s">
        <v>722</v>
      </c>
    </row>
    <row r="31" spans="1:13" ht="11.25" customHeight="1">
      <c r="A31" s="117"/>
      <c r="B31" s="119" t="s">
        <v>723</v>
      </c>
      <c r="C31" s="122">
        <v>0.1</v>
      </c>
      <c r="D31" s="122">
        <v>0.1</v>
      </c>
      <c r="E31" s="122">
        <v>0.1</v>
      </c>
      <c r="F31" s="122">
        <v>0.1</v>
      </c>
      <c r="G31" s="122">
        <v>0.1</v>
      </c>
      <c r="H31" s="128"/>
      <c r="I31" s="128"/>
      <c r="J31" s="128"/>
      <c r="K31" s="128"/>
      <c r="L31" s="121" t="s">
        <v>616</v>
      </c>
      <c r="M31" s="121">
        <v>2</v>
      </c>
    </row>
    <row r="32" spans="1:13" ht="11.25" customHeight="1">
      <c r="A32" s="117"/>
      <c r="B32" s="119" t="s">
        <v>724</v>
      </c>
      <c r="C32" s="160">
        <v>0.01</v>
      </c>
      <c r="D32" s="160">
        <v>0.01</v>
      </c>
      <c r="E32" s="160">
        <v>0.01</v>
      </c>
      <c r="F32" s="160">
        <v>0.01</v>
      </c>
      <c r="G32" s="160">
        <v>0.01</v>
      </c>
      <c r="H32" s="120"/>
      <c r="I32" s="120"/>
      <c r="J32" s="120"/>
      <c r="K32" s="120"/>
      <c r="L32" s="121" t="s">
        <v>607</v>
      </c>
    </row>
    <row r="33" spans="1:13" ht="11.25" customHeight="1">
      <c r="A33" s="117"/>
      <c r="B33" s="119" t="s">
        <v>725</v>
      </c>
      <c r="C33" s="122">
        <v>0.3</v>
      </c>
      <c r="D33" s="122">
        <v>0.3</v>
      </c>
      <c r="E33" s="122">
        <v>0.3</v>
      </c>
      <c r="F33" s="122">
        <v>0.3</v>
      </c>
      <c r="G33" s="122">
        <v>0.3</v>
      </c>
      <c r="H33" s="128"/>
      <c r="I33" s="128"/>
      <c r="J33" s="128"/>
      <c r="K33" s="128"/>
      <c r="L33" s="121" t="s">
        <v>619</v>
      </c>
      <c r="M33" s="121" t="s">
        <v>713</v>
      </c>
    </row>
    <row r="34" spans="1:13" ht="11.25" customHeight="1" thickBot="1">
      <c r="A34" s="111"/>
      <c r="B34" s="111"/>
      <c r="C34" s="111"/>
      <c r="D34" s="111"/>
      <c r="E34" s="111"/>
      <c r="F34" s="111"/>
      <c r="G34" s="111"/>
      <c r="H34" s="111"/>
      <c r="I34" s="111"/>
      <c r="J34" s="111"/>
      <c r="K34" s="111"/>
      <c r="L34" s="111"/>
      <c r="M34" s="111"/>
    </row>
    <row r="35" spans="1:13" ht="11.25" customHeight="1">
      <c r="A35" s="132"/>
      <c r="C35" s="128"/>
      <c r="D35" s="128"/>
      <c r="E35" s="128"/>
      <c r="F35" s="128"/>
      <c r="G35" s="128"/>
      <c r="H35" s="128"/>
      <c r="I35" s="128"/>
      <c r="J35" s="128"/>
      <c r="K35" s="128"/>
      <c r="L35" s="121"/>
      <c r="M35" s="121"/>
    </row>
    <row r="36" spans="1:13" ht="11.25" customHeight="1">
      <c r="A36" s="117" t="s">
        <v>622</v>
      </c>
      <c r="C36" s="134"/>
      <c r="D36" s="134"/>
      <c r="E36" s="134"/>
      <c r="F36" s="134"/>
      <c r="G36" s="134"/>
      <c r="H36" s="134"/>
      <c r="I36" s="134"/>
      <c r="J36" s="134"/>
      <c r="K36" s="134"/>
    </row>
    <row r="37" spans="1:13" ht="11.25" customHeight="1">
      <c r="A37" s="151" t="s">
        <v>585</v>
      </c>
      <c r="B37" s="135" t="s">
        <v>726</v>
      </c>
    </row>
    <row r="38" spans="1:13" s="135" customFormat="1" ht="11.25" customHeight="1">
      <c r="A38" s="151" t="s">
        <v>588</v>
      </c>
      <c r="B38" s="135" t="s">
        <v>727</v>
      </c>
    </row>
    <row r="39" spans="1:13" s="135" customFormat="1" ht="11.25" customHeight="1">
      <c r="A39" s="151" t="s">
        <v>625</v>
      </c>
      <c r="B39" s="135" t="s">
        <v>728</v>
      </c>
    </row>
    <row r="40" spans="1:13" s="135" customFormat="1" ht="11.25" customHeight="1">
      <c r="A40" s="151" t="s">
        <v>594</v>
      </c>
      <c r="B40" s="135" t="s">
        <v>729</v>
      </c>
    </row>
    <row r="41" spans="1:13" s="135" customFormat="1" ht="11.25" customHeight="1">
      <c r="A41" s="151" t="s">
        <v>605</v>
      </c>
      <c r="B41" s="119" t="s">
        <v>730</v>
      </c>
    </row>
    <row r="42" spans="1:13" s="135" customFormat="1" ht="11.25" customHeight="1">
      <c r="A42" s="151" t="s">
        <v>607</v>
      </c>
      <c r="B42" s="135" t="s">
        <v>731</v>
      </c>
    </row>
    <row r="43" spans="1:13" s="135" customFormat="1" ht="11.25" customHeight="1">
      <c r="A43" s="151" t="s">
        <v>619</v>
      </c>
      <c r="B43" s="135" t="s">
        <v>732</v>
      </c>
    </row>
    <row r="44" spans="1:13" ht="11.25" customHeight="1">
      <c r="A44" s="151" t="s">
        <v>612</v>
      </c>
      <c r="B44" s="135" t="s">
        <v>733</v>
      </c>
    </row>
    <row r="45" spans="1:13" ht="11.25" customHeight="1">
      <c r="A45" s="151" t="s">
        <v>616</v>
      </c>
      <c r="B45" s="135" t="s">
        <v>734</v>
      </c>
    </row>
    <row r="46" spans="1:13" ht="11.25" customHeight="1">
      <c r="A46" s="151" t="s">
        <v>719</v>
      </c>
      <c r="B46" s="135" t="s">
        <v>735</v>
      </c>
    </row>
    <row r="47" spans="1:13" s="135" customFormat="1" ht="11.25" customHeight="1">
      <c r="A47" s="87"/>
    </row>
    <row r="48" spans="1:13" s="135" customFormat="1" ht="11.25" customHeight="1">
      <c r="A48" s="140" t="s">
        <v>633</v>
      </c>
      <c r="B48" s="119"/>
    </row>
    <row r="49" spans="1:2" s="135" customFormat="1" ht="11.25" customHeight="1">
      <c r="A49" s="151">
        <v>1</v>
      </c>
      <c r="B49" s="135" t="s">
        <v>736</v>
      </c>
    </row>
    <row r="50" spans="1:2" ht="11.25" customHeight="1">
      <c r="A50" s="151">
        <v>2</v>
      </c>
      <c r="B50" s="135" t="s">
        <v>737</v>
      </c>
    </row>
    <row r="51" spans="1:2" ht="11.25" customHeight="1">
      <c r="A51" s="151">
        <v>3</v>
      </c>
      <c r="B51" s="135" t="s">
        <v>738</v>
      </c>
    </row>
    <row r="52" spans="1:2" ht="11.25" customHeight="1">
      <c r="A52" s="151">
        <v>4</v>
      </c>
      <c r="B52" s="135" t="s">
        <v>739</v>
      </c>
    </row>
    <row r="53" spans="1:2" ht="11.25" customHeight="1">
      <c r="A53" s="151">
        <v>5</v>
      </c>
      <c r="B53" s="119" t="s">
        <v>740</v>
      </c>
    </row>
    <row r="54" spans="1:2" ht="11.25" customHeight="1">
      <c r="A54" s="151">
        <v>6</v>
      </c>
      <c r="B54" s="119" t="s">
        <v>741</v>
      </c>
    </row>
    <row r="55" spans="1:2" ht="11.25" customHeight="1">
      <c r="A55" s="117"/>
    </row>
    <row r="56" spans="1:2" ht="11.25" customHeight="1">
      <c r="A56" s="117"/>
    </row>
    <row r="57" spans="1:2" ht="11.25" customHeight="1">
      <c r="A57" s="117"/>
    </row>
    <row r="58" spans="1:2" ht="11.25" customHeight="1">
      <c r="A58" s="117"/>
    </row>
    <row r="59" spans="1:2" ht="11.25" customHeight="1">
      <c r="A59" s="117"/>
    </row>
    <row r="60" spans="1:2" ht="11.25" customHeight="1">
      <c r="A60" s="117"/>
    </row>
    <row r="61" spans="1:2" ht="11.25" customHeight="1">
      <c r="A61" s="117"/>
    </row>
    <row r="62" spans="1:2" ht="11.25" customHeight="1">
      <c r="A62" s="117"/>
    </row>
    <row r="63" spans="1:2" ht="11.25" customHeight="1">
      <c r="A63" s="117"/>
    </row>
    <row r="64" spans="1:2" ht="11.25" customHeight="1">
      <c r="A64" s="117"/>
    </row>
    <row r="65" spans="1:1" ht="11.25" customHeight="1">
      <c r="A65" s="117"/>
    </row>
    <row r="66" spans="1:1" ht="11.25" customHeight="1">
      <c r="A66" s="117"/>
    </row>
    <row r="67" spans="1:1" ht="11.25" customHeight="1">
      <c r="A67" s="117"/>
    </row>
    <row r="68" spans="1:1" ht="11.25" customHeight="1">
      <c r="A68" s="117"/>
    </row>
    <row r="69" spans="1:1" ht="11.25" customHeight="1">
      <c r="A69" s="117"/>
    </row>
    <row r="70" spans="1:1" ht="11.25" customHeight="1">
      <c r="A70" s="117"/>
    </row>
    <row r="71" spans="1:1" ht="11.25" customHeight="1">
      <c r="A71" s="117"/>
    </row>
    <row r="72" spans="1:1" ht="11.25" customHeight="1">
      <c r="A72" s="117"/>
    </row>
    <row r="73" spans="1:1" ht="11.25" customHeight="1">
      <c r="A73" s="117"/>
    </row>
    <row r="74" spans="1:1" ht="11.25" customHeight="1">
      <c r="A74" s="117"/>
    </row>
    <row r="75" spans="1:1" ht="11.25" customHeight="1">
      <c r="A75" s="117"/>
    </row>
    <row r="76" spans="1:1" ht="11.25" customHeight="1">
      <c r="A76" s="117"/>
    </row>
    <row r="77" spans="1:1" ht="11.25" customHeight="1">
      <c r="A77" s="117"/>
    </row>
    <row r="78" spans="1:1" ht="11.25" customHeight="1">
      <c r="A78" s="117"/>
    </row>
    <row r="79" spans="1:1" ht="11.25" customHeight="1">
      <c r="A79" s="117"/>
    </row>
    <row r="80" spans="1:1" ht="11.25" customHeight="1">
      <c r="A80" s="117"/>
    </row>
    <row r="81" spans="1:1" ht="11.25" customHeight="1">
      <c r="A81" s="117"/>
    </row>
    <row r="82" spans="1:1" ht="11.25" customHeight="1">
      <c r="A82" s="117"/>
    </row>
    <row r="83" spans="1:1" ht="11.25" customHeight="1">
      <c r="A83" s="117"/>
    </row>
    <row r="84" spans="1:1" ht="11.25" customHeight="1">
      <c r="A84" s="117"/>
    </row>
    <row r="85" spans="1:1" ht="11.25" customHeight="1">
      <c r="A85" s="117"/>
    </row>
    <row r="86" spans="1:1" ht="11.25" customHeight="1">
      <c r="A86" s="117"/>
    </row>
    <row r="87" spans="1:1" ht="11.25" customHeight="1">
      <c r="A87" s="117"/>
    </row>
    <row r="88" spans="1:1" ht="11.25" customHeight="1">
      <c r="A88" s="117"/>
    </row>
    <row r="89" spans="1:1" ht="11.25" customHeight="1">
      <c r="A89" s="117"/>
    </row>
    <row r="90" spans="1:1" ht="11.25" customHeight="1">
      <c r="A90" s="117"/>
    </row>
    <row r="91" spans="1:1" ht="11.25" customHeight="1">
      <c r="A91" s="117"/>
    </row>
    <row r="92" spans="1:1" ht="11.25" customHeight="1">
      <c r="A92" s="117"/>
    </row>
    <row r="93" spans="1:1" ht="11.25" customHeight="1">
      <c r="A93" s="117"/>
    </row>
    <row r="94" spans="1:1" ht="11.25" customHeight="1">
      <c r="A94" s="117"/>
    </row>
    <row r="95" spans="1:1" ht="11.25" customHeight="1">
      <c r="A95" s="117"/>
    </row>
    <row r="96" spans="1:1" ht="11.25" customHeight="1">
      <c r="A96" s="117"/>
    </row>
    <row r="97" spans="1:1" ht="11.25" customHeight="1">
      <c r="A97" s="117"/>
    </row>
    <row r="98" spans="1:1" ht="11.25" customHeight="1">
      <c r="A98" s="117"/>
    </row>
    <row r="99" spans="1:1" ht="11.25" customHeight="1">
      <c r="A99" s="117"/>
    </row>
    <row r="100" spans="1:1" ht="11.25" customHeight="1">
      <c r="A100" s="117"/>
    </row>
    <row r="101" spans="1:1" ht="11.25" customHeight="1">
      <c r="A101" s="117"/>
    </row>
    <row r="102" spans="1:1" ht="11.25" customHeight="1">
      <c r="A102" s="117"/>
    </row>
    <row r="103" spans="1:1" ht="11.25" customHeight="1">
      <c r="A103" s="117"/>
    </row>
    <row r="104" spans="1:1" ht="11.25" customHeight="1">
      <c r="A104" s="117"/>
    </row>
    <row r="105" spans="1:1" ht="11.25" customHeight="1">
      <c r="A105" s="117"/>
    </row>
    <row r="106" spans="1:1" ht="11.25" customHeight="1">
      <c r="A106" s="117"/>
    </row>
    <row r="107" spans="1:1" ht="11.25" customHeight="1">
      <c r="A107" s="117"/>
    </row>
    <row r="108" spans="1:1" ht="11.25" customHeight="1">
      <c r="A108" s="117"/>
    </row>
    <row r="109" spans="1:1" ht="11.25" customHeight="1">
      <c r="A109" s="117"/>
    </row>
    <row r="110" spans="1:1" ht="11.25" customHeight="1">
      <c r="A110" s="117"/>
    </row>
    <row r="111" spans="1:1" ht="11.25" customHeight="1">
      <c r="A111" s="117"/>
    </row>
    <row r="112" spans="1:1" ht="11.25" customHeight="1">
      <c r="A112" s="117"/>
    </row>
    <row r="113" spans="1:1" ht="11.25" customHeight="1">
      <c r="A113" s="117"/>
    </row>
    <row r="114" spans="1:1" ht="11.25" customHeight="1">
      <c r="A114" s="117"/>
    </row>
    <row r="115" spans="1:1" ht="11.25" customHeight="1">
      <c r="A115" s="117"/>
    </row>
    <row r="116" spans="1:1" ht="11.25" customHeight="1">
      <c r="A116" s="117"/>
    </row>
    <row r="117" spans="1:1" ht="11.25" customHeight="1">
      <c r="A117" s="117"/>
    </row>
    <row r="118" spans="1:1" ht="11.25" customHeight="1">
      <c r="A118" s="117"/>
    </row>
    <row r="119" spans="1:1" ht="11.25" customHeight="1">
      <c r="A119" s="117"/>
    </row>
    <row r="120" spans="1:1" ht="11.25" customHeight="1">
      <c r="A120" s="117"/>
    </row>
    <row r="121" spans="1:1" ht="11.25" customHeight="1">
      <c r="A121" s="117"/>
    </row>
    <row r="122" spans="1:1" ht="11.25" customHeight="1">
      <c r="A122" s="117"/>
    </row>
    <row r="123" spans="1:1" ht="11.25" customHeight="1">
      <c r="A123" s="117"/>
    </row>
    <row r="124" spans="1:1" ht="11.25" customHeight="1">
      <c r="A124" s="117"/>
    </row>
    <row r="125" spans="1:1" ht="11.25" customHeight="1">
      <c r="A125" s="117"/>
    </row>
    <row r="126" spans="1:1" ht="11.25" customHeight="1">
      <c r="A126" s="117"/>
    </row>
    <row r="127" spans="1:1" ht="11.25" customHeight="1">
      <c r="A127" s="117"/>
    </row>
    <row r="128" spans="1:1" ht="11.25" customHeight="1">
      <c r="A128" s="117"/>
    </row>
    <row r="129" spans="1:1" ht="11.25" customHeight="1">
      <c r="A129" s="117"/>
    </row>
    <row r="130" spans="1:1" ht="11.25" customHeight="1">
      <c r="A130" s="117"/>
    </row>
    <row r="131" spans="1:1" ht="11.25" customHeight="1">
      <c r="A131" s="117"/>
    </row>
    <row r="132" spans="1:1" ht="11.25" customHeight="1">
      <c r="A132" s="117"/>
    </row>
    <row r="133" spans="1:1" ht="11.25" customHeight="1">
      <c r="A133" s="117"/>
    </row>
    <row r="134" spans="1:1" ht="11.25" customHeight="1">
      <c r="A134" s="117"/>
    </row>
    <row r="135" spans="1:1" ht="11.25" customHeight="1">
      <c r="A135" s="117"/>
    </row>
    <row r="136" spans="1:1" ht="11.25" customHeight="1">
      <c r="A136" s="117"/>
    </row>
    <row r="137" spans="1:1" ht="11.25" customHeight="1">
      <c r="A137" s="117"/>
    </row>
    <row r="138" spans="1:1" ht="11.25" customHeight="1">
      <c r="A138" s="117"/>
    </row>
    <row r="139" spans="1:1" ht="11.25" customHeight="1">
      <c r="A139" s="117"/>
    </row>
    <row r="140" spans="1:1" ht="11.25" customHeight="1">
      <c r="A140" s="117"/>
    </row>
    <row r="141" spans="1:1" ht="11.25" customHeight="1">
      <c r="A141" s="117"/>
    </row>
    <row r="142" spans="1:1" ht="11.25" customHeight="1">
      <c r="A142" s="117"/>
    </row>
    <row r="143" spans="1:1" ht="11.25" customHeight="1">
      <c r="A143" s="117"/>
    </row>
    <row r="144" spans="1:1" ht="11.25" customHeight="1">
      <c r="A144" s="117"/>
    </row>
    <row r="145" spans="1:1" ht="11.25" customHeight="1">
      <c r="A145" s="117"/>
    </row>
    <row r="146" spans="1:1" ht="11.25" customHeight="1">
      <c r="A146" s="117"/>
    </row>
    <row r="147" spans="1:1" ht="11.25" customHeight="1">
      <c r="A147" s="117"/>
    </row>
    <row r="148" spans="1:1" ht="11.25" customHeight="1">
      <c r="A148" s="117"/>
    </row>
    <row r="149" spans="1:1" ht="11.25" customHeight="1">
      <c r="A149" s="117"/>
    </row>
    <row r="150" spans="1:1" ht="11.25" customHeight="1">
      <c r="A150" s="117"/>
    </row>
    <row r="151" spans="1:1" ht="11.25" customHeight="1">
      <c r="A151" s="117"/>
    </row>
    <row r="152" spans="1:1" ht="11.25" customHeight="1">
      <c r="A152" s="117"/>
    </row>
    <row r="153" spans="1:1" ht="11.25" customHeight="1">
      <c r="A153" s="117"/>
    </row>
    <row r="154" spans="1:1" ht="11.25" customHeight="1">
      <c r="A154" s="117"/>
    </row>
    <row r="155" spans="1:1" ht="11.25" customHeight="1">
      <c r="A155" s="117"/>
    </row>
    <row r="156" spans="1:1" ht="11.25" customHeight="1">
      <c r="A156" s="117"/>
    </row>
    <row r="157" spans="1:1" ht="11.25" customHeight="1">
      <c r="A157" s="117"/>
    </row>
    <row r="158" spans="1:1" ht="11.25" customHeight="1">
      <c r="A158" s="117"/>
    </row>
    <row r="159" spans="1:1" ht="11.25" customHeight="1">
      <c r="A159" s="117"/>
    </row>
    <row r="160" spans="1:1" ht="11.25" customHeight="1">
      <c r="A160" s="117"/>
    </row>
    <row r="161" spans="1:1" ht="11.25" customHeight="1">
      <c r="A161" s="117"/>
    </row>
    <row r="162" spans="1:1" ht="11.25" customHeight="1">
      <c r="A162" s="117"/>
    </row>
    <row r="163" spans="1:1" ht="11.25" customHeight="1">
      <c r="A163" s="117"/>
    </row>
    <row r="164" spans="1:1" ht="11.25" customHeight="1">
      <c r="A164" s="117"/>
    </row>
    <row r="165" spans="1:1" ht="11.25" customHeight="1">
      <c r="A165" s="117"/>
    </row>
    <row r="166" spans="1:1" ht="11.25" customHeight="1">
      <c r="A166" s="117"/>
    </row>
    <row r="167" spans="1:1" ht="11.25" customHeight="1">
      <c r="A167" s="117"/>
    </row>
    <row r="168" spans="1:1" ht="11.25" customHeight="1">
      <c r="A168" s="117"/>
    </row>
    <row r="169" spans="1:1" ht="11.25" customHeight="1">
      <c r="A169" s="117"/>
    </row>
    <row r="170" spans="1:1" ht="11.25" customHeight="1">
      <c r="A170" s="117"/>
    </row>
    <row r="171" spans="1:1" ht="11.25" customHeight="1">
      <c r="A171" s="117"/>
    </row>
    <row r="172" spans="1:1" ht="11.25" customHeight="1">
      <c r="A172" s="117"/>
    </row>
    <row r="173" spans="1:1" ht="11.25" customHeight="1">
      <c r="A173" s="117"/>
    </row>
    <row r="174" spans="1:1" ht="11.25" customHeight="1">
      <c r="A174" s="117"/>
    </row>
    <row r="175" spans="1:1" ht="11.25" customHeight="1">
      <c r="A175" s="117"/>
    </row>
    <row r="176" spans="1:1" ht="11.25" customHeight="1">
      <c r="A176" s="117"/>
    </row>
    <row r="177" spans="1:1" ht="11.25" customHeight="1">
      <c r="A177" s="117"/>
    </row>
    <row r="178" spans="1:1" ht="11.25" customHeight="1">
      <c r="A178" s="117"/>
    </row>
    <row r="179" spans="1:1" ht="11.25" customHeight="1">
      <c r="A179" s="117"/>
    </row>
    <row r="180" spans="1:1" ht="11.25" customHeight="1">
      <c r="A180" s="117"/>
    </row>
    <row r="181" spans="1:1" ht="11.25" customHeight="1">
      <c r="A181" s="117"/>
    </row>
    <row r="182" spans="1:1" ht="11.25" customHeight="1">
      <c r="A182" s="117"/>
    </row>
    <row r="183" spans="1:1" ht="11.25" customHeight="1">
      <c r="A183" s="117"/>
    </row>
    <row r="184" spans="1:1" ht="11.25" customHeight="1">
      <c r="A184" s="117"/>
    </row>
    <row r="185" spans="1:1" ht="11.25" customHeight="1">
      <c r="A185" s="117"/>
    </row>
    <row r="186" spans="1:1" ht="11.25" customHeight="1">
      <c r="A186" s="117"/>
    </row>
    <row r="187" spans="1:1" ht="11.25" customHeight="1">
      <c r="A187" s="117"/>
    </row>
    <row r="188" spans="1:1" ht="11.25" customHeight="1">
      <c r="A188" s="117"/>
    </row>
    <row r="189" spans="1:1" ht="11.25" customHeight="1">
      <c r="A189" s="117"/>
    </row>
  </sheetData>
  <mergeCells count="1">
    <mergeCell ref="C1:M1"/>
  </mergeCells>
  <hyperlinks>
    <hyperlink ref="C1" location="INDEX" display="Boiler, gas and oil" xr:uid="{CFF73BDB-CF7B-425E-A8FF-7B73A59D5363}"/>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10F2-8F38-44B2-825E-E563EB3BB12B}">
  <dimension ref="A1:M189"/>
  <sheetViews>
    <sheetView zoomScaleNormal="100" workbookViewId="0">
      <pane xSplit="2" ySplit="2" topLeftCell="C3" activePane="bottomRight" state="frozen"/>
      <selection pane="topRight"/>
      <selection pane="bottomLeft"/>
      <selection pane="bottomRight"/>
    </sheetView>
  </sheetViews>
  <sheetFormatPr defaultColWidth="9" defaultRowHeight="11.25" customHeight="1"/>
  <cols>
    <col min="1" max="1" width="3.7109375" style="119" customWidth="1"/>
    <col min="2" max="2" width="70.85546875" style="119" customWidth="1"/>
    <col min="3" max="13" width="9.28515625" style="119" customWidth="1"/>
    <col min="14" max="16384" width="9" style="119"/>
  </cols>
  <sheetData>
    <row r="1" spans="1:13" ht="11.25" customHeight="1">
      <c r="A1" s="117" t="s">
        <v>557</v>
      </c>
      <c r="B1" s="161"/>
      <c r="C1" s="436" t="s">
        <v>742</v>
      </c>
      <c r="D1" s="437"/>
      <c r="E1" s="437"/>
      <c r="F1" s="437"/>
      <c r="G1" s="437"/>
      <c r="H1" s="437"/>
      <c r="I1" s="437"/>
      <c r="J1" s="437"/>
      <c r="K1" s="437"/>
      <c r="L1" s="437"/>
      <c r="M1" s="437"/>
    </row>
    <row r="2" spans="1:13" ht="11.25" customHeight="1">
      <c r="A2" s="88" t="s">
        <v>573</v>
      </c>
      <c r="B2" s="88"/>
      <c r="C2" s="162">
        <v>2025</v>
      </c>
      <c r="D2" s="162">
        <v>2030</v>
      </c>
      <c r="E2" s="162">
        <v>2035</v>
      </c>
      <c r="F2" s="162">
        <v>2040</v>
      </c>
      <c r="G2" s="162">
        <v>2050</v>
      </c>
      <c r="H2" s="162">
        <v>2025</v>
      </c>
      <c r="I2" s="162">
        <v>2025</v>
      </c>
      <c r="J2" s="162">
        <v>2050</v>
      </c>
      <c r="K2" s="162">
        <v>2050</v>
      </c>
      <c r="L2" s="86" t="s">
        <v>574</v>
      </c>
      <c r="M2" s="86" t="s">
        <v>575</v>
      </c>
    </row>
    <row r="3" spans="1:13" ht="11.25" customHeight="1" thickBot="1">
      <c r="A3" s="163" t="s">
        <v>576</v>
      </c>
      <c r="B3" s="163"/>
      <c r="C3" s="164" t="s">
        <v>577</v>
      </c>
      <c r="D3" s="164" t="s">
        <v>577</v>
      </c>
      <c r="E3" s="164" t="s">
        <v>577</v>
      </c>
      <c r="F3" s="164" t="s">
        <v>577</v>
      </c>
      <c r="G3" s="164" t="s">
        <v>577</v>
      </c>
      <c r="H3" s="164" t="s">
        <v>578</v>
      </c>
      <c r="I3" s="164" t="s">
        <v>579</v>
      </c>
      <c r="J3" s="164" t="s">
        <v>578</v>
      </c>
      <c r="K3" s="164" t="s">
        <v>579</v>
      </c>
      <c r="L3" s="92" t="s">
        <v>580</v>
      </c>
      <c r="M3" s="92" t="s">
        <v>580</v>
      </c>
    </row>
    <row r="4" spans="1:13" ht="11.25" customHeight="1">
      <c r="A4" s="88" t="s">
        <v>581</v>
      </c>
      <c r="B4" s="88" t="s">
        <v>582</v>
      </c>
      <c r="C4" s="162"/>
      <c r="D4" s="162"/>
      <c r="E4" s="162"/>
      <c r="F4" s="162"/>
      <c r="G4" s="162"/>
      <c r="H4" s="162"/>
      <c r="I4" s="162"/>
      <c r="J4" s="162"/>
      <c r="K4" s="162"/>
      <c r="L4" s="86"/>
      <c r="M4" s="86"/>
    </row>
    <row r="5" spans="1:13" ht="11.25" customHeight="1">
      <c r="A5" s="117" t="s">
        <v>583</v>
      </c>
      <c r="C5" s="120"/>
      <c r="D5" s="120"/>
      <c r="E5" s="120"/>
      <c r="F5" s="120"/>
      <c r="G5" s="120"/>
      <c r="H5" s="120"/>
      <c r="I5" s="120"/>
      <c r="J5" s="120"/>
      <c r="K5" s="120"/>
      <c r="L5" s="120"/>
      <c r="M5" s="120"/>
    </row>
    <row r="6" spans="1:13" ht="11.25" customHeight="1">
      <c r="A6" s="117"/>
      <c r="B6" s="119" t="s">
        <v>584</v>
      </c>
      <c r="C6" s="121">
        <v>6.5</v>
      </c>
      <c r="D6" s="121">
        <v>6.5</v>
      </c>
      <c r="E6" s="121">
        <v>6.5</v>
      </c>
      <c r="F6" s="121">
        <v>6.5</v>
      </c>
      <c r="G6" s="121">
        <v>6.5</v>
      </c>
      <c r="H6" s="121">
        <v>0.3</v>
      </c>
      <c r="I6" s="121">
        <v>50</v>
      </c>
      <c r="J6" s="121">
        <v>0.3</v>
      </c>
      <c r="K6" s="121">
        <v>50</v>
      </c>
      <c r="L6" s="121"/>
      <c r="M6" s="121" t="s">
        <v>743</v>
      </c>
    </row>
    <row r="7" spans="1:13" ht="11.25" customHeight="1">
      <c r="A7" s="117"/>
      <c r="B7" s="119" t="s">
        <v>587</v>
      </c>
      <c r="C7" s="122">
        <v>0.89</v>
      </c>
      <c r="D7" s="122">
        <v>0.89</v>
      </c>
      <c r="E7" s="122">
        <v>0.89</v>
      </c>
      <c r="F7" s="122">
        <v>0.89</v>
      </c>
      <c r="G7" s="122">
        <v>0.89</v>
      </c>
      <c r="H7" s="122">
        <v>0.87</v>
      </c>
      <c r="I7" s="122">
        <v>0.91</v>
      </c>
      <c r="J7" s="122">
        <v>0.87</v>
      </c>
      <c r="K7" s="122">
        <v>0.91</v>
      </c>
      <c r="L7" s="121" t="s">
        <v>744</v>
      </c>
      <c r="M7" s="121">
        <v>2</v>
      </c>
    </row>
    <row r="8" spans="1:13" ht="11.25" customHeight="1">
      <c r="A8" s="117"/>
      <c r="B8" s="119" t="s">
        <v>590</v>
      </c>
      <c r="C8" s="156">
        <v>0.88900000000000001</v>
      </c>
      <c r="D8" s="156">
        <v>0.88900000000000001</v>
      </c>
      <c r="E8" s="156">
        <v>0.88900000000000001</v>
      </c>
      <c r="F8" s="156">
        <v>0.88900000000000001</v>
      </c>
      <c r="G8" s="156">
        <v>0.88900000000000001</v>
      </c>
      <c r="H8" s="156">
        <v>0.86899999999999999</v>
      </c>
      <c r="I8" s="156">
        <v>0.90900000000000003</v>
      </c>
      <c r="J8" s="156">
        <v>0.86899999999999999</v>
      </c>
      <c r="K8" s="156">
        <v>0.90900000000000003</v>
      </c>
      <c r="L8" s="121" t="s">
        <v>745</v>
      </c>
      <c r="M8" s="121">
        <v>2</v>
      </c>
    </row>
    <row r="9" spans="1:13" ht="11.25" customHeight="1">
      <c r="A9" s="117"/>
      <c r="B9" s="119" t="s">
        <v>592</v>
      </c>
      <c r="C9" s="122">
        <v>0.02</v>
      </c>
      <c r="D9" s="122">
        <v>0.02</v>
      </c>
      <c r="E9" s="122">
        <v>0.02</v>
      </c>
      <c r="F9" s="122">
        <v>0.02</v>
      </c>
      <c r="G9" s="122">
        <v>0.02</v>
      </c>
      <c r="H9" s="122">
        <v>0.02</v>
      </c>
      <c r="I9" s="122">
        <v>0.02</v>
      </c>
      <c r="J9" s="122">
        <v>0.02</v>
      </c>
      <c r="K9" s="122">
        <v>0.02</v>
      </c>
      <c r="L9" s="121"/>
      <c r="M9" s="121">
        <v>1</v>
      </c>
    </row>
    <row r="10" spans="1:13" ht="11.25" customHeight="1">
      <c r="A10" s="123"/>
      <c r="B10" s="123" t="s">
        <v>593</v>
      </c>
      <c r="C10" s="122">
        <v>0.03</v>
      </c>
      <c r="D10" s="122">
        <v>0.03</v>
      </c>
      <c r="E10" s="122">
        <v>0.03</v>
      </c>
      <c r="F10" s="122">
        <v>0.03</v>
      </c>
      <c r="G10" s="122">
        <v>0.03</v>
      </c>
      <c r="H10" s="122">
        <v>0.03</v>
      </c>
      <c r="I10" s="122">
        <v>0.03</v>
      </c>
      <c r="J10" s="122">
        <v>0.03</v>
      </c>
      <c r="K10" s="122">
        <v>0.03</v>
      </c>
      <c r="L10" s="121"/>
      <c r="M10" s="121">
        <v>1</v>
      </c>
    </row>
    <row r="11" spans="1:13" ht="11.25" customHeight="1">
      <c r="A11" s="117"/>
      <c r="B11" s="119" t="s">
        <v>595</v>
      </c>
      <c r="C11" s="125">
        <v>2</v>
      </c>
      <c r="D11" s="125">
        <v>2</v>
      </c>
      <c r="E11" s="125">
        <v>2</v>
      </c>
      <c r="F11" s="125">
        <v>2</v>
      </c>
      <c r="G11" s="125">
        <v>2</v>
      </c>
      <c r="H11" s="125">
        <v>1.7</v>
      </c>
      <c r="I11" s="125">
        <v>2.2999999999999998</v>
      </c>
      <c r="J11" s="125">
        <v>1.5</v>
      </c>
      <c r="K11" s="125">
        <v>2.5</v>
      </c>
      <c r="L11" s="121"/>
      <c r="M11" s="121">
        <v>1</v>
      </c>
    </row>
    <row r="12" spans="1:13" ht="11.25" customHeight="1">
      <c r="A12" s="117"/>
      <c r="B12" s="119" t="s">
        <v>596</v>
      </c>
      <c r="C12" s="121">
        <v>25</v>
      </c>
      <c r="D12" s="121">
        <v>25</v>
      </c>
      <c r="E12" s="121">
        <v>25</v>
      </c>
      <c r="F12" s="121">
        <v>25</v>
      </c>
      <c r="G12" s="121">
        <v>25</v>
      </c>
      <c r="H12" s="121">
        <v>20</v>
      </c>
      <c r="I12" s="121">
        <v>35</v>
      </c>
      <c r="J12" s="121">
        <v>20</v>
      </c>
      <c r="K12" s="121">
        <v>35</v>
      </c>
      <c r="L12" s="121"/>
      <c r="M12" s="121">
        <v>1</v>
      </c>
    </row>
    <row r="13" spans="1:13" ht="11.25" customHeight="1">
      <c r="A13" s="117"/>
      <c r="B13" s="119" t="s">
        <v>597</v>
      </c>
      <c r="C13" s="126">
        <v>1</v>
      </c>
      <c r="D13" s="126">
        <v>1</v>
      </c>
      <c r="E13" s="126">
        <v>1</v>
      </c>
      <c r="F13" s="126">
        <v>1</v>
      </c>
      <c r="G13" s="126">
        <v>1</v>
      </c>
      <c r="H13" s="125">
        <v>0.5</v>
      </c>
      <c r="I13" s="125">
        <v>1.5</v>
      </c>
      <c r="J13" s="125">
        <v>0.5</v>
      </c>
      <c r="K13" s="125">
        <v>1.5</v>
      </c>
      <c r="L13" s="120"/>
      <c r="M13" s="121">
        <v>1</v>
      </c>
    </row>
    <row r="14" spans="1:13" ht="11.25" customHeight="1">
      <c r="A14" s="117"/>
      <c r="B14" s="119" t="s">
        <v>643</v>
      </c>
      <c r="C14" s="126">
        <v>0.2</v>
      </c>
      <c r="D14" s="126">
        <v>0.2</v>
      </c>
      <c r="E14" s="126">
        <v>0.2</v>
      </c>
      <c r="F14" s="126">
        <v>0.2</v>
      </c>
      <c r="G14" s="126">
        <v>0.2</v>
      </c>
      <c r="H14" s="126">
        <v>0.14000000000000001</v>
      </c>
      <c r="I14" s="126">
        <v>0.25</v>
      </c>
      <c r="J14" s="126">
        <v>0.12</v>
      </c>
      <c r="K14" s="126">
        <v>0.27</v>
      </c>
      <c r="L14" s="120"/>
      <c r="M14" s="121">
        <v>1</v>
      </c>
    </row>
    <row r="15" spans="1:13" ht="11.25" customHeight="1">
      <c r="A15" s="117" t="s">
        <v>644</v>
      </c>
      <c r="C15" s="121"/>
      <c r="D15" s="121"/>
      <c r="E15" s="121"/>
      <c r="F15" s="121"/>
      <c r="G15" s="121"/>
      <c r="H15" s="121"/>
      <c r="I15" s="121"/>
      <c r="J15" s="121"/>
      <c r="K15" s="121"/>
      <c r="L15" s="121"/>
      <c r="M15" s="121"/>
    </row>
    <row r="16" spans="1:13" ht="11.25" customHeight="1">
      <c r="A16" s="123"/>
      <c r="B16" s="123" t="s">
        <v>714</v>
      </c>
      <c r="C16" s="122"/>
      <c r="D16" s="122"/>
      <c r="E16" s="122"/>
      <c r="F16" s="122"/>
      <c r="G16" s="122"/>
      <c r="H16" s="122"/>
      <c r="I16" s="122"/>
      <c r="J16" s="122"/>
      <c r="K16" s="122"/>
      <c r="L16" s="121"/>
      <c r="M16" s="121"/>
    </row>
    <row r="17" spans="1:13" ht="11.25" customHeight="1">
      <c r="A17" s="123"/>
      <c r="B17" s="123" t="s">
        <v>716</v>
      </c>
      <c r="C17" s="122">
        <v>0.1</v>
      </c>
      <c r="D17" s="122">
        <v>0.1</v>
      </c>
      <c r="E17" s="122">
        <v>0.1</v>
      </c>
      <c r="F17" s="122">
        <v>0.1</v>
      </c>
      <c r="G17" s="122">
        <v>0.1</v>
      </c>
      <c r="H17" s="122"/>
      <c r="I17" s="122"/>
      <c r="J17" s="122"/>
      <c r="K17" s="122"/>
      <c r="L17" s="121"/>
      <c r="M17" s="121">
        <v>1</v>
      </c>
    </row>
    <row r="18" spans="1:13" ht="11.25" customHeight="1">
      <c r="A18" s="123"/>
      <c r="B18" s="123" t="s">
        <v>717</v>
      </c>
      <c r="C18" s="122">
        <v>0.2</v>
      </c>
      <c r="D18" s="122">
        <v>0.2</v>
      </c>
      <c r="E18" s="122">
        <v>0.2</v>
      </c>
      <c r="F18" s="122">
        <v>0.2</v>
      </c>
      <c r="G18" s="122">
        <v>0.2</v>
      </c>
      <c r="H18" s="122"/>
      <c r="I18" s="122"/>
      <c r="J18" s="122"/>
      <c r="K18" s="122"/>
      <c r="L18" s="121"/>
      <c r="M18" s="121">
        <v>1</v>
      </c>
    </row>
    <row r="19" spans="1:13" ht="11.25" customHeight="1">
      <c r="A19" s="117"/>
      <c r="B19" s="119" t="s">
        <v>600</v>
      </c>
      <c r="C19" s="121">
        <v>0.25</v>
      </c>
      <c r="D19" s="121">
        <v>0.25</v>
      </c>
      <c r="E19" s="121">
        <v>0.25</v>
      </c>
      <c r="F19" s="121">
        <v>0.25</v>
      </c>
      <c r="G19" s="121">
        <v>0.25</v>
      </c>
      <c r="H19" s="121"/>
      <c r="I19" s="121"/>
      <c r="J19" s="121"/>
      <c r="K19" s="121"/>
      <c r="L19" s="121"/>
      <c r="M19" s="121">
        <v>1</v>
      </c>
    </row>
    <row r="20" spans="1:13" ht="11.25" customHeight="1">
      <c r="A20" s="117"/>
      <c r="B20" s="119" t="s">
        <v>601</v>
      </c>
      <c r="C20" s="121">
        <v>0.5</v>
      </c>
      <c r="D20" s="121">
        <v>0.5</v>
      </c>
      <c r="E20" s="121">
        <v>0.5</v>
      </c>
      <c r="F20" s="121">
        <v>0.5</v>
      </c>
      <c r="G20" s="121">
        <v>0.5</v>
      </c>
      <c r="H20" s="121"/>
      <c r="I20" s="121"/>
      <c r="J20" s="121"/>
      <c r="K20" s="121"/>
      <c r="L20" s="121"/>
      <c r="M20" s="121">
        <v>1</v>
      </c>
    </row>
    <row r="21" spans="1:13" ht="11.25" customHeight="1">
      <c r="A21" s="117" t="s">
        <v>648</v>
      </c>
      <c r="C21" s="121"/>
      <c r="D21" s="121"/>
      <c r="E21" s="121"/>
      <c r="F21" s="121"/>
      <c r="G21" s="121"/>
      <c r="H21" s="121"/>
      <c r="I21" s="121"/>
      <c r="J21" s="121"/>
      <c r="K21" s="121"/>
      <c r="L21" s="121"/>
      <c r="M21" s="121"/>
    </row>
    <row r="22" spans="1:13" ht="11.25" customHeight="1">
      <c r="A22" s="117"/>
      <c r="B22" s="119" t="s">
        <v>649</v>
      </c>
      <c r="C22" s="126">
        <v>0.87840721349403839</v>
      </c>
      <c r="D22" s="126">
        <v>0.82891948315634623</v>
      </c>
      <c r="E22" s="126">
        <v>0.80726860113360577</v>
      </c>
      <c r="F22" s="126">
        <v>0.78561771911086542</v>
      </c>
      <c r="G22" s="126">
        <v>0.74231595506538461</v>
      </c>
      <c r="H22" s="126"/>
      <c r="I22" s="126"/>
      <c r="J22" s="126"/>
      <c r="K22" s="126"/>
      <c r="L22" s="121"/>
      <c r="M22" s="121">
        <v>1</v>
      </c>
    </row>
    <row r="23" spans="1:13" ht="11.25" customHeight="1">
      <c r="A23" s="117"/>
      <c r="B23" s="119" t="s">
        <v>604</v>
      </c>
      <c r="C23" s="122">
        <v>0.6</v>
      </c>
      <c r="D23" s="122">
        <v>0.6</v>
      </c>
      <c r="E23" s="122">
        <v>0.6</v>
      </c>
      <c r="F23" s="122">
        <v>0.6</v>
      </c>
      <c r="G23" s="122">
        <v>0.6</v>
      </c>
      <c r="H23" s="126"/>
      <c r="I23" s="126"/>
      <c r="J23" s="126"/>
      <c r="K23" s="126"/>
      <c r="L23" s="121"/>
      <c r="M23" s="121">
        <v>1</v>
      </c>
    </row>
    <row r="24" spans="1:13" ht="11.25" customHeight="1">
      <c r="A24" s="117"/>
      <c r="B24" s="119" t="s">
        <v>651</v>
      </c>
      <c r="C24" s="122">
        <v>0.4</v>
      </c>
      <c r="D24" s="122">
        <v>0.4</v>
      </c>
      <c r="E24" s="122">
        <v>0.4</v>
      </c>
      <c r="F24" s="122">
        <v>0.4</v>
      </c>
      <c r="G24" s="122">
        <v>0.4</v>
      </c>
      <c r="H24" s="126"/>
      <c r="I24" s="126"/>
      <c r="J24" s="126"/>
      <c r="K24" s="126"/>
      <c r="L24" s="121"/>
      <c r="M24" s="121">
        <v>1</v>
      </c>
    </row>
    <row r="25" spans="1:13" ht="11.25" customHeight="1">
      <c r="A25" s="117"/>
      <c r="B25" s="119" t="s">
        <v>652</v>
      </c>
      <c r="C25" s="128">
        <v>39500</v>
      </c>
      <c r="D25" s="128">
        <v>38700</v>
      </c>
      <c r="E25" s="128">
        <v>37900</v>
      </c>
      <c r="F25" s="128">
        <v>37100</v>
      </c>
      <c r="G25" s="128">
        <v>35600</v>
      </c>
      <c r="H25" s="128"/>
      <c r="I25" s="128"/>
      <c r="J25" s="128"/>
      <c r="K25" s="128"/>
      <c r="L25" s="121"/>
      <c r="M25" s="121">
        <v>1</v>
      </c>
    </row>
    <row r="26" spans="1:13" ht="11.25" customHeight="1">
      <c r="A26" s="117"/>
      <c r="B26" s="119" t="s">
        <v>653</v>
      </c>
      <c r="C26" s="126">
        <v>1.45</v>
      </c>
      <c r="D26" s="126">
        <v>1.45</v>
      </c>
      <c r="E26" s="126">
        <v>1.45</v>
      </c>
      <c r="F26" s="126">
        <v>1.45</v>
      </c>
      <c r="G26" s="126">
        <v>1.45</v>
      </c>
      <c r="H26" s="126"/>
      <c r="I26" s="126"/>
      <c r="J26" s="126"/>
      <c r="K26" s="126"/>
      <c r="L26" s="121" t="s">
        <v>641</v>
      </c>
      <c r="M26" s="121">
        <v>1</v>
      </c>
    </row>
    <row r="27" spans="1:13" ht="11.25" customHeight="1">
      <c r="A27" s="117" t="s">
        <v>610</v>
      </c>
      <c r="C27" s="121"/>
      <c r="D27" s="121"/>
      <c r="E27" s="121"/>
      <c r="F27" s="121"/>
      <c r="G27" s="121"/>
      <c r="H27" s="121"/>
      <c r="I27" s="121"/>
      <c r="J27" s="121"/>
      <c r="K27" s="121"/>
      <c r="L27" s="121"/>
      <c r="M27" s="121"/>
    </row>
    <row r="28" spans="1:13" ht="11.25" customHeight="1">
      <c r="A28" s="117"/>
      <c r="B28" s="119" t="s">
        <v>655</v>
      </c>
      <c r="C28" s="121">
        <v>0.23</v>
      </c>
      <c r="D28" s="121">
        <v>0.23</v>
      </c>
      <c r="E28" s="121">
        <v>0.23</v>
      </c>
      <c r="F28" s="121">
        <v>0.23</v>
      </c>
      <c r="G28" s="121">
        <v>0.23</v>
      </c>
      <c r="H28" s="121"/>
      <c r="I28" s="121"/>
      <c r="J28" s="121"/>
      <c r="K28" s="121"/>
      <c r="L28" s="121" t="s">
        <v>746</v>
      </c>
      <c r="M28" s="121"/>
    </row>
    <row r="29" spans="1:13" ht="11.25" customHeight="1">
      <c r="A29" s="117"/>
      <c r="B29" s="119" t="s">
        <v>654</v>
      </c>
      <c r="C29" s="128"/>
      <c r="D29" s="128"/>
      <c r="E29" s="128"/>
      <c r="F29" s="128"/>
      <c r="G29" s="128"/>
      <c r="H29" s="128"/>
      <c r="I29" s="128"/>
      <c r="J29" s="128"/>
      <c r="K29" s="128"/>
      <c r="L29" s="121"/>
      <c r="M29" s="121"/>
    </row>
    <row r="30" spans="1:13" ht="11.25" customHeight="1">
      <c r="A30" s="117"/>
      <c r="B30" s="119" t="s">
        <v>747</v>
      </c>
      <c r="C30" s="122">
        <v>0.25</v>
      </c>
      <c r="D30" s="122">
        <v>0.25</v>
      </c>
      <c r="E30" s="122">
        <v>0.25</v>
      </c>
      <c r="F30" s="122">
        <v>0.25</v>
      </c>
      <c r="G30" s="122">
        <v>0.25</v>
      </c>
      <c r="H30" s="128"/>
      <c r="I30" s="128"/>
      <c r="J30" s="128"/>
      <c r="K30" s="128"/>
      <c r="L30" s="121" t="s">
        <v>748</v>
      </c>
      <c r="M30" s="121" t="s">
        <v>589</v>
      </c>
    </row>
    <row r="31" spans="1:13" ht="11.25" customHeight="1">
      <c r="A31" s="117"/>
      <c r="B31" s="119" t="s">
        <v>749</v>
      </c>
      <c r="C31" s="122">
        <v>0.12</v>
      </c>
      <c r="D31" s="122">
        <v>0.12</v>
      </c>
      <c r="E31" s="122">
        <v>0.12</v>
      </c>
      <c r="F31" s="122">
        <v>0.12</v>
      </c>
      <c r="G31" s="122">
        <v>0.12</v>
      </c>
      <c r="L31" s="121" t="s">
        <v>750</v>
      </c>
      <c r="M31" s="121" t="s">
        <v>589</v>
      </c>
    </row>
    <row r="32" spans="1:13" ht="11.25" customHeight="1">
      <c r="A32" s="117"/>
      <c r="B32" s="119" t="s">
        <v>724</v>
      </c>
      <c r="C32" s="160">
        <v>0.01</v>
      </c>
      <c r="D32" s="160">
        <v>0.01</v>
      </c>
      <c r="E32" s="160">
        <v>0.01</v>
      </c>
      <c r="F32" s="160">
        <v>0.01</v>
      </c>
      <c r="G32" s="160">
        <v>0.01</v>
      </c>
      <c r="H32" s="128"/>
      <c r="I32" s="128"/>
      <c r="J32" s="128"/>
      <c r="K32" s="128"/>
      <c r="L32" s="121" t="s">
        <v>619</v>
      </c>
      <c r="M32" s="121"/>
    </row>
    <row r="33" spans="1:13" ht="11.25" customHeight="1">
      <c r="A33" s="117"/>
      <c r="B33" s="135" t="s">
        <v>751</v>
      </c>
      <c r="C33" s="122">
        <v>0.5</v>
      </c>
      <c r="D33" s="122">
        <v>0.5</v>
      </c>
      <c r="E33" s="122">
        <v>0.5</v>
      </c>
      <c r="F33" s="122">
        <v>0.5</v>
      </c>
      <c r="G33" s="122">
        <v>0.5</v>
      </c>
      <c r="H33" s="165"/>
      <c r="I33" s="165"/>
      <c r="J33" s="165"/>
      <c r="K33" s="165"/>
      <c r="L33" s="159"/>
      <c r="M33" s="121">
        <v>1</v>
      </c>
    </row>
    <row r="34" spans="1:13" ht="11.25" customHeight="1" thickBot="1">
      <c r="A34" s="166"/>
      <c r="B34" s="167"/>
      <c r="C34" s="167"/>
      <c r="D34" s="167"/>
      <c r="E34" s="167"/>
      <c r="F34" s="167"/>
      <c r="G34" s="167"/>
      <c r="H34" s="167"/>
      <c r="I34" s="167"/>
      <c r="J34" s="167"/>
      <c r="K34" s="167"/>
      <c r="L34" s="167"/>
      <c r="M34" s="168"/>
    </row>
    <row r="35" spans="1:13" ht="11.25" customHeight="1">
      <c r="A35" s="132"/>
    </row>
    <row r="36" spans="1:13" ht="11.25" customHeight="1">
      <c r="A36" s="117" t="s">
        <v>622</v>
      </c>
    </row>
    <row r="37" spans="1:13" s="135" customFormat="1" ht="11.25" customHeight="1">
      <c r="A37" s="151" t="s">
        <v>585</v>
      </c>
      <c r="B37" s="135" t="s">
        <v>726</v>
      </c>
    </row>
    <row r="38" spans="1:13" s="135" customFormat="1" ht="11.25" customHeight="1">
      <c r="A38" s="151" t="s">
        <v>588</v>
      </c>
      <c r="B38" s="135" t="s">
        <v>727</v>
      </c>
    </row>
    <row r="39" spans="1:13" s="135" customFormat="1" ht="11.25" customHeight="1">
      <c r="A39" s="151" t="s">
        <v>625</v>
      </c>
      <c r="B39" s="135" t="s">
        <v>752</v>
      </c>
    </row>
    <row r="40" spans="1:13" s="135" customFormat="1" ht="11.25" customHeight="1">
      <c r="A40" s="151" t="s">
        <v>594</v>
      </c>
      <c r="B40" s="135" t="s">
        <v>729</v>
      </c>
    </row>
    <row r="41" spans="1:13" s="135" customFormat="1" ht="11.25" customHeight="1">
      <c r="A41" s="151" t="s">
        <v>605</v>
      </c>
      <c r="B41" s="119" t="s">
        <v>730</v>
      </c>
    </row>
    <row r="42" spans="1:13" s="135" customFormat="1" ht="11.25" customHeight="1">
      <c r="A42" s="151" t="s">
        <v>607</v>
      </c>
      <c r="B42" s="135" t="s">
        <v>753</v>
      </c>
    </row>
    <row r="43" spans="1:13" ht="11.25" customHeight="1">
      <c r="A43" s="151" t="s">
        <v>619</v>
      </c>
      <c r="B43" s="135" t="s">
        <v>754</v>
      </c>
    </row>
    <row r="44" spans="1:13" ht="11.25" customHeight="1">
      <c r="A44" s="151" t="s">
        <v>612</v>
      </c>
      <c r="B44" s="135" t="s">
        <v>755</v>
      </c>
    </row>
    <row r="45" spans="1:13" ht="11.25" customHeight="1">
      <c r="A45" s="151" t="s">
        <v>616</v>
      </c>
      <c r="B45" s="135" t="s">
        <v>756</v>
      </c>
    </row>
    <row r="46" spans="1:13" s="135" customFormat="1" ht="11.25" customHeight="1">
      <c r="A46" s="151" t="s">
        <v>719</v>
      </c>
      <c r="B46" s="135" t="s">
        <v>757</v>
      </c>
    </row>
    <row r="47" spans="1:13" s="135" customFormat="1" ht="11.25" customHeight="1">
      <c r="A47" s="151" t="s">
        <v>758</v>
      </c>
      <c r="B47" s="135" t="s">
        <v>759</v>
      </c>
    </row>
    <row r="48" spans="1:13" s="135" customFormat="1" ht="11.25" customHeight="1">
      <c r="A48" s="87"/>
    </row>
    <row r="49" spans="1:2" s="135" customFormat="1" ht="11.25" customHeight="1">
      <c r="A49" s="140" t="s">
        <v>633</v>
      </c>
      <c r="B49" s="119"/>
    </row>
    <row r="50" spans="1:2" ht="11.25" customHeight="1">
      <c r="A50" s="151">
        <v>1</v>
      </c>
      <c r="B50" s="135" t="s">
        <v>760</v>
      </c>
    </row>
    <row r="51" spans="1:2" ht="11.25" customHeight="1">
      <c r="A51" s="151">
        <v>2</v>
      </c>
      <c r="B51" s="135" t="s">
        <v>739</v>
      </c>
    </row>
    <row r="52" spans="1:2" ht="11.25" customHeight="1">
      <c r="A52" s="151">
        <v>3</v>
      </c>
      <c r="B52" s="119" t="s">
        <v>740</v>
      </c>
    </row>
    <row r="53" spans="1:2" ht="11.25" customHeight="1">
      <c r="A53" s="151">
        <v>4</v>
      </c>
      <c r="B53" s="135" t="s">
        <v>761</v>
      </c>
    </row>
    <row r="54" spans="1:2" ht="11.25" customHeight="1">
      <c r="A54" s="151">
        <v>5</v>
      </c>
      <c r="B54" s="119" t="s">
        <v>762</v>
      </c>
    </row>
    <row r="56" spans="1:2" ht="11.25" customHeight="1">
      <c r="A56" s="117"/>
    </row>
    <row r="57" spans="1:2" ht="11.25" customHeight="1">
      <c r="A57" s="117"/>
    </row>
    <row r="58" spans="1:2" ht="11.25" customHeight="1">
      <c r="A58" s="117"/>
    </row>
    <row r="59" spans="1:2" ht="11.25" customHeight="1">
      <c r="A59" s="117"/>
    </row>
    <row r="60" spans="1:2" ht="11.25" customHeight="1">
      <c r="A60" s="117"/>
    </row>
    <row r="61" spans="1:2" ht="11.25" customHeight="1">
      <c r="A61" s="117"/>
    </row>
    <row r="62" spans="1:2" ht="11.25" customHeight="1">
      <c r="A62" s="117"/>
    </row>
    <row r="63" spans="1:2" ht="11.25" customHeight="1">
      <c r="A63" s="117"/>
    </row>
    <row r="64" spans="1:2" ht="11.25" customHeight="1">
      <c r="A64" s="117"/>
    </row>
    <row r="65" spans="1:1" ht="11.25" customHeight="1">
      <c r="A65" s="117"/>
    </row>
    <row r="66" spans="1:1" ht="11.25" customHeight="1">
      <c r="A66" s="117"/>
    </row>
    <row r="67" spans="1:1" ht="11.25" customHeight="1">
      <c r="A67" s="117"/>
    </row>
    <row r="68" spans="1:1" ht="11.25" customHeight="1">
      <c r="A68" s="117"/>
    </row>
    <row r="69" spans="1:1" ht="11.25" customHeight="1">
      <c r="A69" s="117"/>
    </row>
    <row r="70" spans="1:1" ht="11.25" customHeight="1">
      <c r="A70" s="117"/>
    </row>
    <row r="71" spans="1:1" ht="11.25" customHeight="1">
      <c r="A71" s="117"/>
    </row>
    <row r="72" spans="1:1" ht="11.25" customHeight="1">
      <c r="A72" s="117"/>
    </row>
    <row r="73" spans="1:1" ht="11.25" customHeight="1">
      <c r="A73" s="117"/>
    </row>
    <row r="74" spans="1:1" ht="11.25" customHeight="1">
      <c r="A74" s="117"/>
    </row>
    <row r="75" spans="1:1" ht="11.25" customHeight="1">
      <c r="A75" s="117"/>
    </row>
    <row r="76" spans="1:1" ht="11.25" customHeight="1">
      <c r="A76" s="117"/>
    </row>
    <row r="77" spans="1:1" ht="11.25" customHeight="1">
      <c r="A77" s="117"/>
    </row>
    <row r="78" spans="1:1" ht="11.25" customHeight="1">
      <c r="A78" s="117"/>
    </row>
    <row r="79" spans="1:1" ht="11.25" customHeight="1">
      <c r="A79" s="117"/>
    </row>
    <row r="80" spans="1:1" ht="11.25" customHeight="1">
      <c r="A80" s="117"/>
    </row>
    <row r="81" spans="1:1" ht="11.25" customHeight="1">
      <c r="A81" s="117"/>
    </row>
    <row r="82" spans="1:1" ht="11.25" customHeight="1">
      <c r="A82" s="117"/>
    </row>
    <row r="83" spans="1:1" ht="11.25" customHeight="1">
      <c r="A83" s="117"/>
    </row>
    <row r="84" spans="1:1" ht="11.25" customHeight="1">
      <c r="A84" s="117"/>
    </row>
    <row r="85" spans="1:1" ht="11.25" customHeight="1">
      <c r="A85" s="117"/>
    </row>
    <row r="86" spans="1:1" ht="11.25" customHeight="1">
      <c r="A86" s="117"/>
    </row>
    <row r="87" spans="1:1" ht="11.25" customHeight="1">
      <c r="A87" s="117"/>
    </row>
    <row r="88" spans="1:1" ht="11.25" customHeight="1">
      <c r="A88" s="117"/>
    </row>
    <row r="89" spans="1:1" ht="11.25" customHeight="1">
      <c r="A89" s="117"/>
    </row>
    <row r="90" spans="1:1" ht="11.25" customHeight="1">
      <c r="A90" s="117"/>
    </row>
    <row r="91" spans="1:1" ht="11.25" customHeight="1">
      <c r="A91" s="117"/>
    </row>
    <row r="92" spans="1:1" ht="11.25" customHeight="1">
      <c r="A92" s="117"/>
    </row>
    <row r="93" spans="1:1" ht="11.25" customHeight="1">
      <c r="A93" s="117"/>
    </row>
    <row r="94" spans="1:1" ht="11.25" customHeight="1">
      <c r="A94" s="117"/>
    </row>
    <row r="95" spans="1:1" ht="11.25" customHeight="1">
      <c r="A95" s="117"/>
    </row>
    <row r="96" spans="1:1" ht="11.25" customHeight="1">
      <c r="A96" s="117"/>
    </row>
    <row r="97" spans="1:1" ht="11.25" customHeight="1">
      <c r="A97" s="117"/>
    </row>
    <row r="98" spans="1:1" ht="11.25" customHeight="1">
      <c r="A98" s="117"/>
    </row>
    <row r="99" spans="1:1" ht="11.25" customHeight="1">
      <c r="A99" s="117"/>
    </row>
    <row r="100" spans="1:1" ht="11.25" customHeight="1">
      <c r="A100" s="117"/>
    </row>
    <row r="101" spans="1:1" ht="11.25" customHeight="1">
      <c r="A101" s="117"/>
    </row>
    <row r="102" spans="1:1" ht="11.25" customHeight="1">
      <c r="A102" s="117"/>
    </row>
    <row r="103" spans="1:1" ht="11.25" customHeight="1">
      <c r="A103" s="117"/>
    </row>
    <row r="104" spans="1:1" ht="11.25" customHeight="1">
      <c r="A104" s="117"/>
    </row>
    <row r="105" spans="1:1" ht="11.25" customHeight="1">
      <c r="A105" s="117"/>
    </row>
    <row r="106" spans="1:1" ht="11.25" customHeight="1">
      <c r="A106" s="117"/>
    </row>
    <row r="107" spans="1:1" ht="11.25" customHeight="1">
      <c r="A107" s="117"/>
    </row>
    <row r="108" spans="1:1" ht="11.25" customHeight="1">
      <c r="A108" s="117"/>
    </row>
    <row r="109" spans="1:1" ht="11.25" customHeight="1">
      <c r="A109" s="117"/>
    </row>
    <row r="110" spans="1:1" ht="11.25" customHeight="1">
      <c r="A110" s="117"/>
    </row>
    <row r="111" spans="1:1" ht="11.25" customHeight="1">
      <c r="A111" s="117"/>
    </row>
    <row r="112" spans="1:1" ht="11.25" customHeight="1">
      <c r="A112" s="117"/>
    </row>
    <row r="113" spans="1:1" ht="11.25" customHeight="1">
      <c r="A113" s="117"/>
    </row>
    <row r="114" spans="1:1" ht="11.25" customHeight="1">
      <c r="A114" s="117"/>
    </row>
    <row r="115" spans="1:1" ht="11.25" customHeight="1">
      <c r="A115" s="117"/>
    </row>
    <row r="116" spans="1:1" ht="11.25" customHeight="1">
      <c r="A116" s="117"/>
    </row>
    <row r="117" spans="1:1" ht="11.25" customHeight="1">
      <c r="A117" s="117"/>
    </row>
    <row r="118" spans="1:1" ht="11.25" customHeight="1">
      <c r="A118" s="117"/>
    </row>
    <row r="119" spans="1:1" ht="11.25" customHeight="1">
      <c r="A119" s="117"/>
    </row>
    <row r="120" spans="1:1" ht="11.25" customHeight="1">
      <c r="A120" s="117"/>
    </row>
    <row r="121" spans="1:1" ht="11.25" customHeight="1">
      <c r="A121" s="117"/>
    </row>
    <row r="122" spans="1:1" ht="11.25" customHeight="1">
      <c r="A122" s="117"/>
    </row>
    <row r="123" spans="1:1" ht="11.25" customHeight="1">
      <c r="A123" s="117"/>
    </row>
    <row r="124" spans="1:1" ht="11.25" customHeight="1">
      <c r="A124" s="117"/>
    </row>
    <row r="125" spans="1:1" ht="11.25" customHeight="1">
      <c r="A125" s="117"/>
    </row>
    <row r="126" spans="1:1" ht="11.25" customHeight="1">
      <c r="A126" s="117"/>
    </row>
    <row r="127" spans="1:1" ht="11.25" customHeight="1">
      <c r="A127" s="117"/>
    </row>
    <row r="128" spans="1:1" ht="11.25" customHeight="1">
      <c r="A128" s="117"/>
    </row>
    <row r="129" spans="1:1" ht="11.25" customHeight="1">
      <c r="A129" s="117"/>
    </row>
    <row r="130" spans="1:1" ht="11.25" customHeight="1">
      <c r="A130" s="117"/>
    </row>
    <row r="131" spans="1:1" ht="11.25" customHeight="1">
      <c r="A131" s="117"/>
    </row>
    <row r="132" spans="1:1" ht="11.25" customHeight="1">
      <c r="A132" s="117"/>
    </row>
    <row r="133" spans="1:1" ht="11.25" customHeight="1">
      <c r="A133" s="117"/>
    </row>
    <row r="134" spans="1:1" ht="11.25" customHeight="1">
      <c r="A134" s="117"/>
    </row>
    <row r="135" spans="1:1" ht="11.25" customHeight="1">
      <c r="A135" s="117"/>
    </row>
    <row r="136" spans="1:1" ht="11.25" customHeight="1">
      <c r="A136" s="117"/>
    </row>
    <row r="137" spans="1:1" ht="11.25" customHeight="1">
      <c r="A137" s="117"/>
    </row>
    <row r="138" spans="1:1" ht="11.25" customHeight="1">
      <c r="A138" s="117"/>
    </row>
    <row r="139" spans="1:1" ht="11.25" customHeight="1">
      <c r="A139" s="117"/>
    </row>
    <row r="140" spans="1:1" ht="11.25" customHeight="1">
      <c r="A140" s="117"/>
    </row>
    <row r="141" spans="1:1" ht="11.25" customHeight="1">
      <c r="A141" s="117"/>
    </row>
    <row r="142" spans="1:1" ht="11.25" customHeight="1">
      <c r="A142" s="117"/>
    </row>
    <row r="143" spans="1:1" ht="11.25" customHeight="1">
      <c r="A143" s="117"/>
    </row>
    <row r="144" spans="1:1" ht="11.25" customHeight="1">
      <c r="A144" s="117"/>
    </row>
    <row r="145" spans="1:1" ht="11.25" customHeight="1">
      <c r="A145" s="117"/>
    </row>
    <row r="146" spans="1:1" ht="11.25" customHeight="1">
      <c r="A146" s="117"/>
    </row>
    <row r="147" spans="1:1" ht="11.25" customHeight="1">
      <c r="A147" s="117"/>
    </row>
    <row r="148" spans="1:1" ht="11.25" customHeight="1">
      <c r="A148" s="117"/>
    </row>
    <row r="149" spans="1:1" ht="11.25" customHeight="1">
      <c r="A149" s="117"/>
    </row>
    <row r="150" spans="1:1" ht="11.25" customHeight="1">
      <c r="A150" s="117"/>
    </row>
    <row r="151" spans="1:1" ht="11.25" customHeight="1">
      <c r="A151" s="117"/>
    </row>
    <row r="152" spans="1:1" ht="11.25" customHeight="1">
      <c r="A152" s="117"/>
    </row>
    <row r="153" spans="1:1" ht="11.25" customHeight="1">
      <c r="A153" s="117"/>
    </row>
    <row r="154" spans="1:1" ht="11.25" customHeight="1">
      <c r="A154" s="117"/>
    </row>
    <row r="155" spans="1:1" ht="11.25" customHeight="1">
      <c r="A155" s="117"/>
    </row>
    <row r="156" spans="1:1" ht="11.25" customHeight="1">
      <c r="A156" s="117"/>
    </row>
    <row r="157" spans="1:1" ht="11.25" customHeight="1">
      <c r="A157" s="117"/>
    </row>
    <row r="158" spans="1:1" ht="11.25" customHeight="1">
      <c r="A158" s="117"/>
    </row>
    <row r="159" spans="1:1" ht="11.25" customHeight="1">
      <c r="A159" s="117"/>
    </row>
    <row r="160" spans="1:1" ht="11.25" customHeight="1">
      <c r="A160" s="117"/>
    </row>
    <row r="161" spans="1:1" ht="11.25" customHeight="1">
      <c r="A161" s="117"/>
    </row>
    <row r="162" spans="1:1" ht="11.25" customHeight="1">
      <c r="A162" s="117"/>
    </row>
    <row r="163" spans="1:1" ht="11.25" customHeight="1">
      <c r="A163" s="117"/>
    </row>
    <row r="164" spans="1:1" ht="11.25" customHeight="1">
      <c r="A164" s="117"/>
    </row>
    <row r="165" spans="1:1" ht="11.25" customHeight="1">
      <c r="A165" s="117"/>
    </row>
    <row r="166" spans="1:1" ht="11.25" customHeight="1">
      <c r="A166" s="117"/>
    </row>
    <row r="167" spans="1:1" ht="11.25" customHeight="1">
      <c r="A167" s="117"/>
    </row>
    <row r="168" spans="1:1" ht="11.25" customHeight="1">
      <c r="A168" s="117"/>
    </row>
    <row r="169" spans="1:1" ht="11.25" customHeight="1">
      <c r="A169" s="117"/>
    </row>
    <row r="170" spans="1:1" ht="11.25" customHeight="1">
      <c r="A170" s="117"/>
    </row>
    <row r="171" spans="1:1" ht="11.25" customHeight="1">
      <c r="A171" s="117"/>
    </row>
    <row r="172" spans="1:1" ht="11.25" customHeight="1">
      <c r="A172" s="117"/>
    </row>
    <row r="173" spans="1:1" ht="11.25" customHeight="1">
      <c r="A173" s="117"/>
    </row>
    <row r="174" spans="1:1" ht="11.25" customHeight="1">
      <c r="A174" s="117"/>
    </row>
    <row r="175" spans="1:1" ht="11.25" customHeight="1">
      <c r="A175" s="117"/>
    </row>
    <row r="176" spans="1:1" ht="11.25" customHeight="1">
      <c r="A176" s="117"/>
    </row>
    <row r="177" spans="1:1" ht="11.25" customHeight="1">
      <c r="A177" s="117"/>
    </row>
    <row r="178" spans="1:1" ht="11.25" customHeight="1">
      <c r="A178" s="117"/>
    </row>
    <row r="179" spans="1:1" ht="11.25" customHeight="1">
      <c r="A179" s="117"/>
    </row>
    <row r="180" spans="1:1" ht="11.25" customHeight="1">
      <c r="A180" s="117"/>
    </row>
    <row r="181" spans="1:1" ht="11.25" customHeight="1">
      <c r="A181" s="117"/>
    </row>
    <row r="182" spans="1:1" ht="11.25" customHeight="1">
      <c r="A182" s="117"/>
    </row>
    <row r="183" spans="1:1" ht="11.25" customHeight="1">
      <c r="A183" s="117"/>
    </row>
    <row r="184" spans="1:1" ht="11.25" customHeight="1">
      <c r="A184" s="117"/>
    </row>
    <row r="185" spans="1:1" ht="11.25" customHeight="1">
      <c r="A185" s="117"/>
    </row>
    <row r="186" spans="1:1" ht="11.25" customHeight="1">
      <c r="A186" s="117"/>
    </row>
    <row r="187" spans="1:1" ht="11.25" customHeight="1">
      <c r="A187" s="117"/>
    </row>
    <row r="188" spans="1:1" ht="11.25" customHeight="1">
      <c r="A188" s="117"/>
    </row>
    <row r="189" spans="1:1" ht="11.25" customHeight="1">
      <c r="A189" s="117"/>
    </row>
  </sheetData>
  <mergeCells count="1">
    <mergeCell ref="C1:M1"/>
  </mergeCells>
  <hyperlinks>
    <hyperlink ref="C1" location="INDEX" display="Boiler, biomass" xr:uid="{900197D8-5DF0-4398-B5D2-086FC232A83F}"/>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DBCF-92A0-4890-A9EB-2B6216ED4F03}">
  <dimension ref="A1:M187"/>
  <sheetViews>
    <sheetView zoomScaleNormal="100" workbookViewId="0">
      <pane xSplit="2" ySplit="2" topLeftCell="C3" activePane="bottomRight" state="frozen"/>
      <selection pane="topRight"/>
      <selection pane="bottomLeft"/>
      <selection pane="bottomRight"/>
    </sheetView>
  </sheetViews>
  <sheetFormatPr defaultColWidth="9" defaultRowHeight="11.25" customHeight="1"/>
  <cols>
    <col min="1" max="1" width="3.7109375" style="119" customWidth="1"/>
    <col min="2" max="2" width="57.85546875" style="119" customWidth="1"/>
    <col min="3" max="13" width="9.28515625" style="119" customWidth="1"/>
    <col min="14" max="16384" width="9" style="119"/>
  </cols>
  <sheetData>
    <row r="1" spans="1:13" ht="11.25" customHeight="1">
      <c r="A1" s="84" t="s">
        <v>557</v>
      </c>
      <c r="B1" s="118"/>
      <c r="C1" s="435" t="s">
        <v>763</v>
      </c>
      <c r="D1" s="434"/>
      <c r="E1" s="434"/>
      <c r="F1" s="434"/>
      <c r="G1" s="434"/>
      <c r="H1" s="434"/>
      <c r="I1" s="434"/>
      <c r="J1" s="434"/>
      <c r="K1" s="434"/>
      <c r="L1" s="434"/>
      <c r="M1" s="434"/>
    </row>
    <row r="2" spans="1:13" ht="11.25" customHeight="1">
      <c r="A2" s="88" t="s">
        <v>573</v>
      </c>
      <c r="B2" s="88"/>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0"/>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3" t="s">
        <v>582</v>
      </c>
      <c r="C4" s="86"/>
      <c r="D4" s="86"/>
      <c r="E4" s="86"/>
      <c r="F4" s="86"/>
      <c r="G4" s="86"/>
      <c r="H4" s="86"/>
      <c r="I4" s="86"/>
      <c r="J4" s="86"/>
      <c r="K4" s="86"/>
      <c r="L4" s="86"/>
      <c r="M4" s="86"/>
    </row>
    <row r="5" spans="1:13" ht="11.25" customHeight="1">
      <c r="A5" s="117" t="s">
        <v>583</v>
      </c>
      <c r="C5" s="120"/>
      <c r="D5" s="120"/>
      <c r="E5" s="120"/>
      <c r="F5" s="120"/>
      <c r="G5" s="120"/>
      <c r="H5" s="120"/>
      <c r="I5" s="120"/>
      <c r="J5" s="120"/>
      <c r="K5" s="120"/>
      <c r="L5" s="120"/>
      <c r="M5" s="120"/>
    </row>
    <row r="6" spans="1:13" ht="11.25" customHeight="1">
      <c r="A6" s="117"/>
      <c r="B6" s="119" t="s">
        <v>584</v>
      </c>
      <c r="C6" s="121">
        <v>5</v>
      </c>
      <c r="D6" s="121">
        <v>5</v>
      </c>
      <c r="E6" s="121">
        <v>5</v>
      </c>
      <c r="F6" s="121">
        <v>5</v>
      </c>
      <c r="G6" s="121">
        <v>5</v>
      </c>
      <c r="H6" s="121">
        <v>1.6</v>
      </c>
      <c r="I6" s="121">
        <v>50</v>
      </c>
      <c r="J6" s="121">
        <v>1.6</v>
      </c>
      <c r="K6" s="121">
        <v>50</v>
      </c>
      <c r="L6" s="121"/>
      <c r="M6" s="121" t="s">
        <v>764</v>
      </c>
    </row>
    <row r="7" spans="1:13" ht="11.25" customHeight="1">
      <c r="A7" s="117"/>
      <c r="B7" s="119" t="s">
        <v>587</v>
      </c>
      <c r="C7" s="122">
        <v>0.9</v>
      </c>
      <c r="D7" s="122">
        <v>0.9</v>
      </c>
      <c r="E7" s="122">
        <v>0.9</v>
      </c>
      <c r="F7" s="122">
        <v>0.9</v>
      </c>
      <c r="G7" s="122">
        <v>0.9</v>
      </c>
      <c r="H7" s="122">
        <v>0.88</v>
      </c>
      <c r="I7" s="122">
        <v>0.92</v>
      </c>
      <c r="J7" s="122">
        <v>0.88</v>
      </c>
      <c r="K7" s="122">
        <v>0.92</v>
      </c>
      <c r="L7" s="121" t="s">
        <v>765</v>
      </c>
      <c r="M7" s="121">
        <v>2</v>
      </c>
    </row>
    <row r="8" spans="1:13" ht="11.25" customHeight="1">
      <c r="A8" s="117"/>
      <c r="B8" s="119" t="s">
        <v>590</v>
      </c>
      <c r="C8" s="156">
        <v>0.89900000000000002</v>
      </c>
      <c r="D8" s="156">
        <v>0.89900000000000002</v>
      </c>
      <c r="E8" s="156">
        <v>0.89900000000000002</v>
      </c>
      <c r="F8" s="156">
        <v>0.89900000000000002</v>
      </c>
      <c r="G8" s="156">
        <v>0.89900000000000002</v>
      </c>
      <c r="H8" s="156">
        <v>0.879</v>
      </c>
      <c r="I8" s="156">
        <v>0.91900000000000004</v>
      </c>
      <c r="J8" s="156">
        <v>0.879</v>
      </c>
      <c r="K8" s="156">
        <v>0.91900000000000004</v>
      </c>
      <c r="L8" s="121" t="s">
        <v>766</v>
      </c>
      <c r="M8" s="121">
        <v>2</v>
      </c>
    </row>
    <row r="9" spans="1:13" ht="11.25" customHeight="1">
      <c r="A9" s="117"/>
      <c r="B9" s="119" t="s">
        <v>592</v>
      </c>
      <c r="C9" s="122">
        <v>0.02</v>
      </c>
      <c r="D9" s="122">
        <v>0.02</v>
      </c>
      <c r="E9" s="122">
        <v>0.02</v>
      </c>
      <c r="F9" s="122">
        <v>0.02</v>
      </c>
      <c r="G9" s="122">
        <v>0.02</v>
      </c>
      <c r="H9" s="122">
        <v>0.02</v>
      </c>
      <c r="I9" s="122">
        <v>0.02</v>
      </c>
      <c r="J9" s="122">
        <v>0.02</v>
      </c>
      <c r="K9" s="122">
        <v>0.02</v>
      </c>
      <c r="L9" s="121" t="s">
        <v>607</v>
      </c>
      <c r="M9" s="121">
        <v>1</v>
      </c>
    </row>
    <row r="10" spans="1:13" ht="11.25" customHeight="1">
      <c r="A10" s="123"/>
      <c r="B10" s="123" t="s">
        <v>593</v>
      </c>
      <c r="C10" s="122">
        <v>0.03</v>
      </c>
      <c r="D10" s="122">
        <v>0.03</v>
      </c>
      <c r="E10" s="122">
        <v>0.03</v>
      </c>
      <c r="F10" s="122">
        <v>0.03</v>
      </c>
      <c r="G10" s="122">
        <v>0.03</v>
      </c>
      <c r="H10" s="122">
        <v>0.03</v>
      </c>
      <c r="I10" s="122">
        <v>0.03</v>
      </c>
      <c r="J10" s="122">
        <v>0.03</v>
      </c>
      <c r="K10" s="122">
        <v>0.03</v>
      </c>
      <c r="L10" s="121" t="s">
        <v>607</v>
      </c>
      <c r="M10" s="121">
        <v>1</v>
      </c>
    </row>
    <row r="11" spans="1:13" ht="11.25" customHeight="1">
      <c r="A11" s="117"/>
      <c r="B11" s="119" t="s">
        <v>595</v>
      </c>
      <c r="C11" s="125">
        <v>2</v>
      </c>
      <c r="D11" s="125">
        <v>2</v>
      </c>
      <c r="E11" s="125">
        <v>2</v>
      </c>
      <c r="F11" s="125">
        <v>2</v>
      </c>
      <c r="G11" s="125">
        <v>2</v>
      </c>
      <c r="H11" s="125">
        <v>1.7</v>
      </c>
      <c r="I11" s="125">
        <v>2.2999999999999998</v>
      </c>
      <c r="J11" s="125">
        <v>1.5</v>
      </c>
      <c r="K11" s="125">
        <v>2.5</v>
      </c>
      <c r="L11" s="121" t="s">
        <v>607</v>
      </c>
      <c r="M11" s="121">
        <v>1</v>
      </c>
    </row>
    <row r="12" spans="1:13" ht="11.25" customHeight="1">
      <c r="A12" s="117"/>
      <c r="B12" s="119" t="s">
        <v>596</v>
      </c>
      <c r="C12" s="121">
        <v>25</v>
      </c>
      <c r="D12" s="121">
        <v>25</v>
      </c>
      <c r="E12" s="121">
        <v>25</v>
      </c>
      <c r="F12" s="121">
        <v>25</v>
      </c>
      <c r="G12" s="121">
        <v>25</v>
      </c>
      <c r="H12" s="121">
        <v>20</v>
      </c>
      <c r="I12" s="121">
        <v>35</v>
      </c>
      <c r="J12" s="121">
        <v>20</v>
      </c>
      <c r="K12" s="121">
        <v>35</v>
      </c>
      <c r="L12" s="121" t="s">
        <v>767</v>
      </c>
      <c r="M12" s="121">
        <v>1</v>
      </c>
    </row>
    <row r="13" spans="1:13" ht="11.25" customHeight="1">
      <c r="A13" s="117"/>
      <c r="B13" s="119" t="s">
        <v>597</v>
      </c>
      <c r="C13" s="126">
        <v>1</v>
      </c>
      <c r="D13" s="126">
        <v>1</v>
      </c>
      <c r="E13" s="126">
        <v>1</v>
      </c>
      <c r="F13" s="126">
        <v>1</v>
      </c>
      <c r="G13" s="126">
        <v>1</v>
      </c>
      <c r="H13" s="125">
        <v>0.5</v>
      </c>
      <c r="I13" s="125">
        <v>1.5</v>
      </c>
      <c r="J13" s="125">
        <v>0.5</v>
      </c>
      <c r="K13" s="125">
        <v>1.5</v>
      </c>
      <c r="L13" s="120" t="s">
        <v>607</v>
      </c>
      <c r="M13" s="121">
        <v>1</v>
      </c>
    </row>
    <row r="14" spans="1:13" ht="11.25" customHeight="1">
      <c r="A14" s="117"/>
      <c r="B14" s="119" t="s">
        <v>643</v>
      </c>
      <c r="C14" s="126">
        <v>0.2</v>
      </c>
      <c r="D14" s="126">
        <v>0.2</v>
      </c>
      <c r="E14" s="126">
        <v>0.2</v>
      </c>
      <c r="F14" s="126">
        <v>0.2</v>
      </c>
      <c r="G14" s="126">
        <v>0.2</v>
      </c>
      <c r="H14" s="126">
        <v>0.14000000000000001</v>
      </c>
      <c r="I14" s="126">
        <v>0.25</v>
      </c>
      <c r="J14" s="126">
        <v>0.12</v>
      </c>
      <c r="K14" s="126">
        <v>0.27</v>
      </c>
      <c r="L14" s="120" t="s">
        <v>607</v>
      </c>
      <c r="M14" s="121">
        <v>1</v>
      </c>
    </row>
    <row r="15" spans="1:13" ht="11.25" customHeight="1">
      <c r="A15" s="117" t="s">
        <v>644</v>
      </c>
      <c r="C15" s="121"/>
      <c r="D15" s="121"/>
      <c r="E15" s="121"/>
      <c r="F15" s="121"/>
      <c r="G15" s="121"/>
      <c r="H15" s="121"/>
      <c r="I15" s="121"/>
      <c r="J15" s="121"/>
      <c r="K15" s="121"/>
      <c r="L15" s="121"/>
      <c r="M15" s="121"/>
    </row>
    <row r="16" spans="1:13" ht="11.25" customHeight="1">
      <c r="A16" s="123"/>
      <c r="B16" s="123" t="s">
        <v>714</v>
      </c>
      <c r="C16" s="122"/>
      <c r="D16" s="122"/>
      <c r="E16" s="122"/>
      <c r="F16" s="122"/>
      <c r="G16" s="122"/>
      <c r="H16" s="122"/>
      <c r="I16" s="122"/>
      <c r="J16" s="122"/>
      <c r="K16" s="122"/>
      <c r="L16" s="121"/>
      <c r="M16" s="121"/>
    </row>
    <row r="17" spans="1:13" ht="11.25" customHeight="1">
      <c r="A17" s="123"/>
      <c r="B17" s="123" t="s">
        <v>716</v>
      </c>
      <c r="C17" s="122">
        <v>0.1</v>
      </c>
      <c r="D17" s="122">
        <v>0.1</v>
      </c>
      <c r="E17" s="122">
        <v>0.1</v>
      </c>
      <c r="F17" s="122">
        <v>0.1</v>
      </c>
      <c r="G17" s="122">
        <v>0.1</v>
      </c>
      <c r="H17" s="122"/>
      <c r="I17" s="122"/>
      <c r="J17" s="122"/>
      <c r="K17" s="122"/>
      <c r="L17" s="121" t="s">
        <v>607</v>
      </c>
      <c r="M17" s="121">
        <v>1</v>
      </c>
    </row>
    <row r="18" spans="1:13" ht="11.25" customHeight="1">
      <c r="A18" s="123"/>
      <c r="B18" s="123" t="s">
        <v>717</v>
      </c>
      <c r="C18" s="122">
        <v>0.15</v>
      </c>
      <c r="D18" s="122">
        <v>0.15</v>
      </c>
      <c r="E18" s="122">
        <v>0.15</v>
      </c>
      <c r="F18" s="122">
        <v>0.15</v>
      </c>
      <c r="G18" s="122">
        <v>0.15</v>
      </c>
      <c r="H18" s="122"/>
      <c r="I18" s="122"/>
      <c r="J18" s="122"/>
      <c r="K18" s="122"/>
      <c r="L18" s="121" t="s">
        <v>605</v>
      </c>
      <c r="M18" s="121">
        <v>1</v>
      </c>
    </row>
    <row r="19" spans="1:13" ht="11.25" customHeight="1">
      <c r="A19" s="117"/>
      <c r="B19" s="119" t="s">
        <v>600</v>
      </c>
      <c r="C19" s="121">
        <v>0.25</v>
      </c>
      <c r="D19" s="121">
        <v>0.25</v>
      </c>
      <c r="E19" s="121">
        <v>0.25</v>
      </c>
      <c r="F19" s="121">
        <v>0.25</v>
      </c>
      <c r="G19" s="121">
        <v>0.25</v>
      </c>
      <c r="H19" s="121"/>
      <c r="I19" s="121"/>
      <c r="J19" s="121"/>
      <c r="K19" s="121"/>
      <c r="L19" s="121" t="s">
        <v>607</v>
      </c>
      <c r="M19" s="121">
        <v>1</v>
      </c>
    </row>
    <row r="20" spans="1:13" ht="11.25" customHeight="1">
      <c r="A20" s="117"/>
      <c r="B20" s="119" t="s">
        <v>601</v>
      </c>
      <c r="C20" s="121">
        <v>0.5</v>
      </c>
      <c r="D20" s="121">
        <v>0.5</v>
      </c>
      <c r="E20" s="121">
        <v>0.5</v>
      </c>
      <c r="F20" s="121">
        <v>0.5</v>
      </c>
      <c r="G20" s="121">
        <v>0.5</v>
      </c>
      <c r="H20" s="121"/>
      <c r="I20" s="121"/>
      <c r="J20" s="121"/>
      <c r="K20" s="121"/>
      <c r="L20" s="121" t="s">
        <v>607</v>
      </c>
      <c r="M20" s="121">
        <v>1</v>
      </c>
    </row>
    <row r="21" spans="1:13" ht="11.25" customHeight="1">
      <c r="A21" s="117" t="s">
        <v>648</v>
      </c>
      <c r="C21" s="121"/>
      <c r="D21" s="121"/>
      <c r="E21" s="121"/>
      <c r="F21" s="121"/>
      <c r="G21" s="121"/>
      <c r="H21" s="121"/>
      <c r="I21" s="121"/>
      <c r="J21" s="121"/>
      <c r="K21" s="121"/>
      <c r="L21" s="121"/>
      <c r="M21" s="121"/>
    </row>
    <row r="22" spans="1:13" ht="11.25" customHeight="1">
      <c r="A22" s="117"/>
      <c r="B22" s="119" t="s">
        <v>649</v>
      </c>
      <c r="C22" s="158">
        <v>0.56499999999999995</v>
      </c>
      <c r="D22" s="158">
        <v>0.54500000000000004</v>
      </c>
      <c r="E22" s="158">
        <v>0.53300000000000003</v>
      </c>
      <c r="F22" s="158">
        <v>0.52100000000000002</v>
      </c>
      <c r="G22" s="158">
        <v>0.51500000000000001</v>
      </c>
      <c r="H22" s="126"/>
      <c r="I22" s="126"/>
      <c r="J22" s="126"/>
      <c r="K22" s="126"/>
      <c r="L22" s="121" t="s">
        <v>768</v>
      </c>
      <c r="M22" s="121">
        <v>1</v>
      </c>
    </row>
    <row r="23" spans="1:13" ht="11.25" customHeight="1">
      <c r="A23" s="117"/>
      <c r="B23" s="119" t="s">
        <v>604</v>
      </c>
      <c r="C23" s="122">
        <v>0.6</v>
      </c>
      <c r="D23" s="122">
        <v>0.6</v>
      </c>
      <c r="E23" s="122">
        <v>0.6</v>
      </c>
      <c r="F23" s="122">
        <v>0.6</v>
      </c>
      <c r="G23" s="122">
        <v>0.6</v>
      </c>
      <c r="H23" s="126"/>
      <c r="I23" s="126"/>
      <c r="J23" s="126"/>
      <c r="K23" s="126"/>
      <c r="L23" s="121"/>
      <c r="M23" s="121">
        <v>1</v>
      </c>
    </row>
    <row r="24" spans="1:13" ht="11.25" customHeight="1">
      <c r="A24" s="117"/>
      <c r="B24" s="119" t="s">
        <v>651</v>
      </c>
      <c r="C24" s="122">
        <v>0.4</v>
      </c>
      <c r="D24" s="122">
        <v>0.4</v>
      </c>
      <c r="E24" s="122">
        <v>0.4</v>
      </c>
      <c r="F24" s="122">
        <v>0.4</v>
      </c>
      <c r="G24" s="122">
        <v>0.4</v>
      </c>
      <c r="H24" s="126"/>
      <c r="I24" s="126"/>
      <c r="J24" s="126"/>
      <c r="K24" s="126"/>
      <c r="L24" s="121"/>
      <c r="M24" s="121">
        <v>1</v>
      </c>
    </row>
    <row r="25" spans="1:13" ht="11.25" customHeight="1">
      <c r="A25" s="117"/>
      <c r="B25" s="119" t="s">
        <v>652</v>
      </c>
      <c r="C25" s="128">
        <v>40000</v>
      </c>
      <c r="D25" s="128">
        <v>39500</v>
      </c>
      <c r="E25" s="128">
        <v>39000</v>
      </c>
      <c r="F25" s="128">
        <v>38500</v>
      </c>
      <c r="G25" s="128">
        <v>37500</v>
      </c>
      <c r="H25" s="128"/>
      <c r="I25" s="128"/>
      <c r="J25" s="128"/>
      <c r="K25" s="128"/>
      <c r="L25" s="121" t="s">
        <v>767</v>
      </c>
      <c r="M25" s="121">
        <v>1</v>
      </c>
    </row>
    <row r="26" spans="1:13" ht="11.25" customHeight="1">
      <c r="A26" s="117"/>
      <c r="B26" s="119" t="s">
        <v>653</v>
      </c>
      <c r="C26" s="126">
        <v>1.45</v>
      </c>
      <c r="D26" s="126">
        <v>1.45</v>
      </c>
      <c r="E26" s="126">
        <v>1.45</v>
      </c>
      <c r="F26" s="126">
        <v>1.45</v>
      </c>
      <c r="G26" s="126">
        <v>1.45</v>
      </c>
      <c r="H26" s="126"/>
      <c r="I26" s="126"/>
      <c r="J26" s="126"/>
      <c r="K26" s="126"/>
      <c r="L26" s="121" t="s">
        <v>607</v>
      </c>
      <c r="M26" s="121">
        <v>1</v>
      </c>
    </row>
    <row r="27" spans="1:13" ht="11.25" customHeight="1">
      <c r="A27" s="117" t="s">
        <v>610</v>
      </c>
      <c r="C27" s="121"/>
      <c r="D27" s="121"/>
      <c r="E27" s="121"/>
      <c r="F27" s="121"/>
      <c r="G27" s="121"/>
      <c r="H27" s="121"/>
      <c r="I27" s="121"/>
      <c r="J27" s="121"/>
      <c r="K27" s="121"/>
      <c r="L27" s="121"/>
      <c r="M27" s="121"/>
    </row>
    <row r="28" spans="1:13" ht="11.25" customHeight="1">
      <c r="A28" s="117"/>
      <c r="B28" s="119" t="s">
        <v>655</v>
      </c>
      <c r="C28" s="121">
        <v>0.23</v>
      </c>
      <c r="D28" s="121">
        <v>0.23</v>
      </c>
      <c r="E28" s="121">
        <v>0.23</v>
      </c>
      <c r="F28" s="121">
        <v>0.23</v>
      </c>
      <c r="G28" s="121">
        <v>0.23</v>
      </c>
      <c r="H28" s="121"/>
      <c r="I28" s="121"/>
      <c r="J28" s="121"/>
      <c r="K28" s="121"/>
      <c r="L28" s="121" t="s">
        <v>769</v>
      </c>
      <c r="M28" s="121"/>
    </row>
    <row r="29" spans="1:13" ht="11.25" customHeight="1">
      <c r="A29" s="117"/>
      <c r="B29" s="119" t="s">
        <v>654</v>
      </c>
      <c r="C29" s="128"/>
      <c r="D29" s="128"/>
      <c r="E29" s="128"/>
      <c r="F29" s="128"/>
      <c r="G29" s="128"/>
      <c r="H29" s="128"/>
      <c r="I29" s="128"/>
      <c r="J29" s="128"/>
      <c r="K29" s="128"/>
      <c r="L29" s="121"/>
      <c r="M29" s="121"/>
    </row>
    <row r="30" spans="1:13" ht="11.25" customHeight="1">
      <c r="A30" s="117"/>
      <c r="B30" s="119" t="s">
        <v>724</v>
      </c>
      <c r="C30" s="160">
        <v>0.01</v>
      </c>
      <c r="D30" s="160">
        <v>0.01</v>
      </c>
      <c r="E30" s="160">
        <v>0.01</v>
      </c>
      <c r="F30" s="160">
        <v>0.01</v>
      </c>
      <c r="G30" s="160">
        <v>0.01</v>
      </c>
      <c r="H30" s="128"/>
      <c r="I30" s="128"/>
      <c r="J30" s="128"/>
      <c r="K30" s="128"/>
      <c r="L30" s="121" t="s">
        <v>619</v>
      </c>
      <c r="M30" s="121"/>
    </row>
    <row r="31" spans="1:13" ht="11.25" customHeight="1" thickBot="1">
      <c r="A31" s="169"/>
      <c r="B31" s="167"/>
      <c r="C31" s="168"/>
      <c r="D31" s="168"/>
      <c r="E31" s="168"/>
      <c r="F31" s="168"/>
      <c r="G31" s="168"/>
      <c r="H31" s="168"/>
      <c r="I31" s="168"/>
      <c r="J31" s="168"/>
      <c r="K31" s="168"/>
      <c r="L31" s="170"/>
      <c r="M31" s="170"/>
    </row>
    <row r="32" spans="1:13" ht="11.25" customHeight="1">
      <c r="A32" s="117"/>
      <c r="C32" s="128"/>
      <c r="D32" s="171"/>
      <c r="E32" s="171"/>
      <c r="F32" s="171"/>
      <c r="G32" s="171"/>
      <c r="H32" s="171"/>
      <c r="I32" s="171"/>
      <c r="J32" s="171"/>
      <c r="K32" s="171"/>
      <c r="L32" s="121"/>
      <c r="M32" s="121"/>
    </row>
    <row r="33" spans="1:2" ht="11.25" customHeight="1">
      <c r="A33" s="117" t="s">
        <v>622</v>
      </c>
    </row>
    <row r="34" spans="1:2" s="135" customFormat="1" ht="11.25" customHeight="1">
      <c r="A34" s="151" t="s">
        <v>585</v>
      </c>
      <c r="B34" s="135" t="s">
        <v>726</v>
      </c>
    </row>
    <row r="35" spans="1:2" s="135" customFormat="1" ht="11.25" customHeight="1">
      <c r="A35" s="151" t="s">
        <v>588</v>
      </c>
      <c r="B35" s="135" t="s">
        <v>727</v>
      </c>
    </row>
    <row r="36" spans="1:2" s="135" customFormat="1" ht="11.25" customHeight="1">
      <c r="A36" s="151" t="s">
        <v>625</v>
      </c>
      <c r="B36" s="135" t="s">
        <v>770</v>
      </c>
    </row>
    <row r="37" spans="1:2" s="135" customFormat="1" ht="11.25" customHeight="1">
      <c r="A37" s="151" t="s">
        <v>594</v>
      </c>
      <c r="B37" s="135" t="s">
        <v>729</v>
      </c>
    </row>
    <row r="38" spans="1:2" s="135" customFormat="1" ht="11.25" customHeight="1">
      <c r="A38" s="151" t="s">
        <v>605</v>
      </c>
      <c r="B38" s="119" t="s">
        <v>771</v>
      </c>
    </row>
    <row r="39" spans="1:2" s="135" customFormat="1" ht="11.25" customHeight="1">
      <c r="A39" s="151" t="s">
        <v>607</v>
      </c>
      <c r="B39" s="135" t="s">
        <v>772</v>
      </c>
    </row>
    <row r="40" spans="1:2" ht="11.25" customHeight="1">
      <c r="A40" s="151" t="s">
        <v>619</v>
      </c>
      <c r="B40" s="135" t="s">
        <v>754</v>
      </c>
    </row>
    <row r="41" spans="1:2" ht="11.25" customHeight="1">
      <c r="A41" s="151" t="s">
        <v>612</v>
      </c>
      <c r="B41" s="135" t="s">
        <v>773</v>
      </c>
    </row>
    <row r="42" spans="1:2" ht="11.25" customHeight="1">
      <c r="A42" s="151" t="s">
        <v>616</v>
      </c>
      <c r="B42" s="135" t="s">
        <v>759</v>
      </c>
    </row>
    <row r="43" spans="1:2" ht="11.25" customHeight="1">
      <c r="A43" s="151" t="s">
        <v>719</v>
      </c>
      <c r="B43" s="135" t="s">
        <v>757</v>
      </c>
    </row>
    <row r="44" spans="1:2" s="135" customFormat="1" ht="11.25" customHeight="1">
      <c r="A44" s="87"/>
    </row>
    <row r="45" spans="1:2" s="135" customFormat="1" ht="11.25" customHeight="1">
      <c r="A45" s="140" t="s">
        <v>633</v>
      </c>
      <c r="B45" s="119"/>
    </row>
    <row r="46" spans="1:2" s="135" customFormat="1" ht="11.25" customHeight="1">
      <c r="A46" s="151">
        <v>1</v>
      </c>
      <c r="B46" s="135" t="s">
        <v>774</v>
      </c>
    </row>
    <row r="47" spans="1:2" s="135" customFormat="1" ht="11.25" customHeight="1">
      <c r="A47" s="151">
        <v>2</v>
      </c>
      <c r="B47" s="135" t="s">
        <v>739</v>
      </c>
    </row>
    <row r="48" spans="1:2" ht="11.25" customHeight="1">
      <c r="A48" s="151">
        <v>3</v>
      </c>
      <c r="B48" s="135" t="s">
        <v>761</v>
      </c>
    </row>
    <row r="49" spans="1:2" ht="11.25" customHeight="1">
      <c r="A49" s="151">
        <v>4</v>
      </c>
      <c r="B49" s="119" t="s">
        <v>762</v>
      </c>
    </row>
    <row r="50" spans="1:2" ht="11.25" customHeight="1">
      <c r="A50" s="117"/>
    </row>
    <row r="51" spans="1:2" ht="11.25" customHeight="1">
      <c r="A51" s="117"/>
    </row>
    <row r="52" spans="1:2" ht="11.25" customHeight="1">
      <c r="A52" s="117"/>
    </row>
    <row r="53" spans="1:2" ht="11.25" customHeight="1">
      <c r="A53" s="117"/>
    </row>
    <row r="54" spans="1:2" ht="11.25" customHeight="1">
      <c r="A54" s="117"/>
    </row>
    <row r="55" spans="1:2" ht="11.25" customHeight="1">
      <c r="A55" s="117"/>
    </row>
    <row r="56" spans="1:2" ht="11.25" customHeight="1">
      <c r="A56" s="117"/>
    </row>
    <row r="57" spans="1:2" ht="11.25" customHeight="1">
      <c r="A57" s="117"/>
    </row>
    <row r="58" spans="1:2" ht="11.25" customHeight="1">
      <c r="A58" s="117"/>
    </row>
    <row r="59" spans="1:2" ht="11.25" customHeight="1">
      <c r="A59" s="117"/>
    </row>
    <row r="60" spans="1:2" ht="11.25" customHeight="1">
      <c r="A60" s="117"/>
    </row>
    <row r="61" spans="1:2" ht="11.25" customHeight="1">
      <c r="A61" s="117"/>
    </row>
    <row r="62" spans="1:2" ht="11.25" customHeight="1">
      <c r="A62" s="117"/>
    </row>
    <row r="63" spans="1:2" ht="11.25" customHeight="1">
      <c r="A63" s="117"/>
    </row>
    <row r="64" spans="1:2" ht="11.25" customHeight="1">
      <c r="A64" s="117"/>
    </row>
    <row r="65" spans="1:1" ht="11.25" customHeight="1">
      <c r="A65" s="117"/>
    </row>
    <row r="66" spans="1:1" ht="11.25" customHeight="1">
      <c r="A66" s="117"/>
    </row>
    <row r="67" spans="1:1" ht="11.25" customHeight="1">
      <c r="A67" s="117"/>
    </row>
    <row r="68" spans="1:1" ht="11.25" customHeight="1">
      <c r="A68" s="117"/>
    </row>
    <row r="69" spans="1:1" ht="11.25" customHeight="1">
      <c r="A69" s="117"/>
    </row>
    <row r="70" spans="1:1" ht="11.25" customHeight="1">
      <c r="A70" s="117"/>
    </row>
    <row r="71" spans="1:1" ht="11.25" customHeight="1">
      <c r="A71" s="117"/>
    </row>
    <row r="72" spans="1:1" ht="11.25" customHeight="1">
      <c r="A72" s="117"/>
    </row>
    <row r="73" spans="1:1" ht="11.25" customHeight="1">
      <c r="A73" s="117"/>
    </row>
    <row r="74" spans="1:1" ht="11.25" customHeight="1">
      <c r="A74" s="117"/>
    </row>
    <row r="75" spans="1:1" ht="11.25" customHeight="1">
      <c r="A75" s="117"/>
    </row>
    <row r="76" spans="1:1" ht="11.25" customHeight="1">
      <c r="A76" s="117"/>
    </row>
    <row r="77" spans="1:1" ht="11.25" customHeight="1">
      <c r="A77" s="117"/>
    </row>
    <row r="78" spans="1:1" ht="11.25" customHeight="1">
      <c r="A78" s="117"/>
    </row>
    <row r="79" spans="1:1" ht="11.25" customHeight="1">
      <c r="A79" s="117"/>
    </row>
    <row r="80" spans="1:1" ht="11.25" customHeight="1">
      <c r="A80" s="117"/>
    </row>
    <row r="81" spans="1:1" ht="11.25" customHeight="1">
      <c r="A81" s="117"/>
    </row>
    <row r="82" spans="1:1" ht="11.25" customHeight="1">
      <c r="A82" s="117"/>
    </row>
    <row r="83" spans="1:1" ht="11.25" customHeight="1">
      <c r="A83" s="117"/>
    </row>
    <row r="84" spans="1:1" ht="11.25" customHeight="1">
      <c r="A84" s="117"/>
    </row>
    <row r="85" spans="1:1" ht="11.25" customHeight="1">
      <c r="A85" s="117"/>
    </row>
    <row r="86" spans="1:1" ht="11.25" customHeight="1">
      <c r="A86" s="117"/>
    </row>
    <row r="87" spans="1:1" ht="11.25" customHeight="1">
      <c r="A87" s="117"/>
    </row>
    <row r="88" spans="1:1" ht="11.25" customHeight="1">
      <c r="A88" s="117"/>
    </row>
    <row r="89" spans="1:1" ht="11.25" customHeight="1">
      <c r="A89" s="117"/>
    </row>
    <row r="90" spans="1:1" ht="11.25" customHeight="1">
      <c r="A90" s="117"/>
    </row>
    <row r="91" spans="1:1" ht="11.25" customHeight="1">
      <c r="A91" s="117"/>
    </row>
    <row r="92" spans="1:1" ht="11.25" customHeight="1">
      <c r="A92" s="117"/>
    </row>
    <row r="93" spans="1:1" ht="11.25" customHeight="1">
      <c r="A93" s="117"/>
    </row>
    <row r="94" spans="1:1" ht="11.25" customHeight="1">
      <c r="A94" s="117"/>
    </row>
    <row r="95" spans="1:1" ht="11.25" customHeight="1">
      <c r="A95" s="117"/>
    </row>
    <row r="96" spans="1:1" ht="11.25" customHeight="1">
      <c r="A96" s="117"/>
    </row>
    <row r="97" spans="1:1" ht="11.25" customHeight="1">
      <c r="A97" s="117"/>
    </row>
    <row r="98" spans="1:1" ht="11.25" customHeight="1">
      <c r="A98" s="117"/>
    </row>
    <row r="99" spans="1:1" ht="11.25" customHeight="1">
      <c r="A99" s="117"/>
    </row>
    <row r="100" spans="1:1" ht="11.25" customHeight="1">
      <c r="A100" s="117"/>
    </row>
    <row r="101" spans="1:1" ht="11.25" customHeight="1">
      <c r="A101" s="117"/>
    </row>
    <row r="102" spans="1:1" ht="11.25" customHeight="1">
      <c r="A102" s="117"/>
    </row>
    <row r="103" spans="1:1" ht="11.25" customHeight="1">
      <c r="A103" s="117"/>
    </row>
    <row r="104" spans="1:1" ht="11.25" customHeight="1">
      <c r="A104" s="117"/>
    </row>
    <row r="105" spans="1:1" ht="11.25" customHeight="1">
      <c r="A105" s="117"/>
    </row>
    <row r="106" spans="1:1" ht="11.25" customHeight="1">
      <c r="A106" s="117"/>
    </row>
    <row r="107" spans="1:1" ht="11.25" customHeight="1">
      <c r="A107" s="117"/>
    </row>
    <row r="108" spans="1:1" ht="11.25" customHeight="1">
      <c r="A108" s="117"/>
    </row>
    <row r="109" spans="1:1" ht="11.25" customHeight="1">
      <c r="A109" s="117"/>
    </row>
    <row r="110" spans="1:1" ht="11.25" customHeight="1">
      <c r="A110" s="117"/>
    </row>
    <row r="111" spans="1:1" ht="11.25" customHeight="1">
      <c r="A111" s="117"/>
    </row>
    <row r="112" spans="1:1" ht="11.25" customHeight="1">
      <c r="A112" s="117"/>
    </row>
    <row r="113" spans="1:1" ht="11.25" customHeight="1">
      <c r="A113" s="117"/>
    </row>
    <row r="114" spans="1:1" ht="11.25" customHeight="1">
      <c r="A114" s="117"/>
    </row>
    <row r="115" spans="1:1" ht="11.25" customHeight="1">
      <c r="A115" s="117"/>
    </row>
    <row r="116" spans="1:1" ht="11.25" customHeight="1">
      <c r="A116" s="117"/>
    </row>
    <row r="117" spans="1:1" ht="11.25" customHeight="1">
      <c r="A117" s="117"/>
    </row>
    <row r="118" spans="1:1" ht="11.25" customHeight="1">
      <c r="A118" s="117"/>
    </row>
    <row r="119" spans="1:1" ht="11.25" customHeight="1">
      <c r="A119" s="117"/>
    </row>
    <row r="120" spans="1:1" ht="11.25" customHeight="1">
      <c r="A120" s="117"/>
    </row>
    <row r="121" spans="1:1" ht="11.25" customHeight="1">
      <c r="A121" s="117"/>
    </row>
    <row r="122" spans="1:1" ht="11.25" customHeight="1">
      <c r="A122" s="117"/>
    </row>
    <row r="123" spans="1:1" ht="11.25" customHeight="1">
      <c r="A123" s="117"/>
    </row>
    <row r="124" spans="1:1" ht="11.25" customHeight="1">
      <c r="A124" s="117"/>
    </row>
    <row r="125" spans="1:1" ht="11.25" customHeight="1">
      <c r="A125" s="117"/>
    </row>
    <row r="126" spans="1:1" ht="11.25" customHeight="1">
      <c r="A126" s="117"/>
    </row>
    <row r="127" spans="1:1" ht="11.25" customHeight="1">
      <c r="A127" s="117"/>
    </row>
    <row r="128" spans="1:1" ht="11.25" customHeight="1">
      <c r="A128" s="117"/>
    </row>
    <row r="129" spans="1:1" ht="11.25" customHeight="1">
      <c r="A129" s="117"/>
    </row>
    <row r="130" spans="1:1" ht="11.25" customHeight="1">
      <c r="A130" s="117"/>
    </row>
    <row r="131" spans="1:1" ht="11.25" customHeight="1">
      <c r="A131" s="117"/>
    </row>
    <row r="132" spans="1:1" ht="11.25" customHeight="1">
      <c r="A132" s="117"/>
    </row>
    <row r="133" spans="1:1" ht="11.25" customHeight="1">
      <c r="A133" s="117"/>
    </row>
    <row r="134" spans="1:1" ht="11.25" customHeight="1">
      <c r="A134" s="117"/>
    </row>
    <row r="135" spans="1:1" ht="11.25" customHeight="1">
      <c r="A135" s="117"/>
    </row>
    <row r="136" spans="1:1" ht="11.25" customHeight="1">
      <c r="A136" s="117"/>
    </row>
    <row r="137" spans="1:1" ht="11.25" customHeight="1">
      <c r="A137" s="117"/>
    </row>
    <row r="138" spans="1:1" ht="11.25" customHeight="1">
      <c r="A138" s="117"/>
    </row>
    <row r="139" spans="1:1" ht="11.25" customHeight="1">
      <c r="A139" s="117"/>
    </row>
    <row r="140" spans="1:1" ht="11.25" customHeight="1">
      <c r="A140" s="117"/>
    </row>
    <row r="141" spans="1:1" ht="11.25" customHeight="1">
      <c r="A141" s="117"/>
    </row>
    <row r="142" spans="1:1" ht="11.25" customHeight="1">
      <c r="A142" s="117"/>
    </row>
    <row r="143" spans="1:1" ht="11.25" customHeight="1">
      <c r="A143" s="117"/>
    </row>
    <row r="144" spans="1:1" ht="11.25" customHeight="1">
      <c r="A144" s="117"/>
    </row>
    <row r="145" spans="1:1" ht="11.25" customHeight="1">
      <c r="A145" s="117"/>
    </row>
    <row r="146" spans="1:1" ht="11.25" customHeight="1">
      <c r="A146" s="117"/>
    </row>
    <row r="147" spans="1:1" ht="11.25" customHeight="1">
      <c r="A147" s="117"/>
    </row>
    <row r="148" spans="1:1" ht="11.25" customHeight="1">
      <c r="A148" s="117"/>
    </row>
    <row r="149" spans="1:1" ht="11.25" customHeight="1">
      <c r="A149" s="117"/>
    </row>
    <row r="150" spans="1:1" ht="11.25" customHeight="1">
      <c r="A150" s="117"/>
    </row>
    <row r="151" spans="1:1" ht="11.25" customHeight="1">
      <c r="A151" s="117"/>
    </row>
    <row r="152" spans="1:1" ht="11.25" customHeight="1">
      <c r="A152" s="117"/>
    </row>
    <row r="153" spans="1:1" ht="11.25" customHeight="1">
      <c r="A153" s="117"/>
    </row>
    <row r="154" spans="1:1" ht="11.25" customHeight="1">
      <c r="A154" s="117"/>
    </row>
    <row r="155" spans="1:1" ht="11.25" customHeight="1">
      <c r="A155" s="117"/>
    </row>
    <row r="156" spans="1:1" ht="11.25" customHeight="1">
      <c r="A156" s="117"/>
    </row>
    <row r="157" spans="1:1" ht="11.25" customHeight="1">
      <c r="A157" s="117"/>
    </row>
    <row r="158" spans="1:1" ht="11.25" customHeight="1">
      <c r="A158" s="117"/>
    </row>
    <row r="159" spans="1:1" ht="11.25" customHeight="1">
      <c r="A159" s="117"/>
    </row>
    <row r="160" spans="1:1" ht="11.25" customHeight="1">
      <c r="A160" s="117"/>
    </row>
    <row r="161" spans="1:1" ht="11.25" customHeight="1">
      <c r="A161" s="117"/>
    </row>
    <row r="162" spans="1:1" ht="11.25" customHeight="1">
      <c r="A162" s="117"/>
    </row>
    <row r="163" spans="1:1" ht="11.25" customHeight="1">
      <c r="A163" s="117"/>
    </row>
    <row r="164" spans="1:1" ht="11.25" customHeight="1">
      <c r="A164" s="117"/>
    </row>
    <row r="165" spans="1:1" ht="11.25" customHeight="1">
      <c r="A165" s="117"/>
    </row>
    <row r="166" spans="1:1" ht="11.25" customHeight="1">
      <c r="A166" s="117"/>
    </row>
    <row r="167" spans="1:1" ht="11.25" customHeight="1">
      <c r="A167" s="117"/>
    </row>
    <row r="168" spans="1:1" ht="11.25" customHeight="1">
      <c r="A168" s="117"/>
    </row>
    <row r="169" spans="1:1" ht="11.25" customHeight="1">
      <c r="A169" s="117"/>
    </row>
    <row r="170" spans="1:1" ht="11.25" customHeight="1">
      <c r="A170" s="117"/>
    </row>
    <row r="171" spans="1:1" ht="11.25" customHeight="1">
      <c r="A171" s="117"/>
    </row>
    <row r="172" spans="1:1" ht="11.25" customHeight="1">
      <c r="A172" s="117"/>
    </row>
    <row r="173" spans="1:1" ht="11.25" customHeight="1">
      <c r="A173" s="117"/>
    </row>
    <row r="174" spans="1:1" ht="11.25" customHeight="1">
      <c r="A174" s="117"/>
    </row>
    <row r="175" spans="1:1" ht="11.25" customHeight="1">
      <c r="A175" s="117"/>
    </row>
    <row r="176" spans="1:1" ht="11.25" customHeight="1">
      <c r="A176" s="117"/>
    </row>
    <row r="177" spans="1:1" ht="11.25" customHeight="1">
      <c r="A177" s="117"/>
    </row>
    <row r="178" spans="1:1" ht="11.25" customHeight="1">
      <c r="A178" s="117"/>
    </row>
    <row r="179" spans="1:1" ht="11.25" customHeight="1">
      <c r="A179" s="117"/>
    </row>
    <row r="180" spans="1:1" ht="11.25" customHeight="1">
      <c r="A180" s="117"/>
    </row>
    <row r="181" spans="1:1" ht="11.25" customHeight="1">
      <c r="A181" s="117"/>
    </row>
    <row r="182" spans="1:1" ht="11.25" customHeight="1">
      <c r="A182" s="117"/>
    </row>
    <row r="183" spans="1:1" ht="11.25" customHeight="1">
      <c r="A183" s="117"/>
    </row>
    <row r="184" spans="1:1" ht="11.25" customHeight="1">
      <c r="A184" s="117"/>
    </row>
    <row r="185" spans="1:1" ht="11.25" customHeight="1">
      <c r="A185" s="117"/>
    </row>
    <row r="186" spans="1:1" ht="11.25" customHeight="1">
      <c r="A186" s="117"/>
    </row>
    <row r="187" spans="1:1" ht="11.25" customHeight="1">
      <c r="A187" s="117"/>
    </row>
  </sheetData>
  <mergeCells count="1">
    <mergeCell ref="C1:M1"/>
  </mergeCells>
  <hyperlinks>
    <hyperlink ref="C1" location="INDEX" display="Boiler, coal" xr:uid="{56D34200-4C02-405E-A591-2BABFED85DEB}"/>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A24B-4110-4902-A1F7-47D187AC021B}">
  <dimension ref="A1:M50"/>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7" width="9.140625" style="87"/>
    <col min="18" max="18" width="27.28515625" style="87" bestFit="1" customWidth="1"/>
    <col min="19" max="16384" width="9.140625" style="87"/>
  </cols>
  <sheetData>
    <row r="1" spans="1:13" ht="11.25" customHeight="1">
      <c r="A1" s="84" t="s">
        <v>557</v>
      </c>
      <c r="B1" s="85"/>
      <c r="C1" s="433" t="s">
        <v>775</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114" t="s">
        <v>583</v>
      </c>
      <c r="B5" s="142"/>
      <c r="H5" s="100"/>
      <c r="I5" s="100"/>
      <c r="J5" s="100"/>
      <c r="K5" s="100"/>
    </row>
    <row r="6" spans="1:13" ht="11.25" customHeight="1">
      <c r="B6" s="96" t="s">
        <v>584</v>
      </c>
      <c r="C6" s="103">
        <v>2.5</v>
      </c>
      <c r="D6" s="103">
        <v>2.5</v>
      </c>
      <c r="E6" s="103">
        <v>2.5</v>
      </c>
      <c r="F6" s="103">
        <v>2.5</v>
      </c>
      <c r="G6" s="103">
        <v>2.5</v>
      </c>
      <c r="H6" s="103">
        <v>1</v>
      </c>
      <c r="I6" s="103">
        <v>10</v>
      </c>
      <c r="J6" s="103">
        <v>1</v>
      </c>
      <c r="K6" s="103">
        <v>10</v>
      </c>
      <c r="L6" s="103"/>
      <c r="M6" s="103">
        <v>2</v>
      </c>
    </row>
    <row r="7" spans="1:13" ht="11.25" customHeight="1">
      <c r="B7" s="96" t="s">
        <v>587</v>
      </c>
      <c r="C7" s="122">
        <v>1</v>
      </c>
      <c r="D7" s="122">
        <v>1</v>
      </c>
      <c r="E7" s="122">
        <v>1</v>
      </c>
      <c r="F7" s="122">
        <v>1</v>
      </c>
      <c r="G7" s="122">
        <v>1</v>
      </c>
      <c r="H7" s="122">
        <v>1</v>
      </c>
      <c r="I7" s="122">
        <v>1</v>
      </c>
      <c r="J7" s="122">
        <v>1</v>
      </c>
      <c r="K7" s="122">
        <v>1</v>
      </c>
      <c r="L7" s="103" t="s">
        <v>585</v>
      </c>
      <c r="M7" s="103">
        <v>2</v>
      </c>
    </row>
    <row r="8" spans="1:13" ht="11.25" customHeight="1">
      <c r="B8" s="96" t="s">
        <v>590</v>
      </c>
      <c r="C8" s="122">
        <v>1</v>
      </c>
      <c r="D8" s="122">
        <v>1</v>
      </c>
      <c r="E8" s="122">
        <v>1</v>
      </c>
      <c r="F8" s="122">
        <v>1</v>
      </c>
      <c r="G8" s="122">
        <v>1</v>
      </c>
      <c r="H8" s="122">
        <v>1</v>
      </c>
      <c r="I8" s="122">
        <v>1</v>
      </c>
      <c r="J8" s="122">
        <v>1</v>
      </c>
      <c r="K8" s="122">
        <v>1</v>
      </c>
      <c r="L8" s="103" t="s">
        <v>585</v>
      </c>
      <c r="M8" s="103">
        <v>2</v>
      </c>
    </row>
    <row r="9" spans="1:13" ht="11.25" customHeight="1">
      <c r="B9" s="96" t="s">
        <v>592</v>
      </c>
      <c r="C9" s="172">
        <v>2.5000000000000001E-3</v>
      </c>
      <c r="D9" s="172">
        <v>2.5000000000000001E-3</v>
      </c>
      <c r="E9" s="172">
        <v>2.5000000000000001E-3</v>
      </c>
      <c r="F9" s="172">
        <v>2.5000000000000001E-3</v>
      </c>
      <c r="G9" s="172">
        <v>2.5000000000000001E-3</v>
      </c>
      <c r="H9" s="173">
        <v>1E-3</v>
      </c>
      <c r="I9" s="99">
        <v>0.01</v>
      </c>
      <c r="J9" s="173">
        <v>1E-3</v>
      </c>
      <c r="K9" s="99">
        <v>0.01</v>
      </c>
      <c r="L9" s="103"/>
      <c r="M9" s="103" t="s">
        <v>776</v>
      </c>
    </row>
    <row r="10" spans="1:13" ht="11.25" customHeight="1">
      <c r="B10" s="96" t="s">
        <v>593</v>
      </c>
      <c r="C10" s="172">
        <v>2.5000000000000001E-3</v>
      </c>
      <c r="D10" s="172">
        <v>2.5000000000000001E-3</v>
      </c>
      <c r="E10" s="172">
        <v>2.5000000000000001E-3</v>
      </c>
      <c r="F10" s="172">
        <v>2.5000000000000001E-3</v>
      </c>
      <c r="G10" s="172">
        <v>2.5000000000000001E-3</v>
      </c>
      <c r="H10" s="99">
        <v>0</v>
      </c>
      <c r="I10" s="173">
        <v>5.0000000000000001E-3</v>
      </c>
      <c r="J10" s="99">
        <v>0</v>
      </c>
      <c r="K10" s="173">
        <v>5.0000000000000001E-3</v>
      </c>
      <c r="L10" s="103"/>
      <c r="M10" s="103">
        <v>2</v>
      </c>
    </row>
    <row r="11" spans="1:13" ht="11.25" customHeight="1">
      <c r="B11" s="96" t="s">
        <v>595</v>
      </c>
      <c r="C11" s="97">
        <v>0.5</v>
      </c>
      <c r="D11" s="97">
        <v>0.5</v>
      </c>
      <c r="E11" s="97">
        <v>0.5</v>
      </c>
      <c r="F11" s="97">
        <v>0.5</v>
      </c>
      <c r="G11" s="97">
        <v>0.5</v>
      </c>
      <c r="H11" s="97">
        <v>0</v>
      </c>
      <c r="I11" s="97">
        <v>1</v>
      </c>
      <c r="J11" s="97">
        <v>0</v>
      </c>
      <c r="K11" s="97">
        <v>1</v>
      </c>
      <c r="L11" s="103"/>
      <c r="M11" s="103">
        <v>2</v>
      </c>
    </row>
    <row r="12" spans="1:13" ht="11.25" customHeight="1">
      <c r="B12" s="96" t="s">
        <v>596</v>
      </c>
      <c r="C12" s="97">
        <v>15</v>
      </c>
      <c r="D12" s="97">
        <v>15</v>
      </c>
      <c r="E12" s="97">
        <v>15</v>
      </c>
      <c r="F12" s="97">
        <v>15</v>
      </c>
      <c r="G12" s="97">
        <v>15</v>
      </c>
      <c r="H12" s="97">
        <v>10</v>
      </c>
      <c r="I12" s="97">
        <v>20</v>
      </c>
      <c r="J12" s="97">
        <v>10</v>
      </c>
      <c r="K12" s="97">
        <v>20</v>
      </c>
      <c r="L12" s="103"/>
      <c r="M12" s="103">
        <v>4</v>
      </c>
    </row>
    <row r="13" spans="1:13" ht="11.25" customHeight="1">
      <c r="B13" s="96" t="s">
        <v>597</v>
      </c>
      <c r="C13" s="97">
        <v>0.01</v>
      </c>
      <c r="D13" s="97">
        <v>0.01</v>
      </c>
      <c r="E13" s="97">
        <v>0.01</v>
      </c>
      <c r="F13" s="97">
        <v>0.01</v>
      </c>
      <c r="G13" s="97">
        <v>0.01</v>
      </c>
      <c r="H13" s="97">
        <v>0.01</v>
      </c>
      <c r="I13" s="97">
        <v>0.04</v>
      </c>
      <c r="J13" s="97">
        <v>0.01</v>
      </c>
      <c r="K13" s="97">
        <v>0.04</v>
      </c>
      <c r="L13" s="103"/>
      <c r="M13" s="103">
        <v>2</v>
      </c>
    </row>
    <row r="14" spans="1:13" ht="11.25" customHeight="1">
      <c r="A14" s="100" t="s">
        <v>598</v>
      </c>
      <c r="B14" s="146"/>
      <c r="C14" s="174"/>
      <c r="D14" s="174"/>
      <c r="E14" s="174"/>
      <c r="F14" s="174"/>
      <c r="G14" s="174"/>
      <c r="H14" s="100"/>
      <c r="I14" s="100"/>
      <c r="J14" s="100"/>
      <c r="K14" s="100"/>
      <c r="L14" s="112"/>
      <c r="M14" s="112"/>
    </row>
    <row r="15" spans="1:13" ht="11.25" customHeight="1">
      <c r="B15" s="96" t="s">
        <v>599</v>
      </c>
      <c r="C15" s="99">
        <v>0.1</v>
      </c>
      <c r="D15" s="99">
        <v>0.1</v>
      </c>
      <c r="E15" s="99">
        <v>0.1</v>
      </c>
      <c r="F15" s="99">
        <v>0.1</v>
      </c>
      <c r="G15" s="99">
        <v>0.1</v>
      </c>
      <c r="H15" s="99"/>
      <c r="I15" s="99"/>
      <c r="J15" s="97"/>
      <c r="K15" s="97"/>
      <c r="L15" s="103"/>
      <c r="M15" s="103">
        <v>6</v>
      </c>
    </row>
    <row r="16" spans="1:13" ht="11.25" customHeight="1">
      <c r="B16" s="96" t="s">
        <v>600</v>
      </c>
      <c r="C16" s="97">
        <v>0.01</v>
      </c>
      <c r="D16" s="97">
        <v>0.01</v>
      </c>
      <c r="E16" s="97">
        <v>0.01</v>
      </c>
      <c r="F16" s="97">
        <v>0.01</v>
      </c>
      <c r="G16" s="97">
        <v>0.01</v>
      </c>
      <c r="H16" s="103"/>
      <c r="I16" s="103"/>
      <c r="J16" s="103"/>
      <c r="K16" s="103"/>
      <c r="L16" s="112"/>
      <c r="M16" s="103">
        <v>2</v>
      </c>
    </row>
    <row r="17" spans="1:13" ht="11.25" customHeight="1">
      <c r="B17" s="96" t="s">
        <v>601</v>
      </c>
      <c r="C17" s="97">
        <v>0.01</v>
      </c>
      <c r="D17" s="97">
        <v>0.01</v>
      </c>
      <c r="E17" s="97">
        <v>0.01</v>
      </c>
      <c r="F17" s="97">
        <v>0.01</v>
      </c>
      <c r="G17" s="97">
        <v>0.01</v>
      </c>
      <c r="H17" s="103"/>
      <c r="I17" s="103"/>
      <c r="J17" s="103"/>
      <c r="K17" s="103"/>
      <c r="L17" s="112"/>
      <c r="M17" s="103">
        <v>2</v>
      </c>
    </row>
    <row r="18" spans="1:13" ht="11.25" customHeight="1">
      <c r="A18" s="146" t="s">
        <v>777</v>
      </c>
      <c r="B18" s="146"/>
      <c r="C18" s="97"/>
      <c r="D18" s="97"/>
      <c r="E18" s="97"/>
      <c r="F18" s="97"/>
      <c r="G18" s="97"/>
      <c r="H18" s="114"/>
      <c r="I18" s="114"/>
      <c r="J18" s="114"/>
      <c r="K18" s="114"/>
      <c r="L18" s="112"/>
      <c r="M18" s="112"/>
    </row>
    <row r="19" spans="1:13" ht="11.25" customHeight="1">
      <c r="B19" s="96" t="s">
        <v>778</v>
      </c>
      <c r="C19" s="97">
        <v>0.3</v>
      </c>
      <c r="D19" s="97">
        <v>0.3</v>
      </c>
      <c r="E19" s="97">
        <v>0.3</v>
      </c>
      <c r="F19" s="97">
        <v>0.3</v>
      </c>
      <c r="G19" s="97">
        <v>0.3</v>
      </c>
      <c r="H19" s="114"/>
      <c r="L19" s="103"/>
      <c r="M19" s="103">
        <v>1</v>
      </c>
    </row>
    <row r="20" spans="1:13" ht="11.25" customHeight="1">
      <c r="B20" s="96" t="s">
        <v>779</v>
      </c>
      <c r="C20" s="97">
        <v>0.1</v>
      </c>
      <c r="D20" s="97">
        <v>0.1</v>
      </c>
      <c r="E20" s="97">
        <v>0.1</v>
      </c>
      <c r="F20" s="97">
        <v>0.1</v>
      </c>
      <c r="G20" s="97">
        <v>0.1</v>
      </c>
      <c r="L20" s="112"/>
      <c r="M20" s="103">
        <v>1</v>
      </c>
    </row>
    <row r="21" spans="1:13" ht="11.25" customHeight="1">
      <c r="B21" s="96" t="s">
        <v>780</v>
      </c>
      <c r="C21" s="97">
        <v>9</v>
      </c>
      <c r="D21" s="97">
        <v>7</v>
      </c>
      <c r="E21" s="97">
        <v>7</v>
      </c>
      <c r="F21" s="97">
        <v>6</v>
      </c>
      <c r="G21" s="97">
        <v>6</v>
      </c>
      <c r="L21" s="112"/>
      <c r="M21" s="103">
        <v>1</v>
      </c>
    </row>
    <row r="22" spans="1:13" ht="11.25" customHeight="1">
      <c r="B22" s="96" t="s">
        <v>781</v>
      </c>
      <c r="C22" s="97">
        <v>3</v>
      </c>
      <c r="D22" s="97">
        <v>2</v>
      </c>
      <c r="E22" s="97">
        <v>2</v>
      </c>
      <c r="F22" s="97">
        <v>2</v>
      </c>
      <c r="G22" s="97">
        <v>2</v>
      </c>
      <c r="L22" s="112"/>
      <c r="M22" s="103">
        <v>1</v>
      </c>
    </row>
    <row r="23" spans="1:13" ht="11.25" customHeight="1">
      <c r="B23" s="96" t="s">
        <v>782</v>
      </c>
      <c r="C23" s="97">
        <v>1</v>
      </c>
      <c r="D23" s="97">
        <v>1</v>
      </c>
      <c r="E23" s="97">
        <v>1</v>
      </c>
      <c r="F23" s="97">
        <v>1</v>
      </c>
      <c r="G23" s="97">
        <v>1</v>
      </c>
      <c r="L23" s="112"/>
      <c r="M23" s="103">
        <v>1</v>
      </c>
    </row>
    <row r="24" spans="1:13" ht="11.25" customHeight="1">
      <c r="A24" s="100" t="s">
        <v>602</v>
      </c>
      <c r="B24" s="146"/>
      <c r="C24" s="174"/>
      <c r="D24" s="174"/>
      <c r="E24" s="174"/>
      <c r="F24" s="174"/>
      <c r="G24" s="174"/>
      <c r="H24" s="100"/>
      <c r="I24" s="100"/>
      <c r="J24" s="100"/>
      <c r="K24" s="100"/>
      <c r="L24" s="112"/>
      <c r="M24" s="112"/>
    </row>
    <row r="25" spans="1:13" ht="11.25" customHeight="1">
      <c r="B25" s="96" t="s">
        <v>603</v>
      </c>
      <c r="C25" s="175">
        <v>1.7600000000000001E-2</v>
      </c>
      <c r="D25" s="175">
        <v>1.7600000000000001E-2</v>
      </c>
      <c r="E25" s="175">
        <v>1.7600000000000001E-2</v>
      </c>
      <c r="F25" s="175">
        <v>1.7600000000000001E-2</v>
      </c>
      <c r="G25" s="175">
        <v>1.7600000000000001E-2</v>
      </c>
      <c r="L25" s="103" t="s">
        <v>588</v>
      </c>
      <c r="M25" s="103" t="s">
        <v>783</v>
      </c>
    </row>
    <row r="26" spans="1:13" ht="11.25" customHeight="1">
      <c r="B26" s="96" t="s">
        <v>604</v>
      </c>
      <c r="C26" s="104">
        <v>0.66666666666666696</v>
      </c>
      <c r="D26" s="104">
        <v>0.66666666666666696</v>
      </c>
      <c r="E26" s="104">
        <v>0.66666666666666696</v>
      </c>
      <c r="F26" s="104">
        <v>0.66666666666666696</v>
      </c>
      <c r="G26" s="104">
        <v>0.66666666666666696</v>
      </c>
      <c r="L26" s="103"/>
      <c r="M26" s="103">
        <v>7</v>
      </c>
    </row>
    <row r="27" spans="1:13" ht="11.25" customHeight="1">
      <c r="B27" s="96" t="s">
        <v>784</v>
      </c>
      <c r="C27" s="104">
        <v>0.33333333333333298</v>
      </c>
      <c r="D27" s="104">
        <v>0.33333333333333298</v>
      </c>
      <c r="E27" s="104">
        <v>0.33333333333333298</v>
      </c>
      <c r="F27" s="104">
        <v>0.33333333333333298</v>
      </c>
      <c r="G27" s="104">
        <v>0.33333333333333298</v>
      </c>
      <c r="L27" s="103"/>
      <c r="M27" s="103">
        <v>7</v>
      </c>
    </row>
    <row r="28" spans="1:13" ht="11.25" customHeight="1">
      <c r="B28" s="96" t="s">
        <v>608</v>
      </c>
      <c r="C28" s="176">
        <v>213</v>
      </c>
      <c r="D28" s="177">
        <v>208</v>
      </c>
      <c r="E28" s="177">
        <v>205</v>
      </c>
      <c r="F28" s="177">
        <v>202</v>
      </c>
      <c r="G28" s="177">
        <v>181</v>
      </c>
      <c r="L28" s="103" t="s">
        <v>625</v>
      </c>
      <c r="M28" s="103" t="s">
        <v>785</v>
      </c>
    </row>
    <row r="29" spans="1:13" ht="11.25" customHeight="1">
      <c r="B29" s="96" t="s">
        <v>609</v>
      </c>
      <c r="C29" s="109">
        <v>0.11700000000000001</v>
      </c>
      <c r="D29" s="109">
        <v>0.105</v>
      </c>
      <c r="E29" s="109">
        <v>0.105</v>
      </c>
      <c r="F29" s="109">
        <v>0.105</v>
      </c>
      <c r="G29" s="109">
        <v>0.105</v>
      </c>
      <c r="L29" s="103" t="s">
        <v>625</v>
      </c>
      <c r="M29" s="103">
        <v>1</v>
      </c>
    </row>
    <row r="30" spans="1:13" ht="11.25" customHeight="1">
      <c r="A30" s="100" t="s">
        <v>610</v>
      </c>
      <c r="B30" s="146"/>
      <c r="C30" s="174"/>
      <c r="D30" s="174"/>
      <c r="E30" s="174"/>
      <c r="F30" s="174"/>
      <c r="G30" s="174"/>
      <c r="H30" s="100"/>
      <c r="I30" s="100"/>
      <c r="J30" s="100"/>
      <c r="K30" s="100"/>
      <c r="L30" s="112"/>
      <c r="M30" s="112"/>
    </row>
    <row r="31" spans="1:13" ht="11.25" customHeight="1">
      <c r="B31" s="96" t="s">
        <v>611</v>
      </c>
      <c r="C31" s="108" t="s">
        <v>580</v>
      </c>
      <c r="D31" s="108" t="s">
        <v>580</v>
      </c>
      <c r="E31" s="108" t="s">
        <v>580</v>
      </c>
      <c r="F31" s="108" t="s">
        <v>580</v>
      </c>
      <c r="G31" s="108" t="s">
        <v>580</v>
      </c>
      <c r="H31" s="108"/>
      <c r="I31" s="108"/>
      <c r="J31" s="108"/>
      <c r="K31" s="108"/>
      <c r="L31" s="108" t="s">
        <v>605</v>
      </c>
      <c r="M31" s="103" t="s">
        <v>580</v>
      </c>
    </row>
    <row r="32" spans="1:13" ht="11.25" customHeight="1" thickBot="1">
      <c r="A32" s="111"/>
      <c r="B32" s="111"/>
      <c r="C32" s="111"/>
      <c r="D32" s="111"/>
      <c r="E32" s="111"/>
      <c r="F32" s="111"/>
      <c r="G32" s="111"/>
      <c r="H32" s="111"/>
      <c r="I32" s="111"/>
      <c r="J32" s="111"/>
      <c r="K32" s="111"/>
      <c r="L32" s="111"/>
      <c r="M32" s="111"/>
    </row>
    <row r="34" spans="1:2" ht="11.25" customHeight="1">
      <c r="A34" s="117" t="s">
        <v>622</v>
      </c>
    </row>
    <row r="35" spans="1:2" ht="11.25" customHeight="1">
      <c r="A35" s="178" t="s">
        <v>585</v>
      </c>
      <c r="B35" s="112" t="s">
        <v>786</v>
      </c>
    </row>
    <row r="36" spans="1:2" ht="11.25" customHeight="1">
      <c r="A36" s="178" t="s">
        <v>588</v>
      </c>
      <c r="B36" s="112" t="s">
        <v>787</v>
      </c>
    </row>
    <row r="37" spans="1:2" ht="11.25" customHeight="1">
      <c r="A37" s="178" t="s">
        <v>625</v>
      </c>
      <c r="B37" s="112" t="s">
        <v>788</v>
      </c>
    </row>
    <row r="38" spans="1:2" ht="11.25" customHeight="1">
      <c r="A38" s="178" t="s">
        <v>594</v>
      </c>
      <c r="B38" s="112" t="s">
        <v>789</v>
      </c>
    </row>
    <row r="39" spans="1:2" ht="11.25" customHeight="1">
      <c r="A39" s="178" t="s">
        <v>605</v>
      </c>
      <c r="B39" s="112" t="s">
        <v>790</v>
      </c>
    </row>
    <row r="40" spans="1:2" ht="11.25" customHeight="1">
      <c r="A40" s="178"/>
      <c r="B40" s="112"/>
    </row>
    <row r="41" spans="1:2" ht="11.25" customHeight="1">
      <c r="A41" s="140" t="s">
        <v>633</v>
      </c>
      <c r="B41" s="140"/>
    </row>
    <row r="42" spans="1:2" ht="11.25" customHeight="1">
      <c r="A42" s="87">
        <v>1</v>
      </c>
      <c r="B42" s="112" t="s">
        <v>791</v>
      </c>
    </row>
    <row r="43" spans="1:2" ht="11.25" customHeight="1">
      <c r="A43" s="87">
        <v>2</v>
      </c>
      <c r="B43" s="112" t="s">
        <v>792</v>
      </c>
    </row>
    <row r="44" spans="1:2" ht="11.25" customHeight="1">
      <c r="A44" s="87">
        <v>3</v>
      </c>
      <c r="B44" s="112" t="s">
        <v>793</v>
      </c>
    </row>
    <row r="45" spans="1:2" ht="11.25" customHeight="1">
      <c r="A45" s="87">
        <v>4</v>
      </c>
      <c r="B45" s="112" t="s">
        <v>794</v>
      </c>
    </row>
    <row r="46" spans="1:2" ht="11.25" customHeight="1">
      <c r="A46" s="87">
        <v>5</v>
      </c>
      <c r="B46" s="112" t="s">
        <v>795</v>
      </c>
    </row>
    <row r="47" spans="1:2" ht="11.25" customHeight="1">
      <c r="A47" s="87">
        <v>6</v>
      </c>
      <c r="B47" s="112" t="s">
        <v>796</v>
      </c>
    </row>
    <row r="48" spans="1:2" ht="11.25" customHeight="1">
      <c r="A48" s="87">
        <v>7</v>
      </c>
      <c r="B48" s="112" t="s">
        <v>797</v>
      </c>
    </row>
    <row r="49" spans="1:2" ht="11.25" customHeight="1">
      <c r="A49" s="87">
        <v>8</v>
      </c>
      <c r="B49" s="87" t="s">
        <v>798</v>
      </c>
    </row>
    <row r="50" spans="1:2" ht="11.25" customHeight="1">
      <c r="A50" s="87">
        <v>9</v>
      </c>
      <c r="B50" s="112" t="s">
        <v>799</v>
      </c>
    </row>
  </sheetData>
  <mergeCells count="1">
    <mergeCell ref="C1:M1"/>
  </mergeCells>
  <hyperlinks>
    <hyperlink ref="C1" location="INDEX" display="Direct firing, Natural gas" xr:uid="{E1971EB6-A75F-442A-B967-938DB4704894}"/>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C2F0-939E-4B30-87C4-206E25153919}">
  <dimension ref="A1:K235"/>
  <sheetViews>
    <sheetView topLeftCell="B69" zoomScaleNormal="100" workbookViewId="0">
      <selection activeCell="C112" sqref="C112"/>
    </sheetView>
  </sheetViews>
  <sheetFormatPr defaultColWidth="10.7109375" defaultRowHeight="12.75"/>
  <cols>
    <col min="1" max="1" width="4.5703125" style="198" customWidth="1"/>
    <col min="2" max="2" width="4.42578125" style="198" customWidth="1"/>
    <col min="3" max="3" width="44.7109375" style="198" customWidth="1"/>
    <col min="4" max="4" width="33.28515625" style="198" customWidth="1"/>
    <col min="5" max="5" width="24.42578125" style="198" customWidth="1"/>
    <col min="6" max="7" width="19.85546875" style="198" customWidth="1"/>
    <col min="8" max="8" width="23.85546875" style="198" bestFit="1" customWidth="1"/>
    <col min="9" max="9" width="95" style="291" bestFit="1" customWidth="1"/>
    <col min="10" max="10" width="4.42578125" style="198" customWidth="1"/>
    <col min="11" max="16384" width="10.7109375" style="198"/>
  </cols>
  <sheetData>
    <row r="1" spans="2:10" s="193" customFormat="1">
      <c r="I1" s="194"/>
    </row>
    <row r="2" spans="2:10">
      <c r="B2" s="195"/>
      <c r="C2" s="196"/>
      <c r="D2" s="196"/>
      <c r="E2" s="196"/>
      <c r="F2" s="196"/>
      <c r="G2" s="196"/>
      <c r="H2" s="196"/>
      <c r="I2" s="197"/>
      <c r="J2" s="195"/>
    </row>
    <row r="3" spans="2:10" ht="18">
      <c r="B3" s="195"/>
      <c r="C3" s="199" t="s">
        <v>868</v>
      </c>
      <c r="D3" s="196"/>
      <c r="E3" s="196"/>
      <c r="F3" s="196"/>
      <c r="G3" s="196"/>
      <c r="H3" s="196"/>
      <c r="I3" s="197"/>
      <c r="J3" s="195"/>
    </row>
    <row r="4" spans="2:10" ht="18">
      <c r="B4" s="195"/>
      <c r="C4" s="199"/>
      <c r="D4" s="196"/>
      <c r="E4" s="196"/>
      <c r="F4" s="196"/>
      <c r="G4" s="196"/>
      <c r="H4" s="196"/>
      <c r="I4" s="197"/>
      <c r="J4" s="195"/>
    </row>
    <row r="5" spans="2:10" ht="28.5" customHeight="1">
      <c r="B5" s="195"/>
      <c r="C5" s="438" t="s">
        <v>869</v>
      </c>
      <c r="D5" s="438"/>
      <c r="E5" s="438"/>
      <c r="F5" s="438"/>
      <c r="G5" s="438"/>
      <c r="H5" s="438"/>
      <c r="I5" s="438"/>
      <c r="J5" s="195"/>
    </row>
    <row r="6" spans="2:10">
      <c r="B6" s="195"/>
      <c r="C6" s="196"/>
      <c r="D6" s="196"/>
      <c r="E6" s="196"/>
      <c r="F6" s="196"/>
      <c r="G6" s="196"/>
      <c r="H6" s="196"/>
      <c r="I6" s="197"/>
      <c r="J6" s="195"/>
    </row>
    <row r="7" spans="2:10" ht="18">
      <c r="B7" s="195"/>
      <c r="C7" s="199" t="s">
        <v>870</v>
      </c>
      <c r="D7" s="196"/>
      <c r="E7" s="196"/>
      <c r="F7" s="196"/>
      <c r="G7" s="196"/>
      <c r="H7" s="196"/>
      <c r="I7" s="197"/>
      <c r="J7" s="195"/>
    </row>
    <row r="8" spans="2:10" ht="15.75">
      <c r="B8" s="195"/>
      <c r="C8" s="200"/>
      <c r="D8" s="196"/>
      <c r="E8" s="196"/>
      <c r="F8" s="196"/>
      <c r="G8" s="196"/>
      <c r="H8" s="196"/>
      <c r="I8" s="197"/>
      <c r="J8" s="195"/>
    </row>
    <row r="9" spans="2:10">
      <c r="B9" s="195"/>
      <c r="C9" s="196"/>
      <c r="D9" s="196"/>
      <c r="E9" s="196"/>
      <c r="F9" s="196"/>
      <c r="G9" s="196"/>
      <c r="H9" s="196"/>
      <c r="I9" s="197"/>
      <c r="J9" s="195"/>
    </row>
    <row r="10" spans="2:10" s="206" customFormat="1">
      <c r="B10" s="201"/>
      <c r="C10" s="202"/>
      <c r="D10" s="203" t="s">
        <v>166</v>
      </c>
      <c r="E10" s="202" t="s">
        <v>29</v>
      </c>
      <c r="F10" s="204" t="s">
        <v>31</v>
      </c>
      <c r="G10" s="202"/>
      <c r="H10" s="202" t="s">
        <v>871</v>
      </c>
      <c r="I10" s="205" t="s">
        <v>872</v>
      </c>
      <c r="J10" s="201"/>
    </row>
    <row r="11" spans="2:10" s="206" customFormat="1" ht="15">
      <c r="B11" s="201"/>
      <c r="C11" s="207"/>
      <c r="D11" s="208"/>
      <c r="E11" s="208"/>
      <c r="F11" s="209"/>
      <c r="G11" s="209"/>
      <c r="H11" s="209"/>
      <c r="I11" s="209"/>
      <c r="J11" s="201"/>
    </row>
    <row r="12" spans="2:10" s="206" customFormat="1" ht="15.75" thickBot="1">
      <c r="B12" s="201"/>
      <c r="C12" s="210" t="s">
        <v>873</v>
      </c>
      <c r="D12" s="211"/>
      <c r="E12" s="212"/>
      <c r="F12" s="213"/>
      <c r="G12" s="213"/>
      <c r="H12" s="213"/>
      <c r="I12" s="212"/>
      <c r="J12" s="201"/>
    </row>
    <row r="13" spans="2:10" s="206" customFormat="1" ht="15">
      <c r="B13" s="201"/>
      <c r="C13" s="214" t="s">
        <v>874</v>
      </c>
      <c r="D13" s="207" t="s">
        <v>875</v>
      </c>
      <c r="E13" s="207" t="s">
        <v>876</v>
      </c>
      <c r="F13" s="215">
        <f>F17/F16</f>
        <v>1.0526315789473686</v>
      </c>
      <c r="G13" s="215"/>
      <c r="H13" s="216">
        <f>F13</f>
        <v>1.0526315789473686</v>
      </c>
      <c r="I13" s="207"/>
      <c r="J13" s="201"/>
    </row>
    <row r="14" spans="2:10" s="206" customFormat="1" ht="15">
      <c r="B14" s="201"/>
      <c r="C14" s="207"/>
      <c r="D14" s="207"/>
      <c r="E14" s="207"/>
      <c r="F14" s="215"/>
      <c r="G14" s="215"/>
      <c r="H14" s="216"/>
      <c r="I14" s="207"/>
      <c r="J14" s="201"/>
    </row>
    <row r="15" spans="2:10" s="206" customFormat="1" ht="15.75" thickBot="1">
      <c r="B15" s="201"/>
      <c r="C15" s="210" t="s">
        <v>877</v>
      </c>
      <c r="D15" s="212"/>
      <c r="E15" s="212"/>
      <c r="F15" s="213"/>
      <c r="G15" s="213"/>
      <c r="H15" s="217"/>
      <c r="I15" s="212"/>
      <c r="J15" s="201"/>
    </row>
    <row r="16" spans="2:10" s="206" customFormat="1" ht="15">
      <c r="B16" s="201"/>
      <c r="C16" s="214" t="s">
        <v>878</v>
      </c>
      <c r="D16" s="207" t="s">
        <v>879</v>
      </c>
      <c r="E16" s="207" t="s">
        <v>880</v>
      </c>
      <c r="F16" s="215">
        <v>6.7</v>
      </c>
      <c r="G16" s="215"/>
      <c r="H16" s="216">
        <f>F16</f>
        <v>6.7</v>
      </c>
      <c r="I16" s="207"/>
      <c r="J16" s="201"/>
    </row>
    <row r="17" spans="2:10" ht="15">
      <c r="B17" s="195"/>
      <c r="C17" s="214" t="s">
        <v>881</v>
      </c>
      <c r="D17" s="207" t="s">
        <v>875</v>
      </c>
      <c r="E17" s="207" t="s">
        <v>880</v>
      </c>
      <c r="F17" s="215">
        <f>F16/(F18/100)</f>
        <v>7.052631578947369</v>
      </c>
      <c r="G17" s="215"/>
      <c r="H17" s="216">
        <f>F17</f>
        <v>7.052631578947369</v>
      </c>
      <c r="I17" s="207"/>
      <c r="J17" s="195"/>
    </row>
    <row r="18" spans="2:10" ht="15">
      <c r="B18" s="195"/>
      <c r="C18" s="214" t="s">
        <v>882</v>
      </c>
      <c r="D18" s="207" t="s">
        <v>879</v>
      </c>
      <c r="E18" s="207" t="s">
        <v>138</v>
      </c>
      <c r="F18" s="218">
        <v>95</v>
      </c>
      <c r="G18" s="218"/>
      <c r="H18" s="219">
        <f>F18</f>
        <v>95</v>
      </c>
      <c r="I18" s="207"/>
      <c r="J18" s="195"/>
    </row>
    <row r="19" spans="2:10" ht="15">
      <c r="B19" s="195"/>
      <c r="C19" s="207"/>
      <c r="D19" s="207"/>
      <c r="E19" s="207"/>
      <c r="F19" s="220"/>
      <c r="G19" s="220"/>
      <c r="H19" s="31"/>
      <c r="I19" s="207"/>
      <c r="J19" s="195"/>
    </row>
    <row r="20" spans="2:10">
      <c r="B20" s="195"/>
      <c r="C20" s="221"/>
      <c r="D20" s="222"/>
      <c r="E20" s="207"/>
      <c r="F20" s="222"/>
      <c r="G20" s="222"/>
      <c r="H20" s="223"/>
      <c r="I20" s="207"/>
      <c r="J20" s="195"/>
    </row>
    <row r="21" spans="2:10" ht="13.5" thickBot="1">
      <c r="B21" s="195"/>
      <c r="C21" s="210" t="s">
        <v>883</v>
      </c>
      <c r="D21" s="212"/>
      <c r="E21" s="212"/>
      <c r="F21" s="211"/>
      <c r="G21" s="211"/>
      <c r="H21" s="224"/>
      <c r="I21" s="212"/>
      <c r="J21" s="195"/>
    </row>
    <row r="22" spans="2:10">
      <c r="B22" s="195"/>
      <c r="C22" s="221" t="s">
        <v>884</v>
      </c>
      <c r="D22" s="207"/>
      <c r="E22" s="207" t="s">
        <v>885</v>
      </c>
      <c r="F22" s="225">
        <v>2000</v>
      </c>
      <c r="G22" s="225"/>
      <c r="H22" s="226">
        <f>F22</f>
        <v>2000</v>
      </c>
      <c r="I22" s="207"/>
      <c r="J22" s="195"/>
    </row>
    <row r="23" spans="2:10">
      <c r="B23" s="195"/>
      <c r="C23" s="221" t="s">
        <v>886</v>
      </c>
      <c r="D23" s="207" t="s">
        <v>887</v>
      </c>
      <c r="E23" s="227" t="s">
        <v>888</v>
      </c>
      <c r="F23" s="225">
        <v>1566700</v>
      </c>
      <c r="G23" s="225"/>
      <c r="H23" s="226">
        <f>F23</f>
        <v>1566700</v>
      </c>
      <c r="I23" s="207" t="s">
        <v>889</v>
      </c>
      <c r="J23" s="195"/>
    </row>
    <row r="24" spans="2:10">
      <c r="B24" s="195"/>
      <c r="C24" s="221"/>
      <c r="D24" s="207"/>
      <c r="E24" s="228" t="s">
        <v>890</v>
      </c>
      <c r="F24" s="229">
        <f>F23/F16/1000</f>
        <v>233.8358208955224</v>
      </c>
      <c r="G24" s="229"/>
      <c r="H24" s="230">
        <f>F24</f>
        <v>233.8358208955224</v>
      </c>
      <c r="I24" s="207"/>
      <c r="J24" s="195"/>
    </row>
    <row r="25" spans="2:10">
      <c r="B25" s="195"/>
      <c r="C25" s="231" t="s">
        <v>891</v>
      </c>
      <c r="D25" s="232"/>
      <c r="E25" s="227"/>
      <c r="F25" s="232"/>
      <c r="G25" s="232"/>
      <c r="H25" s="231"/>
      <c r="I25" s="233"/>
      <c r="J25" s="195"/>
    </row>
    <row r="26" spans="2:10">
      <c r="B26" s="195"/>
      <c r="C26" s="214" t="s">
        <v>892</v>
      </c>
      <c r="D26" s="207"/>
      <c r="E26" s="227"/>
      <c r="F26" s="207"/>
      <c r="G26" s="207"/>
      <c r="H26" s="221"/>
      <c r="I26" s="234"/>
      <c r="J26" s="195"/>
    </row>
    <row r="27" spans="2:10">
      <c r="B27" s="195"/>
      <c r="C27" s="235" t="s">
        <v>893</v>
      </c>
      <c r="D27" s="207" t="s">
        <v>887</v>
      </c>
      <c r="E27" s="227" t="s">
        <v>894</v>
      </c>
      <c r="F27" s="236">
        <f>0.03*$F$24*1000/'[7]Reference technology'!$F$22</f>
        <v>3.5075373134328358</v>
      </c>
      <c r="G27" s="236"/>
      <c r="H27" s="237">
        <f>F27</f>
        <v>3.5075373134328358</v>
      </c>
      <c r="I27" s="238"/>
      <c r="J27" s="195"/>
    </row>
    <row r="28" spans="2:10">
      <c r="B28" s="195"/>
      <c r="C28" s="235" t="s">
        <v>895</v>
      </c>
      <c r="D28" s="207" t="s">
        <v>887</v>
      </c>
      <c r="E28" s="227" t="s">
        <v>896</v>
      </c>
      <c r="F28" s="236">
        <f>0.02*$F$24*1000/'[7]Reference technology'!$F$22</f>
        <v>2.3383582089552242</v>
      </c>
      <c r="G28" s="236"/>
      <c r="H28" s="237">
        <f>F28</f>
        <v>2.3383582089552242</v>
      </c>
      <c r="I28" s="238"/>
      <c r="J28" s="195"/>
    </row>
    <row r="29" spans="2:10">
      <c r="B29" s="195"/>
      <c r="C29" s="235" t="s">
        <v>897</v>
      </c>
      <c r="D29" s="207"/>
      <c r="E29" s="227" t="s">
        <v>898</v>
      </c>
      <c r="F29" s="239">
        <f>SUM(F27:F28)</f>
        <v>5.8458955223880604</v>
      </c>
      <c r="G29" s="239"/>
      <c r="H29" s="240">
        <f>F29</f>
        <v>5.8458955223880604</v>
      </c>
      <c r="I29" s="238"/>
      <c r="J29" s="195"/>
    </row>
    <row r="30" spans="2:10">
      <c r="B30" s="195"/>
      <c r="C30" s="241"/>
      <c r="D30" s="241"/>
      <c r="E30" s="241"/>
      <c r="F30" s="241"/>
      <c r="G30" s="241"/>
      <c r="H30" s="241"/>
      <c r="I30" s="242"/>
      <c r="J30" s="195"/>
    </row>
    <row r="31" spans="2:10">
      <c r="B31" s="195"/>
      <c r="C31" s="195"/>
      <c r="D31" s="195"/>
      <c r="E31" s="195"/>
      <c r="F31" s="195"/>
      <c r="G31" s="195"/>
      <c r="H31" s="195"/>
      <c r="I31" s="197"/>
      <c r="J31" s="195"/>
    </row>
    <row r="32" spans="2:10" ht="18">
      <c r="B32" s="195"/>
      <c r="C32" s="199" t="s">
        <v>899</v>
      </c>
      <c r="D32" s="195"/>
      <c r="E32" s="195"/>
      <c r="F32" s="195"/>
      <c r="G32" s="195"/>
      <c r="H32" s="195"/>
      <c r="I32" s="197"/>
      <c r="J32" s="195"/>
    </row>
    <row r="33" spans="2:10">
      <c r="B33" s="195"/>
      <c r="C33" s="241"/>
      <c r="D33" s="241"/>
      <c r="E33" s="241"/>
      <c r="F33" s="241"/>
      <c r="G33" s="241"/>
      <c r="H33" s="241"/>
      <c r="I33" s="197"/>
      <c r="J33" s="195"/>
    </row>
    <row r="34" spans="2:10">
      <c r="B34" s="195"/>
      <c r="C34" s="241"/>
      <c r="D34" s="203" t="s">
        <v>166</v>
      </c>
      <c r="E34" s="202" t="s">
        <v>29</v>
      </c>
      <c r="F34" s="204" t="s">
        <v>31</v>
      </c>
      <c r="G34" s="202"/>
      <c r="H34" s="202" t="s">
        <v>871</v>
      </c>
      <c r="I34" s="205" t="s">
        <v>872</v>
      </c>
      <c r="J34" s="195"/>
    </row>
    <row r="35" spans="2:10">
      <c r="B35" s="195"/>
      <c r="C35" s="241"/>
      <c r="D35" s="241"/>
      <c r="E35" s="241"/>
      <c r="F35" s="241"/>
      <c r="G35" s="241"/>
      <c r="H35" s="241"/>
      <c r="I35" s="197"/>
      <c r="J35" s="195"/>
    </row>
    <row r="36" spans="2:10" ht="13.5" thickBot="1">
      <c r="B36" s="195"/>
      <c r="C36" s="210" t="s">
        <v>877</v>
      </c>
      <c r="D36" s="211"/>
      <c r="E36" s="212"/>
      <c r="F36" s="211"/>
      <c r="G36" s="211"/>
      <c r="H36" s="211"/>
      <c r="I36" s="211"/>
      <c r="J36" s="212"/>
    </row>
    <row r="37" spans="2:10">
      <c r="B37" s="195"/>
      <c r="C37" s="243" t="s">
        <v>881</v>
      </c>
      <c r="D37" s="244"/>
      <c r="E37" s="244"/>
      <c r="F37" s="244"/>
      <c r="G37" s="244"/>
      <c r="H37" s="244"/>
      <c r="I37" s="244"/>
      <c r="J37" s="245"/>
    </row>
    <row r="38" spans="2:10">
      <c r="B38" s="195"/>
      <c r="C38" s="214"/>
      <c r="D38" s="246" t="s">
        <v>900</v>
      </c>
      <c r="E38" s="246" t="s">
        <v>880</v>
      </c>
      <c r="F38" s="246"/>
      <c r="G38" s="247">
        <v>430</v>
      </c>
      <c r="H38" s="247"/>
      <c r="I38" s="248"/>
      <c r="J38" s="195"/>
    </row>
    <row r="39" spans="2:10">
      <c r="B39" s="195"/>
      <c r="C39" s="249"/>
      <c r="D39" s="250" t="s">
        <v>901</v>
      </c>
      <c r="E39" s="250" t="s">
        <v>880</v>
      </c>
      <c r="F39" s="251">
        <f>(F42+F41)/(F49/100)</f>
        <v>228.57142857142856</v>
      </c>
      <c r="G39" s="250"/>
      <c r="H39" s="252">
        <f>F39</f>
        <v>228.57142857142856</v>
      </c>
      <c r="I39" s="253"/>
      <c r="J39" s="195"/>
    </row>
    <row r="40" spans="2:10">
      <c r="B40" s="195"/>
      <c r="C40" s="214" t="s">
        <v>902</v>
      </c>
      <c r="D40" s="246"/>
      <c r="E40" s="246"/>
      <c r="F40" s="246"/>
      <c r="G40" s="246"/>
      <c r="H40" s="246"/>
      <c r="I40" s="246"/>
      <c r="J40" s="195"/>
    </row>
    <row r="41" spans="2:10">
      <c r="B41" s="195"/>
      <c r="C41" s="214"/>
      <c r="D41" s="246" t="s">
        <v>903</v>
      </c>
      <c r="E41" s="246" t="s">
        <v>904</v>
      </c>
      <c r="F41" s="246">
        <v>80</v>
      </c>
      <c r="G41" s="254">
        <v>850</v>
      </c>
      <c r="H41" s="254">
        <f>F41</f>
        <v>80</v>
      </c>
      <c r="I41" s="246"/>
      <c r="J41" s="195"/>
    </row>
    <row r="42" spans="2:10">
      <c r="B42" s="195"/>
      <c r="C42" s="214" t="s">
        <v>878</v>
      </c>
      <c r="D42" s="246" t="s">
        <v>903</v>
      </c>
      <c r="E42" s="246" t="s">
        <v>904</v>
      </c>
      <c r="F42" s="255">
        <f>F41/F52</f>
        <v>114.28571428571429</v>
      </c>
      <c r="G42" s="254">
        <v>430</v>
      </c>
      <c r="H42" s="256">
        <f>F42</f>
        <v>114.28571428571429</v>
      </c>
      <c r="I42" s="248"/>
      <c r="J42" s="195"/>
    </row>
    <row r="43" spans="2:10">
      <c r="B43" s="195"/>
      <c r="C43" s="207"/>
      <c r="D43" s="248"/>
      <c r="E43" s="248"/>
      <c r="F43" s="246"/>
      <c r="G43" s="248"/>
      <c r="H43" s="248"/>
      <c r="I43" s="248"/>
      <c r="J43" s="195"/>
    </row>
    <row r="44" spans="2:10" ht="13.5" thickBot="1">
      <c r="B44" s="195"/>
      <c r="C44" s="257" t="s">
        <v>905</v>
      </c>
      <c r="D44" s="258"/>
      <c r="E44" s="259"/>
      <c r="F44" s="258"/>
      <c r="G44" s="260"/>
      <c r="H44" s="260"/>
      <c r="I44" s="259"/>
      <c r="J44" s="195"/>
    </row>
    <row r="45" spans="2:10">
      <c r="B45" s="195"/>
      <c r="C45" s="261" t="s">
        <v>874</v>
      </c>
      <c r="D45" s="246" t="s">
        <v>901</v>
      </c>
      <c r="E45" s="246" t="s">
        <v>876</v>
      </c>
      <c r="F45" s="262"/>
      <c r="G45" s="263">
        <f>(F39*'[7]Reference technology'!G55)/(F42*'[7]Reference technology'!G55)</f>
        <v>1.9999999999999996</v>
      </c>
      <c r="H45" s="264">
        <f>G45</f>
        <v>1.9999999999999996</v>
      </c>
      <c r="I45" s="246"/>
      <c r="J45" s="195"/>
    </row>
    <row r="46" spans="2:10">
      <c r="B46" s="195"/>
      <c r="C46" s="221"/>
      <c r="D46" s="265"/>
      <c r="E46" s="246"/>
      <c r="F46" s="265"/>
      <c r="G46" s="265"/>
      <c r="H46" s="265"/>
      <c r="I46" s="246"/>
      <c r="J46" s="195"/>
    </row>
    <row r="47" spans="2:10" ht="15.75" thickBot="1">
      <c r="B47" s="195"/>
      <c r="C47" s="266" t="s">
        <v>906</v>
      </c>
      <c r="D47" s="258"/>
      <c r="E47" s="259"/>
      <c r="F47" s="258"/>
      <c r="G47" s="258"/>
      <c r="H47" s="258"/>
      <c r="I47" s="259"/>
      <c r="J47" s="195"/>
    </row>
    <row r="48" spans="2:10">
      <c r="B48" s="195"/>
      <c r="C48" s="267" t="s">
        <v>882</v>
      </c>
      <c r="D48" s="246"/>
      <c r="E48" s="246"/>
      <c r="F48" s="246"/>
      <c r="G48" s="246"/>
      <c r="H48" s="246"/>
      <c r="I48" s="246"/>
      <c r="J48" s="195"/>
    </row>
    <row r="49" spans="2:11">
      <c r="B49" s="195"/>
      <c r="C49" s="235" t="s">
        <v>907</v>
      </c>
      <c r="D49" s="265" t="s">
        <v>903</v>
      </c>
      <c r="E49" s="246"/>
      <c r="F49" s="265">
        <v>85</v>
      </c>
      <c r="G49" s="268">
        <v>0.9</v>
      </c>
      <c r="H49" s="269">
        <f>F49</f>
        <v>85</v>
      </c>
      <c r="I49" s="246"/>
      <c r="J49" s="195"/>
    </row>
    <row r="50" spans="2:11">
      <c r="B50" s="195"/>
      <c r="C50" s="270" t="s">
        <v>394</v>
      </c>
      <c r="D50" s="271" t="s">
        <v>903</v>
      </c>
      <c r="E50" s="272" t="s">
        <v>138</v>
      </c>
      <c r="F50" s="271">
        <v>35</v>
      </c>
      <c r="G50" s="273">
        <v>0.62</v>
      </c>
      <c r="H50" s="274">
        <f>F50</f>
        <v>35</v>
      </c>
      <c r="I50" s="272"/>
      <c r="J50" s="195"/>
    </row>
    <row r="51" spans="2:11">
      <c r="B51" s="195"/>
      <c r="C51" s="270" t="s">
        <v>908</v>
      </c>
      <c r="D51" s="271" t="s">
        <v>903</v>
      </c>
      <c r="E51" s="272" t="s">
        <v>138</v>
      </c>
      <c r="F51" s="271">
        <v>50</v>
      </c>
      <c r="G51" s="273">
        <v>0.3</v>
      </c>
      <c r="H51" s="274">
        <f>F51</f>
        <v>50</v>
      </c>
      <c r="I51" s="272"/>
      <c r="J51" s="195"/>
    </row>
    <row r="52" spans="2:11">
      <c r="B52" s="195"/>
      <c r="C52" s="275" t="s">
        <v>909</v>
      </c>
      <c r="D52" s="271" t="s">
        <v>903</v>
      </c>
      <c r="E52" s="272" t="s">
        <v>910</v>
      </c>
      <c r="F52" s="271">
        <v>0.7</v>
      </c>
      <c r="G52" s="276">
        <v>2.1</v>
      </c>
      <c r="H52" s="274">
        <f>F52</f>
        <v>0.7</v>
      </c>
      <c r="I52" s="272" t="s">
        <v>911</v>
      </c>
      <c r="J52" s="195"/>
    </row>
    <row r="53" spans="2:11">
      <c r="B53" s="195"/>
      <c r="C53" s="277"/>
      <c r="D53" s="278"/>
      <c r="E53" s="278"/>
      <c r="F53" s="278"/>
      <c r="G53" s="278"/>
      <c r="H53" s="278"/>
      <c r="I53" s="278"/>
      <c r="J53" s="195"/>
    </row>
    <row r="54" spans="2:11" ht="15.75" thickBot="1">
      <c r="B54" s="195"/>
      <c r="C54" s="266" t="s">
        <v>883</v>
      </c>
      <c r="D54" s="258"/>
      <c r="E54" s="259"/>
      <c r="F54" s="258"/>
      <c r="G54" s="258"/>
      <c r="H54" s="258"/>
      <c r="I54" s="259"/>
      <c r="J54" s="195"/>
    </row>
    <row r="55" spans="2:11">
      <c r="B55" s="195"/>
      <c r="C55" s="267" t="s">
        <v>912</v>
      </c>
      <c r="D55" s="279"/>
      <c r="E55" s="246"/>
      <c r="F55" s="279"/>
      <c r="G55" s="246">
        <v>6000</v>
      </c>
      <c r="H55" s="248">
        <f>G55</f>
        <v>6000</v>
      </c>
      <c r="I55" s="246"/>
      <c r="J55" s="195"/>
    </row>
    <row r="56" spans="2:11">
      <c r="B56" s="195"/>
      <c r="C56" s="267" t="s">
        <v>886</v>
      </c>
      <c r="D56" s="246"/>
      <c r="E56" s="280"/>
      <c r="F56" s="246"/>
      <c r="G56" s="246"/>
      <c r="H56" s="246"/>
      <c r="I56" s="281"/>
      <c r="J56" s="195"/>
    </row>
    <row r="57" spans="2:11">
      <c r="B57" s="195"/>
      <c r="C57" s="282" t="s">
        <v>913</v>
      </c>
      <c r="D57" s="247" t="s">
        <v>914</v>
      </c>
      <c r="E57" s="283" t="s">
        <v>915</v>
      </c>
      <c r="F57" s="247">
        <f>500*0.77</f>
        <v>385</v>
      </c>
      <c r="G57" s="247">
        <f>600*0.77</f>
        <v>462</v>
      </c>
      <c r="H57" s="247"/>
      <c r="I57" s="247"/>
      <c r="J57" s="195"/>
    </row>
    <row r="58" spans="2:11">
      <c r="B58" s="195"/>
      <c r="C58" s="235" t="s">
        <v>916</v>
      </c>
      <c r="D58" s="246" t="s">
        <v>914</v>
      </c>
      <c r="E58" s="280" t="s">
        <v>915</v>
      </c>
      <c r="F58" s="246">
        <f>600*0.77</f>
        <v>462</v>
      </c>
      <c r="G58" s="246">
        <f>700*0.77</f>
        <v>539</v>
      </c>
      <c r="H58" s="246"/>
      <c r="I58" s="246"/>
      <c r="J58" s="195"/>
    </row>
    <row r="59" spans="2:11">
      <c r="B59" s="195"/>
      <c r="C59" s="282" t="s">
        <v>917</v>
      </c>
      <c r="D59" s="247" t="s">
        <v>914</v>
      </c>
      <c r="E59" s="283" t="s">
        <v>915</v>
      </c>
      <c r="F59" s="247">
        <f>700*0.77</f>
        <v>539</v>
      </c>
      <c r="G59" s="247">
        <f>800*0.77</f>
        <v>616</v>
      </c>
      <c r="H59" s="247"/>
      <c r="I59" s="247"/>
      <c r="J59" s="195"/>
      <c r="K59" s="284"/>
    </row>
    <row r="60" spans="2:11">
      <c r="B60" s="195"/>
      <c r="C60" s="285" t="s">
        <v>918</v>
      </c>
      <c r="D60" s="246" t="s">
        <v>914</v>
      </c>
      <c r="E60" s="280" t="s">
        <v>138</v>
      </c>
      <c r="F60" s="246"/>
      <c r="G60" s="246">
        <v>5</v>
      </c>
      <c r="H60" s="246"/>
      <c r="I60" s="246" t="s">
        <v>919</v>
      </c>
      <c r="J60" s="195"/>
      <c r="K60" s="284"/>
    </row>
    <row r="61" spans="2:11">
      <c r="B61" s="195"/>
      <c r="C61" s="285" t="s">
        <v>920</v>
      </c>
      <c r="D61" s="246" t="s">
        <v>914</v>
      </c>
      <c r="E61" s="280" t="s">
        <v>138</v>
      </c>
      <c r="F61" s="246"/>
      <c r="G61" s="246">
        <v>10</v>
      </c>
      <c r="H61" s="246"/>
      <c r="I61" s="246" t="s">
        <v>919</v>
      </c>
      <c r="J61" s="195"/>
    </row>
    <row r="62" spans="2:11">
      <c r="B62" s="195"/>
      <c r="C62" s="285" t="s">
        <v>921</v>
      </c>
      <c r="D62" s="246" t="s">
        <v>914</v>
      </c>
      <c r="E62" s="280" t="s">
        <v>138</v>
      </c>
      <c r="F62" s="246"/>
      <c r="G62" s="246">
        <v>30</v>
      </c>
      <c r="H62" s="246"/>
      <c r="I62" s="246" t="s">
        <v>919</v>
      </c>
      <c r="J62" s="195"/>
    </row>
    <row r="63" spans="2:11">
      <c r="B63" s="195"/>
      <c r="C63" s="235" t="s">
        <v>922</v>
      </c>
      <c r="D63" s="246" t="s">
        <v>903</v>
      </c>
      <c r="E63" s="280" t="s">
        <v>890</v>
      </c>
      <c r="F63" s="246"/>
      <c r="G63" s="246">
        <v>900</v>
      </c>
      <c r="H63" s="248">
        <f>G63</f>
        <v>900</v>
      </c>
      <c r="I63" s="246"/>
      <c r="J63" s="195"/>
    </row>
    <row r="64" spans="2:11">
      <c r="B64" s="195"/>
      <c r="C64" s="286" t="s">
        <v>891</v>
      </c>
      <c r="D64" s="287"/>
      <c r="E64" s="288" t="s">
        <v>923</v>
      </c>
      <c r="F64" s="287"/>
      <c r="G64" s="287"/>
      <c r="H64" s="287"/>
      <c r="I64" s="289"/>
      <c r="J64" s="195"/>
    </row>
    <row r="65" spans="1:10">
      <c r="B65" s="195"/>
      <c r="C65" s="235" t="s">
        <v>892</v>
      </c>
      <c r="D65" s="246"/>
      <c r="E65" s="280" t="s">
        <v>923</v>
      </c>
      <c r="F65" s="246"/>
      <c r="G65" s="246">
        <f>G63*1000*0.02/'[7]Reference technology'!G55</f>
        <v>3</v>
      </c>
      <c r="H65" s="248">
        <f>G65</f>
        <v>3</v>
      </c>
      <c r="I65" s="246" t="s">
        <v>924</v>
      </c>
      <c r="J65" s="195"/>
    </row>
    <row r="66" spans="1:10">
      <c r="B66" s="195"/>
      <c r="C66" s="195"/>
      <c r="D66" s="195"/>
      <c r="E66" s="195"/>
      <c r="F66" s="195"/>
      <c r="G66" s="195"/>
      <c r="H66" s="195"/>
      <c r="I66" s="197"/>
      <c r="J66" s="195"/>
    </row>
    <row r="67" spans="1:10">
      <c r="I67" s="198"/>
    </row>
    <row r="68" spans="1:10">
      <c r="I68" s="198"/>
    </row>
    <row r="69" spans="1:10">
      <c r="A69" s="193"/>
      <c r="B69" s="193"/>
      <c r="C69" s="193"/>
      <c r="D69" s="193"/>
      <c r="E69" s="193"/>
      <c r="F69" s="193"/>
      <c r="G69" s="193"/>
      <c r="H69" s="193"/>
      <c r="I69" s="194"/>
    </row>
    <row r="70" spans="1:10">
      <c r="B70" s="195"/>
      <c r="C70" s="196"/>
      <c r="D70" s="196"/>
      <c r="E70" s="196"/>
      <c r="F70" s="196"/>
      <c r="G70" s="196"/>
      <c r="H70" s="196"/>
      <c r="I70" s="197"/>
    </row>
    <row r="71" spans="1:10" ht="18">
      <c r="B71" s="195"/>
      <c r="C71" s="199" t="s">
        <v>868</v>
      </c>
      <c r="D71" s="196"/>
      <c r="E71" s="196"/>
      <c r="F71" s="196"/>
      <c r="G71" s="196"/>
      <c r="H71" s="196"/>
      <c r="I71" s="197"/>
    </row>
    <row r="72" spans="1:10" ht="18">
      <c r="B72" s="195"/>
      <c r="C72" s="199"/>
      <c r="D72" s="196"/>
      <c r="E72" s="196"/>
      <c r="F72" s="196"/>
      <c r="G72" s="196"/>
      <c r="H72" s="196"/>
      <c r="I72" s="197"/>
    </row>
    <row r="73" spans="1:10">
      <c r="B73" s="195"/>
      <c r="C73" s="438" t="s">
        <v>869</v>
      </c>
      <c r="D73" s="438"/>
      <c r="E73" s="438"/>
      <c r="F73" s="438"/>
      <c r="G73" s="438"/>
      <c r="H73" s="438"/>
      <c r="I73" s="438"/>
    </row>
    <row r="74" spans="1:10">
      <c r="B74" s="195"/>
      <c r="C74" s="196"/>
      <c r="D74" s="196"/>
      <c r="E74" s="196"/>
      <c r="F74" s="196"/>
      <c r="G74" s="196"/>
      <c r="H74" s="196"/>
      <c r="I74" s="197"/>
    </row>
    <row r="75" spans="1:10" ht="18">
      <c r="B75" s="195"/>
      <c r="C75" s="199" t="s">
        <v>925</v>
      </c>
      <c r="D75" s="196"/>
      <c r="E75" s="196"/>
      <c r="F75" s="196"/>
      <c r="G75" s="196"/>
      <c r="H75" s="196"/>
      <c r="I75" s="197"/>
    </row>
    <row r="76" spans="1:10" ht="15.75">
      <c r="B76" s="195"/>
      <c r="C76" s="200"/>
      <c r="D76" s="196"/>
      <c r="E76" s="196"/>
      <c r="F76" s="196"/>
      <c r="G76" s="196"/>
      <c r="H76" s="196"/>
      <c r="I76" s="197"/>
    </row>
    <row r="77" spans="1:10">
      <c r="B77" s="195"/>
      <c r="C77" s="196"/>
      <c r="D77" s="196"/>
      <c r="E77" s="196"/>
      <c r="F77" s="196"/>
      <c r="G77" s="196"/>
      <c r="H77" s="196"/>
      <c r="I77" s="197"/>
    </row>
    <row r="78" spans="1:10">
      <c r="A78" s="206"/>
      <c r="B78" s="201"/>
      <c r="C78" s="202"/>
      <c r="D78" s="203" t="s">
        <v>166</v>
      </c>
      <c r="E78" s="202" t="s">
        <v>29</v>
      </c>
      <c r="F78" s="202" t="s">
        <v>926</v>
      </c>
      <c r="G78" s="202" t="s">
        <v>927</v>
      </c>
      <c r="H78" s="202" t="s">
        <v>928</v>
      </c>
      <c r="I78" s="205" t="s">
        <v>929</v>
      </c>
    </row>
    <row r="79" spans="1:10" ht="15">
      <c r="A79" s="206"/>
      <c r="B79" s="201"/>
      <c r="C79" s="207"/>
      <c r="D79" s="208"/>
      <c r="E79" s="208"/>
      <c r="F79" s="209"/>
      <c r="G79" s="209"/>
      <c r="H79" s="209"/>
      <c r="I79" s="209"/>
    </row>
    <row r="80" spans="1:10" ht="15.75" thickBot="1">
      <c r="A80" s="206"/>
      <c r="B80" s="201"/>
      <c r="C80" s="293" t="s">
        <v>873</v>
      </c>
      <c r="D80" s="294"/>
      <c r="E80" s="207"/>
      <c r="F80" s="207"/>
      <c r="G80" s="207"/>
      <c r="H80" s="207"/>
      <c r="I80" s="220"/>
    </row>
    <row r="81" spans="1:9">
      <c r="A81" s="206"/>
      <c r="B81" s="201"/>
      <c r="C81" s="295" t="s">
        <v>930</v>
      </c>
      <c r="D81" s="296" t="s">
        <v>931</v>
      </c>
      <c r="E81" s="272" t="s">
        <v>932</v>
      </c>
      <c r="F81" s="297">
        <f>100/F83</f>
        <v>1.0101010101010102</v>
      </c>
      <c r="G81" s="297">
        <f>100/G83</f>
        <v>1.0101010101010102</v>
      </c>
      <c r="H81" s="298">
        <f>G81</f>
        <v>1.0101010101010102</v>
      </c>
      <c r="I81" s="272"/>
    </row>
    <row r="82" spans="1:9">
      <c r="A82" s="206"/>
      <c r="B82" s="201"/>
      <c r="C82" s="299"/>
      <c r="D82" s="280"/>
      <c r="E82" s="246"/>
      <c r="F82" s="246"/>
      <c r="G82" s="246"/>
      <c r="H82" s="248"/>
      <c r="I82" s="246"/>
    </row>
    <row r="83" spans="1:9" ht="15">
      <c r="A83" s="206"/>
      <c r="B83" s="201"/>
      <c r="C83" s="300" t="s">
        <v>933</v>
      </c>
      <c r="D83" s="301" t="s">
        <v>931</v>
      </c>
      <c r="E83" s="246" t="s">
        <v>138</v>
      </c>
      <c r="F83" s="246">
        <v>99</v>
      </c>
      <c r="G83" s="246">
        <v>99</v>
      </c>
      <c r="H83" s="248">
        <f>G83</f>
        <v>99</v>
      </c>
      <c r="I83" s="246"/>
    </row>
    <row r="84" spans="1:9" ht="15">
      <c r="A84" s="206"/>
      <c r="B84" s="201"/>
      <c r="C84" s="220"/>
      <c r="D84" s="246" t="s">
        <v>934</v>
      </c>
      <c r="E84" s="246" t="s">
        <v>138</v>
      </c>
      <c r="F84" s="246">
        <v>99</v>
      </c>
      <c r="G84" s="246">
        <v>99</v>
      </c>
      <c r="H84" s="248"/>
      <c r="I84" s="246"/>
    </row>
    <row r="85" spans="1:9" ht="13.5" thickBot="1">
      <c r="B85" s="195"/>
      <c r="C85" s="302" t="s">
        <v>877</v>
      </c>
      <c r="D85" s="259"/>
      <c r="E85" s="259"/>
      <c r="F85" s="259"/>
      <c r="G85" s="259"/>
      <c r="H85" s="257"/>
      <c r="I85" s="259"/>
    </row>
    <row r="86" spans="1:9">
      <c r="B86" s="195"/>
      <c r="C86" s="303" t="s">
        <v>908</v>
      </c>
      <c r="D86" s="246" t="s">
        <v>934</v>
      </c>
      <c r="E86" s="246" t="s">
        <v>904</v>
      </c>
      <c r="F86" s="246">
        <v>10</v>
      </c>
      <c r="G86" s="246">
        <v>40</v>
      </c>
      <c r="H86" s="248">
        <f>G86</f>
        <v>40</v>
      </c>
      <c r="I86" s="246"/>
    </row>
    <row r="87" spans="1:9" ht="13.5" thickBot="1">
      <c r="B87" s="195"/>
      <c r="C87" s="224" t="s">
        <v>935</v>
      </c>
      <c r="D87" s="259"/>
      <c r="E87" s="259"/>
      <c r="F87" s="259"/>
      <c r="G87" s="259"/>
      <c r="H87" s="259"/>
      <c r="I87" s="259"/>
    </row>
    <row r="88" spans="1:9">
      <c r="B88" s="195"/>
      <c r="C88" s="304" t="s">
        <v>936</v>
      </c>
      <c r="D88" s="305" t="s">
        <v>931</v>
      </c>
      <c r="E88" s="246" t="s">
        <v>937</v>
      </c>
      <c r="F88" s="246"/>
      <c r="G88" s="246">
        <v>30</v>
      </c>
      <c r="H88" s="246"/>
      <c r="I88" s="246"/>
    </row>
    <row r="89" spans="1:9">
      <c r="B89" s="195"/>
      <c r="C89" s="304"/>
      <c r="D89" s="247" t="s">
        <v>938</v>
      </c>
      <c r="E89" s="247" t="s">
        <v>937</v>
      </c>
      <c r="F89" s="247"/>
      <c r="G89" s="247">
        <v>30</v>
      </c>
      <c r="H89" s="247"/>
      <c r="I89" s="247" t="s">
        <v>939</v>
      </c>
    </row>
    <row r="90" spans="1:9">
      <c r="B90" s="195"/>
      <c r="C90" s="304" t="s">
        <v>940</v>
      </c>
      <c r="D90" s="301" t="s">
        <v>931</v>
      </c>
      <c r="E90" s="246" t="s">
        <v>941</v>
      </c>
      <c r="F90" s="246"/>
      <c r="G90" s="246">
        <v>230</v>
      </c>
      <c r="H90" s="246"/>
      <c r="I90" s="246"/>
    </row>
    <row r="91" spans="1:9" ht="15">
      <c r="B91" s="195"/>
      <c r="C91" s="306"/>
      <c r="D91" s="247" t="s">
        <v>938</v>
      </c>
      <c r="E91" s="247" t="s">
        <v>941</v>
      </c>
      <c r="F91" s="247"/>
      <c r="G91" s="247">
        <v>240</v>
      </c>
      <c r="H91" s="247"/>
      <c r="I91" s="247"/>
    </row>
    <row r="92" spans="1:9" ht="15">
      <c r="B92" s="195"/>
      <c r="C92" s="220"/>
      <c r="D92" s="301" t="s">
        <v>931</v>
      </c>
      <c r="E92" s="246" t="s">
        <v>941</v>
      </c>
      <c r="F92" s="246" t="s">
        <v>942</v>
      </c>
      <c r="G92" s="246">
        <v>400</v>
      </c>
      <c r="H92" s="246"/>
      <c r="I92" s="246" t="s">
        <v>943</v>
      </c>
    </row>
    <row r="93" spans="1:9" ht="15">
      <c r="B93" s="195"/>
      <c r="C93" s="220"/>
      <c r="D93" s="246"/>
      <c r="E93" s="246"/>
      <c r="F93" s="246"/>
      <c r="G93" s="246"/>
      <c r="H93" s="246"/>
      <c r="I93" s="246"/>
    </row>
    <row r="94" spans="1:9">
      <c r="B94" s="195"/>
      <c r="C94" s="307" t="s">
        <v>883</v>
      </c>
      <c r="D94" s="250"/>
      <c r="E94" s="250"/>
      <c r="F94" s="250"/>
      <c r="G94" s="250"/>
      <c r="H94" s="250"/>
      <c r="I94" s="250"/>
    </row>
    <row r="95" spans="1:9" ht="13.5">
      <c r="B95" s="195"/>
      <c r="C95" s="299" t="s">
        <v>944</v>
      </c>
      <c r="D95" s="308" t="s">
        <v>931</v>
      </c>
      <c r="E95" s="280" t="s">
        <v>890</v>
      </c>
      <c r="F95" s="309">
        <v>100</v>
      </c>
      <c r="G95" s="309">
        <v>250</v>
      </c>
      <c r="H95" s="309">
        <f>AVERAGE(F95:G95)</f>
        <v>175</v>
      </c>
      <c r="I95" s="310" t="s">
        <v>945</v>
      </c>
    </row>
    <row r="96" spans="1:9" ht="15">
      <c r="B96" s="195"/>
      <c r="C96" s="311" t="s">
        <v>946</v>
      </c>
      <c r="D96" s="207"/>
      <c r="E96" s="220"/>
      <c r="F96" s="312"/>
      <c r="G96" s="207"/>
      <c r="H96" s="221">
        <v>1.5</v>
      </c>
      <c r="I96" s="310" t="s">
        <v>947</v>
      </c>
    </row>
    <row r="97" spans="1:9" ht="15">
      <c r="B97" s="195"/>
      <c r="C97" s="311" t="s">
        <v>948</v>
      </c>
      <c r="D97" s="207"/>
      <c r="E97" s="220"/>
      <c r="F97" s="312"/>
      <c r="G97" s="207"/>
      <c r="H97" s="240">
        <f>H95*H96</f>
        <v>262.5</v>
      </c>
      <c r="I97" s="310" t="s">
        <v>949</v>
      </c>
    </row>
    <row r="98" spans="1:9">
      <c r="B98" s="195"/>
      <c r="C98" s="313"/>
      <c r="D98" s="278" t="s">
        <v>938</v>
      </c>
      <c r="E98" s="314" t="s">
        <v>950</v>
      </c>
      <c r="F98" s="278">
        <v>100</v>
      </c>
      <c r="G98" s="278">
        <v>200</v>
      </c>
      <c r="H98" s="247"/>
      <c r="I98" s="246"/>
    </row>
    <row r="99" spans="1:9">
      <c r="B99" s="195"/>
      <c r="C99" s="277" t="s">
        <v>951</v>
      </c>
      <c r="D99" s="314" t="s">
        <v>931</v>
      </c>
      <c r="E99" s="314" t="s">
        <v>950</v>
      </c>
      <c r="F99" s="315">
        <f>25000/1000</f>
        <v>25</v>
      </c>
      <c r="G99" s="315">
        <f>150000/1000</f>
        <v>150</v>
      </c>
      <c r="H99" s="316"/>
      <c r="I99" s="246"/>
    </row>
    <row r="100" spans="1:9" ht="14.25">
      <c r="B100" s="195"/>
      <c r="C100" s="317"/>
      <c r="D100" s="247" t="s">
        <v>938</v>
      </c>
      <c r="E100" s="283" t="s">
        <v>950</v>
      </c>
      <c r="F100" s="247">
        <v>25</v>
      </c>
      <c r="G100" s="318">
        <v>150</v>
      </c>
      <c r="H100" s="318"/>
      <c r="I100" s="246"/>
    </row>
    <row r="101" spans="1:9">
      <c r="B101" s="195"/>
      <c r="C101" s="319" t="s">
        <v>891</v>
      </c>
      <c r="D101" s="287"/>
      <c r="E101" s="288"/>
      <c r="F101" s="287"/>
      <c r="G101" s="287"/>
      <c r="H101" s="287"/>
      <c r="I101" s="289"/>
    </row>
    <row r="102" spans="1:9">
      <c r="B102" s="195"/>
      <c r="C102" s="304" t="s">
        <v>892</v>
      </c>
      <c r="D102" s="246" t="s">
        <v>952</v>
      </c>
      <c r="E102" s="280" t="s">
        <v>138</v>
      </c>
      <c r="F102" s="246">
        <v>1</v>
      </c>
      <c r="G102" s="246">
        <v>2</v>
      </c>
      <c r="H102" s="248">
        <f>G102</f>
        <v>2</v>
      </c>
      <c r="I102" s="316" t="s">
        <v>953</v>
      </c>
    </row>
    <row r="103" spans="1:9">
      <c r="B103" s="195"/>
      <c r="C103" s="320"/>
      <c r="D103" s="301"/>
      <c r="E103" s="321"/>
      <c r="F103" s="322"/>
      <c r="G103" s="322"/>
      <c r="H103" s="322"/>
      <c r="I103" s="323"/>
    </row>
    <row r="104" spans="1:9">
      <c r="C104" s="290"/>
      <c r="D104" s="290"/>
      <c r="E104" s="290"/>
      <c r="F104" s="290"/>
      <c r="G104" s="290"/>
      <c r="H104" s="290"/>
    </row>
    <row r="105" spans="1:9">
      <c r="C105" s="290"/>
      <c r="D105" s="290"/>
      <c r="E105" s="290"/>
      <c r="F105" s="290"/>
      <c r="G105" s="290"/>
      <c r="H105" s="290"/>
    </row>
    <row r="106" spans="1:9">
      <c r="A106" s="193"/>
      <c r="B106" s="193"/>
      <c r="C106" s="193"/>
      <c r="D106" s="193"/>
      <c r="E106" s="193"/>
      <c r="F106" s="193"/>
      <c r="G106" s="193"/>
      <c r="H106" s="193"/>
      <c r="I106" s="194"/>
    </row>
    <row r="107" spans="1:9">
      <c r="B107" s="195"/>
      <c r="C107" s="196"/>
      <c r="D107" s="196"/>
      <c r="E107" s="196"/>
      <c r="F107" s="196"/>
      <c r="G107" s="196"/>
      <c r="H107" s="196"/>
      <c r="I107" s="197"/>
    </row>
    <row r="108" spans="1:9" ht="18">
      <c r="B108" s="195"/>
      <c r="C108" s="199" t="s">
        <v>868</v>
      </c>
      <c r="D108" s="196"/>
      <c r="E108" s="196"/>
      <c r="F108" s="196"/>
      <c r="G108" s="196"/>
      <c r="H108" s="196"/>
      <c r="I108" s="197"/>
    </row>
    <row r="109" spans="1:9" ht="18">
      <c r="B109" s="195"/>
      <c r="C109" s="199"/>
      <c r="D109" s="196"/>
      <c r="E109" s="196"/>
      <c r="F109" s="196"/>
      <c r="G109" s="196"/>
      <c r="H109" s="196"/>
      <c r="I109" s="197"/>
    </row>
    <row r="110" spans="1:9">
      <c r="B110" s="195"/>
      <c r="C110" s="438" t="s">
        <v>869</v>
      </c>
      <c r="D110" s="438"/>
      <c r="E110" s="438"/>
      <c r="F110" s="438"/>
      <c r="G110" s="438"/>
      <c r="H110" s="438"/>
      <c r="I110" s="438"/>
    </row>
    <row r="111" spans="1:9">
      <c r="B111" s="195"/>
      <c r="C111" s="196"/>
      <c r="D111" s="196"/>
      <c r="E111" s="196"/>
      <c r="F111" s="196"/>
      <c r="G111" s="196"/>
      <c r="H111" s="196"/>
      <c r="I111" s="197"/>
    </row>
    <row r="112" spans="1:9" ht="18">
      <c r="B112" s="195"/>
      <c r="C112" s="199" t="s">
        <v>954</v>
      </c>
      <c r="D112" s="196"/>
      <c r="E112" s="196"/>
      <c r="F112" s="196"/>
      <c r="G112" s="196"/>
      <c r="H112" s="196"/>
      <c r="I112" s="197"/>
    </row>
    <row r="113" spans="1:9" ht="15.75">
      <c r="B113" s="195"/>
      <c r="C113" s="200"/>
      <c r="D113" s="196"/>
      <c r="E113" s="196"/>
      <c r="F113" s="196"/>
      <c r="G113" s="196"/>
      <c r="H113" s="196"/>
      <c r="I113" s="197"/>
    </row>
    <row r="114" spans="1:9">
      <c r="B114" s="195"/>
      <c r="C114" s="196"/>
      <c r="D114" s="196"/>
      <c r="E114" s="196"/>
      <c r="F114" s="196"/>
      <c r="G114" s="196"/>
      <c r="H114" s="196"/>
      <c r="I114" s="197"/>
    </row>
    <row r="115" spans="1:9">
      <c r="A115" s="206"/>
      <c r="B115" s="201"/>
      <c r="C115" s="202"/>
      <c r="D115" s="203" t="s">
        <v>166</v>
      </c>
      <c r="E115" s="202" t="s">
        <v>29</v>
      </c>
      <c r="F115" s="202" t="s">
        <v>926</v>
      </c>
      <c r="G115" s="202" t="s">
        <v>927</v>
      </c>
      <c r="H115" s="202" t="s">
        <v>928</v>
      </c>
      <c r="I115" s="205" t="s">
        <v>929</v>
      </c>
    </row>
    <row r="116" spans="1:9" ht="15">
      <c r="A116" s="206"/>
      <c r="B116" s="201"/>
      <c r="C116" s="207"/>
      <c r="D116" s="208"/>
      <c r="E116" s="208"/>
      <c r="F116" s="209"/>
      <c r="G116" s="209"/>
      <c r="H116" s="209"/>
      <c r="I116" s="209"/>
    </row>
    <row r="117" spans="1:9" ht="15.75" thickBot="1">
      <c r="A117" s="206"/>
      <c r="B117" s="201"/>
      <c r="C117" s="293" t="s">
        <v>873</v>
      </c>
      <c r="D117" s="211"/>
      <c r="E117" s="212"/>
      <c r="F117" s="212"/>
      <c r="G117" s="212"/>
      <c r="H117" s="212"/>
      <c r="I117" s="213"/>
    </row>
    <row r="118" spans="1:9" ht="15">
      <c r="A118" s="206"/>
      <c r="B118" s="201"/>
      <c r="C118" s="295" t="s">
        <v>930</v>
      </c>
      <c r="D118" s="324" t="s">
        <v>955</v>
      </c>
      <c r="E118" s="220" t="s">
        <v>932</v>
      </c>
      <c r="F118" s="324"/>
      <c r="G118" s="325">
        <f>H123/G121</f>
        <v>0.27027027027027029</v>
      </c>
      <c r="H118" s="239">
        <f>G118</f>
        <v>0.27027027027027029</v>
      </c>
      <c r="I118" s="310"/>
    </row>
    <row r="119" spans="1:9" ht="15">
      <c r="A119" s="206"/>
      <c r="B119" s="201"/>
      <c r="C119" s="207"/>
      <c r="D119" s="326" t="s">
        <v>956</v>
      </c>
      <c r="E119" s="327" t="s">
        <v>932</v>
      </c>
      <c r="F119" s="326"/>
      <c r="G119" s="328">
        <f>G124/G122</f>
        <v>0.21276595744680848</v>
      </c>
      <c r="H119" s="328"/>
      <c r="I119" s="310"/>
    </row>
    <row r="120" spans="1:9" ht="15.75" thickBot="1">
      <c r="A120" s="206"/>
      <c r="B120" s="201"/>
      <c r="C120" s="329" t="s">
        <v>877</v>
      </c>
      <c r="D120" s="211"/>
      <c r="E120" s="213"/>
      <c r="F120" s="212"/>
      <c r="G120" s="212"/>
      <c r="H120" s="212"/>
      <c r="I120" s="330"/>
    </row>
    <row r="121" spans="1:9" ht="15">
      <c r="A121" s="206"/>
      <c r="B121" s="201"/>
      <c r="C121" s="295" t="s">
        <v>957</v>
      </c>
      <c r="D121" s="324" t="s">
        <v>955</v>
      </c>
      <c r="E121" s="220" t="s">
        <v>958</v>
      </c>
      <c r="F121" s="207"/>
      <c r="G121" s="207">
        <v>1.3</v>
      </c>
      <c r="H121" s="207">
        <f>G121</f>
        <v>1.3</v>
      </c>
      <c r="I121" s="310"/>
    </row>
    <row r="122" spans="1:9" ht="15.75" thickBot="1">
      <c r="B122" s="195"/>
      <c r="C122" s="303"/>
      <c r="D122" s="326" t="s">
        <v>956</v>
      </c>
      <c r="E122" s="327" t="s">
        <v>959</v>
      </c>
      <c r="F122" s="326"/>
      <c r="G122" s="326">
        <v>9.02</v>
      </c>
      <c r="H122" s="326"/>
      <c r="I122" s="331" t="s">
        <v>960</v>
      </c>
    </row>
    <row r="123" spans="1:9" ht="15">
      <c r="B123" s="195"/>
      <c r="C123" s="303" t="s">
        <v>961</v>
      </c>
      <c r="D123" s="324" t="s">
        <v>955</v>
      </c>
      <c r="E123" s="220" t="s">
        <v>962</v>
      </c>
      <c r="F123" s="207"/>
      <c r="G123" s="239">
        <f>G121/G134</f>
        <v>0.35135135135135137</v>
      </c>
      <c r="H123" s="239">
        <f>G121/IF([7]Results!E138="",IF([7]Results!E134="",G134,[7]Results!E134),[7]Results!E138)</f>
        <v>0.35135135135135137</v>
      </c>
      <c r="I123" s="207" t="s">
        <v>963</v>
      </c>
    </row>
    <row r="124" spans="1:9" ht="13.9" customHeight="1">
      <c r="B124" s="195"/>
      <c r="C124" s="332"/>
      <c r="D124" s="333" t="s">
        <v>956</v>
      </c>
      <c r="E124" s="334" t="s">
        <v>964</v>
      </c>
      <c r="F124" s="334"/>
      <c r="G124" s="335">
        <f>G122/G136</f>
        <v>1.9191489361702125</v>
      </c>
      <c r="H124" s="335"/>
      <c r="I124" s="334"/>
    </row>
    <row r="125" spans="1:9" ht="13.9" customHeight="1" thickBot="1">
      <c r="B125" s="195"/>
      <c r="C125" s="293" t="s">
        <v>965</v>
      </c>
      <c r="D125" s="336"/>
      <c r="E125" s="336"/>
      <c r="F125" s="336"/>
      <c r="G125" s="336"/>
      <c r="H125" s="336"/>
      <c r="I125" s="337"/>
    </row>
    <row r="126" spans="1:9" ht="13.9" customHeight="1">
      <c r="B126" s="195"/>
      <c r="C126" s="303" t="s">
        <v>966</v>
      </c>
      <c r="D126" s="324" t="s">
        <v>955</v>
      </c>
      <c r="E126" s="220" t="s">
        <v>941</v>
      </c>
      <c r="F126" s="207"/>
      <c r="G126" s="207">
        <v>30</v>
      </c>
      <c r="H126" s="207">
        <f>G126</f>
        <v>30</v>
      </c>
      <c r="I126" s="310"/>
    </row>
    <row r="127" spans="1:9" ht="13.9" customHeight="1">
      <c r="B127" s="195"/>
      <c r="C127" s="303"/>
      <c r="D127" s="338" t="s">
        <v>967</v>
      </c>
      <c r="E127" s="327" t="s">
        <v>941</v>
      </c>
      <c r="F127" s="326"/>
      <c r="G127" s="326">
        <v>45</v>
      </c>
      <c r="H127" s="326"/>
      <c r="I127" s="331" t="s">
        <v>968</v>
      </c>
    </row>
    <row r="128" spans="1:9" ht="13.9" customHeight="1">
      <c r="B128" s="195"/>
      <c r="C128" s="303"/>
      <c r="D128" s="338" t="s">
        <v>956</v>
      </c>
      <c r="E128" s="327" t="s">
        <v>941</v>
      </c>
      <c r="F128" s="326"/>
      <c r="G128" s="326">
        <v>39</v>
      </c>
      <c r="H128" s="326"/>
      <c r="I128" s="331"/>
    </row>
    <row r="129" spans="2:9" ht="13.9" customHeight="1" thickBot="1">
      <c r="B129" s="195"/>
      <c r="C129" s="339"/>
      <c r="D129" s="340" t="s">
        <v>934</v>
      </c>
      <c r="E129" s="340" t="s">
        <v>941</v>
      </c>
      <c r="F129" s="340">
        <v>14</v>
      </c>
      <c r="G129" s="340">
        <v>50</v>
      </c>
      <c r="H129" s="340"/>
      <c r="I129" s="341" t="s">
        <v>969</v>
      </c>
    </row>
    <row r="130" spans="2:9" ht="13.9" customHeight="1">
      <c r="B130" s="195"/>
      <c r="C130" s="303" t="s">
        <v>970</v>
      </c>
      <c r="D130" s="324" t="s">
        <v>955</v>
      </c>
      <c r="E130" s="220" t="s">
        <v>941</v>
      </c>
      <c r="F130" s="207"/>
      <c r="G130" s="207">
        <v>85</v>
      </c>
      <c r="H130" s="207">
        <f>G130</f>
        <v>85</v>
      </c>
      <c r="I130" s="310"/>
    </row>
    <row r="131" spans="2:9" ht="13.9" customHeight="1">
      <c r="B131" s="195"/>
      <c r="C131" s="294"/>
      <c r="D131" s="338" t="s">
        <v>967</v>
      </c>
      <c r="E131" s="327" t="s">
        <v>941</v>
      </c>
      <c r="F131" s="327"/>
      <c r="G131" s="326">
        <v>90</v>
      </c>
      <c r="H131" s="326"/>
      <c r="I131" s="331"/>
    </row>
    <row r="132" spans="2:9" ht="13.9" customHeight="1">
      <c r="B132" s="195"/>
      <c r="C132" s="294"/>
      <c r="D132" s="333" t="s">
        <v>956</v>
      </c>
      <c r="E132" s="327" t="s">
        <v>941</v>
      </c>
      <c r="F132" s="327"/>
      <c r="G132" s="326">
        <v>83</v>
      </c>
      <c r="H132" s="326"/>
      <c r="I132" s="331"/>
    </row>
    <row r="133" spans="2:9" ht="15.75" thickBot="1">
      <c r="B133" s="195"/>
      <c r="C133" s="342"/>
      <c r="D133" s="334" t="s">
        <v>971</v>
      </c>
      <c r="E133" s="340" t="s">
        <v>941</v>
      </c>
      <c r="F133" s="334">
        <v>65</v>
      </c>
      <c r="G133" s="334">
        <v>110</v>
      </c>
      <c r="H133" s="334"/>
      <c r="I133" s="341" t="s">
        <v>972</v>
      </c>
    </row>
    <row r="134" spans="2:9" ht="13.5">
      <c r="B134" s="195"/>
      <c r="C134" s="303" t="s">
        <v>973</v>
      </c>
      <c r="D134" s="324" t="s">
        <v>955</v>
      </c>
      <c r="E134" s="222" t="s">
        <v>580</v>
      </c>
      <c r="F134" s="222"/>
      <c r="G134" s="207">
        <v>3.7</v>
      </c>
      <c r="H134" s="207">
        <f>G134</f>
        <v>3.7</v>
      </c>
      <c r="I134" s="343" t="s">
        <v>974</v>
      </c>
    </row>
    <row r="135" spans="2:9" ht="13.5">
      <c r="B135" s="195"/>
      <c r="C135" s="294"/>
      <c r="D135" s="326" t="s">
        <v>967</v>
      </c>
      <c r="E135" s="326" t="s">
        <v>580</v>
      </c>
      <c r="F135" s="326"/>
      <c r="G135" s="326">
        <v>4</v>
      </c>
      <c r="H135" s="326"/>
      <c r="I135" s="331"/>
    </row>
    <row r="136" spans="2:9" ht="13.5">
      <c r="B136" s="195"/>
      <c r="C136" s="294"/>
      <c r="D136" s="326" t="s">
        <v>975</v>
      </c>
      <c r="E136" s="326" t="s">
        <v>580</v>
      </c>
      <c r="F136" s="326"/>
      <c r="G136" s="326">
        <v>4.7</v>
      </c>
      <c r="H136" s="326"/>
      <c r="I136" s="331"/>
    </row>
    <row r="137" spans="2:9" ht="13.5">
      <c r="B137" s="195"/>
      <c r="C137" s="294"/>
      <c r="D137" s="326" t="s">
        <v>976</v>
      </c>
      <c r="E137" s="326" t="s">
        <v>580</v>
      </c>
      <c r="F137" s="326">
        <v>2.4</v>
      </c>
      <c r="G137" s="326">
        <v>7</v>
      </c>
      <c r="H137" s="326"/>
      <c r="I137" s="331" t="s">
        <v>977</v>
      </c>
    </row>
    <row r="138" spans="2:9" ht="13.5">
      <c r="B138" s="195"/>
      <c r="C138" s="342"/>
      <c r="D138" s="334" t="s">
        <v>978</v>
      </c>
      <c r="E138" s="334"/>
      <c r="F138" s="334">
        <v>2.4</v>
      </c>
      <c r="G138" s="334">
        <v>5.3</v>
      </c>
      <c r="H138" s="334"/>
      <c r="I138" s="344"/>
    </row>
    <row r="139" spans="2:9" ht="13.5">
      <c r="B139" s="195"/>
      <c r="C139" s="221"/>
      <c r="D139" s="222"/>
      <c r="E139" s="222"/>
      <c r="F139" s="222"/>
      <c r="G139" s="207"/>
      <c r="H139" s="207"/>
      <c r="I139" s="310"/>
    </row>
    <row r="140" spans="2:9" ht="14.25" thickBot="1">
      <c r="B140" s="195"/>
      <c r="C140" s="293" t="s">
        <v>883</v>
      </c>
      <c r="D140" s="211"/>
      <c r="E140" s="212"/>
      <c r="F140" s="211"/>
      <c r="G140" s="212"/>
      <c r="H140" s="212"/>
      <c r="I140" s="330"/>
    </row>
    <row r="141" spans="2:9" ht="13.5">
      <c r="B141" s="195"/>
      <c r="C141" s="345" t="s">
        <v>912</v>
      </c>
      <c r="D141" s="294"/>
      <c r="E141" s="207" t="s">
        <v>885</v>
      </c>
      <c r="F141" s="294"/>
      <c r="G141" s="238">
        <f>[7]Results!$G$25</f>
        <v>6000</v>
      </c>
      <c r="H141" s="238"/>
      <c r="I141" s="310"/>
    </row>
    <row r="142" spans="2:9" ht="15">
      <c r="B142" s="195"/>
      <c r="C142" s="299" t="s">
        <v>944</v>
      </c>
      <c r="D142" s="220"/>
      <c r="E142" s="220"/>
      <c r="F142" s="220"/>
      <c r="G142" s="220"/>
      <c r="H142" s="220"/>
      <c r="I142" s="310"/>
    </row>
    <row r="143" spans="2:9" ht="15">
      <c r="B143" s="195"/>
      <c r="C143" s="311" t="s">
        <v>979</v>
      </c>
      <c r="D143" s="207" t="s">
        <v>980</v>
      </c>
      <c r="E143" s="220" t="s">
        <v>981</v>
      </c>
      <c r="F143" s="312">
        <v>0.97</v>
      </c>
      <c r="G143" s="207">
        <v>1.3</v>
      </c>
      <c r="H143" s="207"/>
      <c r="I143" s="310"/>
    </row>
    <row r="144" spans="2:9" ht="15">
      <c r="B144" s="195"/>
      <c r="C144" s="311" t="s">
        <v>982</v>
      </c>
      <c r="D144" s="207" t="s">
        <v>980</v>
      </c>
      <c r="E144" s="220" t="s">
        <v>981</v>
      </c>
      <c r="F144" s="312">
        <v>0.72</v>
      </c>
      <c r="G144" s="207">
        <v>0.97</v>
      </c>
      <c r="H144" s="207"/>
      <c r="I144" s="310"/>
    </row>
    <row r="145" spans="2:9" ht="15">
      <c r="B145" s="195"/>
      <c r="C145" s="311" t="s">
        <v>983</v>
      </c>
      <c r="D145" s="207" t="s">
        <v>980</v>
      </c>
      <c r="E145" s="220" t="s">
        <v>981</v>
      </c>
      <c r="F145" s="312">
        <v>0.67</v>
      </c>
      <c r="G145" s="207">
        <v>0.72</v>
      </c>
      <c r="H145" s="240">
        <f>AVERAGE(F145:G145)</f>
        <v>0.69500000000000006</v>
      </c>
      <c r="I145" s="310" t="s">
        <v>984</v>
      </c>
    </row>
    <row r="146" spans="2:9" ht="15">
      <c r="B146" s="195"/>
      <c r="C146" s="311" t="s">
        <v>985</v>
      </c>
      <c r="D146" s="207" t="s">
        <v>986</v>
      </c>
      <c r="E146" s="220" t="s">
        <v>987</v>
      </c>
      <c r="F146" s="312">
        <v>450</v>
      </c>
      <c r="G146" s="207">
        <v>750</v>
      </c>
      <c r="H146" s="207"/>
      <c r="I146" s="310" t="s">
        <v>988</v>
      </c>
    </row>
    <row r="147" spans="2:9" ht="15">
      <c r="B147" s="195"/>
      <c r="C147" s="311" t="s">
        <v>989</v>
      </c>
      <c r="D147" s="207" t="s">
        <v>986</v>
      </c>
      <c r="E147" s="220" t="s">
        <v>987</v>
      </c>
      <c r="F147" s="312">
        <v>250</v>
      </c>
      <c r="G147" s="207">
        <v>400</v>
      </c>
      <c r="H147" s="207"/>
      <c r="I147" s="310" t="s">
        <v>988</v>
      </c>
    </row>
    <row r="148" spans="2:9" ht="15">
      <c r="B148" s="195"/>
      <c r="C148" s="311" t="s">
        <v>946</v>
      </c>
      <c r="D148" s="207"/>
      <c r="E148" s="220"/>
      <c r="F148" s="312"/>
      <c r="G148" s="207"/>
      <c r="H148" s="221">
        <v>1.5</v>
      </c>
      <c r="I148" s="310" t="s">
        <v>990</v>
      </c>
    </row>
    <row r="149" spans="2:9" ht="15">
      <c r="B149" s="195"/>
      <c r="C149" s="311" t="s">
        <v>948</v>
      </c>
      <c r="D149" s="207"/>
      <c r="E149" s="220"/>
      <c r="F149" s="312"/>
      <c r="G149" s="207"/>
      <c r="H149" s="240">
        <f>H145*H148</f>
        <v>1.0425</v>
      </c>
      <c r="I149" s="310" t="s">
        <v>991</v>
      </c>
    </row>
    <row r="150" spans="2:9" ht="15">
      <c r="B150" s="195"/>
      <c r="C150" s="339" t="s">
        <v>992</v>
      </c>
      <c r="D150" s="346"/>
      <c r="E150" s="340"/>
      <c r="F150" s="346"/>
      <c r="G150" s="347"/>
      <c r="H150" s="347"/>
      <c r="I150" s="348"/>
    </row>
    <row r="151" spans="2:9" ht="15">
      <c r="B151" s="195"/>
      <c r="C151" s="304" t="s">
        <v>993</v>
      </c>
      <c r="D151" s="207" t="s">
        <v>980</v>
      </c>
      <c r="E151" s="220" t="s">
        <v>138</v>
      </c>
      <c r="F151" s="227"/>
      <c r="G151" s="207">
        <v>50</v>
      </c>
      <c r="H151" s="207"/>
      <c r="I151" s="310"/>
    </row>
    <row r="152" spans="2:9" ht="15">
      <c r="B152" s="195"/>
      <c r="C152" s="304" t="s">
        <v>994</v>
      </c>
      <c r="D152" s="207" t="s">
        <v>980</v>
      </c>
      <c r="E152" s="220" t="s">
        <v>138</v>
      </c>
      <c r="F152" s="227"/>
      <c r="G152" s="207">
        <v>20</v>
      </c>
      <c r="H152" s="207"/>
      <c r="I152" s="310" t="s">
        <v>995</v>
      </c>
    </row>
    <row r="153" spans="2:9" ht="15">
      <c r="B153" s="195"/>
      <c r="C153" s="304" t="s">
        <v>996</v>
      </c>
      <c r="D153" s="207" t="s">
        <v>980</v>
      </c>
      <c r="E153" s="220" t="s">
        <v>138</v>
      </c>
      <c r="F153" s="227"/>
      <c r="G153" s="207">
        <v>10</v>
      </c>
      <c r="H153" s="207"/>
      <c r="I153" s="310"/>
    </row>
    <row r="154" spans="2:9" ht="15">
      <c r="B154" s="195"/>
      <c r="C154" s="304" t="s">
        <v>997</v>
      </c>
      <c r="D154" s="207" t="s">
        <v>980</v>
      </c>
      <c r="E154" s="220" t="s">
        <v>138</v>
      </c>
      <c r="F154" s="227"/>
      <c r="G154" s="207">
        <v>12</v>
      </c>
      <c r="H154" s="207"/>
      <c r="I154" s="310" t="s">
        <v>998</v>
      </c>
    </row>
    <row r="155" spans="2:9" ht="15">
      <c r="B155" s="195"/>
      <c r="C155" s="320" t="s">
        <v>999</v>
      </c>
      <c r="D155" s="349" t="s">
        <v>980</v>
      </c>
      <c r="E155" s="350" t="s">
        <v>138</v>
      </c>
      <c r="F155" s="228"/>
      <c r="G155" s="349">
        <v>8</v>
      </c>
      <c r="H155" s="349"/>
      <c r="I155" s="348"/>
    </row>
    <row r="156" spans="2:9" ht="13.5">
      <c r="B156" s="195"/>
      <c r="C156" s="299" t="s">
        <v>891</v>
      </c>
      <c r="D156" s="207"/>
      <c r="E156" s="207"/>
      <c r="F156" s="207"/>
      <c r="G156" s="227"/>
      <c r="H156" s="227"/>
      <c r="I156" s="310"/>
    </row>
    <row r="157" spans="2:9" ht="13.5">
      <c r="B157" s="195"/>
      <c r="C157" s="304" t="s">
        <v>892</v>
      </c>
      <c r="D157" s="207" t="s">
        <v>986</v>
      </c>
      <c r="E157" s="207" t="s">
        <v>1000</v>
      </c>
      <c r="F157" s="207">
        <v>1.5</v>
      </c>
      <c r="G157" s="312">
        <v>2.5</v>
      </c>
      <c r="H157" s="312"/>
      <c r="I157" s="310" t="s">
        <v>1001</v>
      </c>
    </row>
    <row r="158" spans="2:9" ht="13.5">
      <c r="B158" s="195"/>
      <c r="C158" s="320"/>
      <c r="D158" s="349" t="s">
        <v>1002</v>
      </c>
      <c r="E158" s="349" t="s">
        <v>898</v>
      </c>
      <c r="F158" s="351">
        <f>F157/100*F145*10^6/'[7]Heat Pumps'!$G$36</f>
        <v>1.675</v>
      </c>
      <c r="G158" s="352">
        <f>G157/100*G145*10^6/'[7]Heat Pumps'!$G$36</f>
        <v>3</v>
      </c>
      <c r="H158" s="353">
        <f>AVERAGE(F158:G158)</f>
        <v>2.3374999999999999</v>
      </c>
      <c r="I158" s="310" t="s">
        <v>1003</v>
      </c>
    </row>
    <row r="159" spans="2:9">
      <c r="B159" s="195"/>
      <c r="C159" s="354"/>
      <c r="D159" s="355"/>
      <c r="E159" s="287"/>
      <c r="F159" s="356"/>
      <c r="G159" s="357"/>
      <c r="H159" s="357"/>
      <c r="I159" s="287"/>
    </row>
    <row r="160" spans="2:9">
      <c r="B160" s="195"/>
      <c r="C160" s="267"/>
      <c r="D160" s="265"/>
      <c r="E160" s="246"/>
      <c r="F160" s="269"/>
      <c r="G160" s="254"/>
      <c r="H160" s="254"/>
      <c r="I160" s="246"/>
    </row>
    <row r="161" spans="2:9" ht="15">
      <c r="B161" s="195"/>
      <c r="C161" s="277"/>
      <c r="D161" s="278"/>
      <c r="E161" s="278"/>
      <c r="F161" s="278"/>
      <c r="G161" s="220"/>
      <c r="H161" s="220"/>
      <c r="I161" s="278"/>
    </row>
    <row r="162" spans="2:9" ht="18">
      <c r="B162" s="195"/>
      <c r="C162" s="358" t="s">
        <v>1004</v>
      </c>
      <c r="D162" s="279"/>
      <c r="E162" s="246"/>
      <c r="F162" s="279"/>
      <c r="G162" s="327"/>
      <c r="H162" s="327"/>
      <c r="I162" s="246"/>
    </row>
    <row r="163" spans="2:9" ht="15">
      <c r="B163" s="195"/>
      <c r="C163" s="267"/>
      <c r="D163" s="279"/>
      <c r="E163" s="246"/>
      <c r="F163" s="279"/>
      <c r="G163" s="220"/>
      <c r="H163" s="220"/>
      <c r="I163" s="246"/>
    </row>
    <row r="164" spans="2:9" ht="15">
      <c r="B164" s="195"/>
      <c r="C164" s="267"/>
      <c r="D164" s="246"/>
      <c r="E164" s="280"/>
      <c r="F164" s="246"/>
      <c r="G164" s="220"/>
      <c r="H164" s="220"/>
      <c r="I164" s="246"/>
    </row>
    <row r="165" spans="2:9">
      <c r="B165" s="195"/>
      <c r="C165" s="282"/>
      <c r="D165" s="203" t="s">
        <v>166</v>
      </c>
      <c r="E165" s="202" t="s">
        <v>29</v>
      </c>
      <c r="F165" s="202" t="s">
        <v>926</v>
      </c>
      <c r="G165" s="202" t="s">
        <v>927</v>
      </c>
      <c r="H165" s="202" t="s">
        <v>928</v>
      </c>
      <c r="I165" s="205" t="s">
        <v>929</v>
      </c>
    </row>
    <row r="166" spans="2:9" ht="15">
      <c r="B166" s="195"/>
      <c r="C166" s="235"/>
      <c r="D166" s="246"/>
      <c r="E166" s="280"/>
      <c r="F166" s="246"/>
      <c r="G166" s="220"/>
      <c r="H166" s="220"/>
      <c r="I166" s="246"/>
    </row>
    <row r="167" spans="2:9" ht="15.75" thickBot="1">
      <c r="B167" s="195"/>
      <c r="C167" s="293" t="s">
        <v>873</v>
      </c>
      <c r="D167" s="211"/>
      <c r="E167" s="212"/>
      <c r="F167" s="212"/>
      <c r="G167" s="213"/>
      <c r="H167" s="213"/>
      <c r="I167" s="213"/>
    </row>
    <row r="168" spans="2:9">
      <c r="B168" s="195"/>
      <c r="C168" s="295" t="s">
        <v>930</v>
      </c>
      <c r="D168" s="359" t="s">
        <v>887</v>
      </c>
      <c r="E168" s="246" t="s">
        <v>932</v>
      </c>
      <c r="F168" s="360"/>
      <c r="G168" s="263">
        <f>H176/+G172</f>
        <v>0.44843049327354262</v>
      </c>
      <c r="H168" s="264">
        <f>G168</f>
        <v>0.44843049327354262</v>
      </c>
      <c r="I168" s="246"/>
    </row>
    <row r="169" spans="2:9">
      <c r="B169" s="195"/>
      <c r="C169" s="207"/>
      <c r="D169" s="247" t="s">
        <v>1005</v>
      </c>
      <c r="E169" s="247" t="s">
        <v>1006</v>
      </c>
      <c r="F169" s="361"/>
      <c r="G169" s="362">
        <f>1050/3.6/1000</f>
        <v>0.29166666666666669</v>
      </c>
      <c r="H169" s="362"/>
      <c r="I169" s="247" t="s">
        <v>1007</v>
      </c>
    </row>
    <row r="170" spans="2:9">
      <c r="B170" s="195"/>
      <c r="C170" s="207"/>
      <c r="D170" s="247"/>
      <c r="E170" s="247"/>
      <c r="F170" s="361"/>
      <c r="G170" s="362"/>
      <c r="H170" s="362"/>
      <c r="I170" s="247"/>
    </row>
    <row r="171" spans="2:9" ht="13.5" thickBot="1">
      <c r="B171" s="195"/>
      <c r="C171" s="329" t="s">
        <v>877</v>
      </c>
      <c r="D171" s="258"/>
      <c r="E171" s="259"/>
      <c r="F171" s="259"/>
      <c r="G171" s="259"/>
      <c r="H171" s="259"/>
      <c r="I171" s="259"/>
    </row>
    <row r="172" spans="2:9">
      <c r="B172" s="195"/>
      <c r="C172" s="295" t="s">
        <v>957</v>
      </c>
      <c r="D172" s="244" t="s">
        <v>887</v>
      </c>
      <c r="E172" s="244" t="s">
        <v>880</v>
      </c>
      <c r="F172" s="244"/>
      <c r="G172" s="363">
        <v>6.7</v>
      </c>
      <c r="H172" s="364">
        <f>G172</f>
        <v>6.7</v>
      </c>
      <c r="I172" s="244"/>
    </row>
    <row r="173" spans="2:9">
      <c r="B173" s="195"/>
      <c r="C173" s="303"/>
      <c r="D173" s="247" t="s">
        <v>1005</v>
      </c>
      <c r="E173" s="247" t="s">
        <v>880</v>
      </c>
      <c r="F173" s="247"/>
      <c r="G173" s="247">
        <v>2.7300000000000004</v>
      </c>
      <c r="H173" s="247"/>
      <c r="I173" s="246"/>
    </row>
    <row r="174" spans="2:9">
      <c r="B174" s="195"/>
      <c r="C174" s="303"/>
      <c r="D174" s="247" t="s">
        <v>1008</v>
      </c>
      <c r="E174" s="247" t="s">
        <v>880</v>
      </c>
      <c r="F174" s="247">
        <v>1</v>
      </c>
      <c r="G174" s="247">
        <v>2</v>
      </c>
      <c r="H174" s="247"/>
      <c r="I174" s="247"/>
    </row>
    <row r="175" spans="2:9">
      <c r="B175" s="195"/>
      <c r="C175" s="339"/>
      <c r="D175" s="365" t="s">
        <v>986</v>
      </c>
      <c r="E175" s="365" t="s">
        <v>880</v>
      </c>
      <c r="F175" s="365">
        <v>0.1</v>
      </c>
      <c r="G175" s="247">
        <v>10</v>
      </c>
      <c r="H175" s="365"/>
      <c r="I175" s="365" t="s">
        <v>1009</v>
      </c>
    </row>
    <row r="176" spans="2:9">
      <c r="B176" s="195"/>
      <c r="C176" s="303" t="s">
        <v>961</v>
      </c>
      <c r="D176" s="366" t="s">
        <v>887</v>
      </c>
      <c r="E176" s="287" t="s">
        <v>1010</v>
      </c>
      <c r="F176" s="287"/>
      <c r="G176" s="367">
        <f>G172/G189</f>
        <v>3.0044843049327357</v>
      </c>
      <c r="H176" s="368">
        <f>G172/IF([7]Results!J138="",IF([7]Results!J134="",G189,[7]Results!J134),[7]Results!J138)</f>
        <v>3.0044843049327357</v>
      </c>
      <c r="I176" s="287"/>
    </row>
    <row r="177" spans="2:9">
      <c r="B177" s="195"/>
      <c r="C177" s="339"/>
      <c r="D177" s="365" t="s">
        <v>1005</v>
      </c>
      <c r="E177" s="365" t="s">
        <v>1010</v>
      </c>
      <c r="F177" s="365"/>
      <c r="G177" s="365">
        <v>1.05</v>
      </c>
      <c r="H177" s="365"/>
      <c r="I177" s="365" t="s">
        <v>963</v>
      </c>
    </row>
    <row r="178" spans="2:9" ht="13.5" thickBot="1">
      <c r="B178" s="195"/>
      <c r="C178" s="293" t="s">
        <v>965</v>
      </c>
      <c r="D178" s="258"/>
      <c r="E178" s="259"/>
      <c r="F178" s="259"/>
      <c r="G178" s="259"/>
      <c r="H178" s="259"/>
      <c r="I178" s="259"/>
    </row>
    <row r="179" spans="2:9">
      <c r="B179" s="195"/>
      <c r="C179" s="303" t="s">
        <v>966</v>
      </c>
      <c r="D179" s="247" t="s">
        <v>1005</v>
      </c>
      <c r="E179" s="247" t="s">
        <v>941</v>
      </c>
      <c r="F179" s="247"/>
      <c r="G179" s="247">
        <v>80</v>
      </c>
      <c r="H179" s="247"/>
      <c r="I179" s="247" t="s">
        <v>1011</v>
      </c>
    </row>
    <row r="180" spans="2:9">
      <c r="B180" s="195"/>
      <c r="C180" s="303"/>
      <c r="D180" s="279" t="s">
        <v>887</v>
      </c>
      <c r="E180" s="246" t="s">
        <v>941</v>
      </c>
      <c r="F180" s="246"/>
      <c r="G180" s="246">
        <v>50</v>
      </c>
      <c r="H180" s="248">
        <f>G180</f>
        <v>50</v>
      </c>
      <c r="I180" s="246"/>
    </row>
    <row r="181" spans="2:9">
      <c r="B181" s="195"/>
      <c r="C181" s="303"/>
      <c r="D181" s="369" t="s">
        <v>1012</v>
      </c>
      <c r="E181" s="247" t="s">
        <v>941</v>
      </c>
      <c r="F181" s="247">
        <v>60</v>
      </c>
      <c r="G181" s="247">
        <v>90</v>
      </c>
      <c r="H181" s="370"/>
      <c r="I181" s="247"/>
    </row>
    <row r="182" spans="2:9">
      <c r="B182" s="195"/>
      <c r="C182" s="371" t="s">
        <v>970</v>
      </c>
      <c r="D182" s="366" t="s">
        <v>887</v>
      </c>
      <c r="E182" s="287" t="s">
        <v>941</v>
      </c>
      <c r="F182" s="287"/>
      <c r="G182" s="287">
        <v>180</v>
      </c>
      <c r="H182" s="372">
        <f>G182</f>
        <v>180</v>
      </c>
      <c r="I182" s="287" t="s">
        <v>1013</v>
      </c>
    </row>
    <row r="183" spans="2:9">
      <c r="B183" s="195"/>
      <c r="C183" s="303"/>
      <c r="D183" s="369" t="s">
        <v>1005</v>
      </c>
      <c r="E183" s="247" t="s">
        <v>941</v>
      </c>
      <c r="F183" s="247"/>
      <c r="G183" s="247">
        <v>168</v>
      </c>
      <c r="H183" s="370"/>
      <c r="I183" s="247" t="s">
        <v>1013</v>
      </c>
    </row>
    <row r="184" spans="2:9">
      <c r="B184" s="195"/>
      <c r="C184" s="339"/>
      <c r="D184" s="373" t="s">
        <v>1012</v>
      </c>
      <c r="E184" s="365" t="s">
        <v>941</v>
      </c>
      <c r="F184" s="365"/>
      <c r="G184" s="365">
        <v>150</v>
      </c>
      <c r="H184" s="374"/>
      <c r="I184" s="365" t="s">
        <v>1013</v>
      </c>
    </row>
    <row r="185" spans="2:9">
      <c r="B185" s="195"/>
      <c r="C185" s="371" t="s">
        <v>1014</v>
      </c>
      <c r="D185" s="287" t="s">
        <v>887</v>
      </c>
      <c r="E185" s="287" t="s">
        <v>937</v>
      </c>
      <c r="F185" s="287"/>
      <c r="G185" s="287">
        <v>4</v>
      </c>
      <c r="H185" s="372">
        <f>G185</f>
        <v>4</v>
      </c>
      <c r="I185" s="287"/>
    </row>
    <row r="186" spans="2:9">
      <c r="B186" s="195"/>
      <c r="C186" s="303"/>
      <c r="D186" s="247" t="s">
        <v>1005</v>
      </c>
      <c r="E186" s="247" t="s">
        <v>937</v>
      </c>
      <c r="F186" s="247"/>
      <c r="G186" s="247">
        <v>6</v>
      </c>
      <c r="H186" s="370"/>
      <c r="I186" s="246"/>
    </row>
    <row r="187" spans="2:9">
      <c r="B187" s="195"/>
      <c r="C187" s="342"/>
      <c r="D187" s="365" t="s">
        <v>1012</v>
      </c>
      <c r="E187" s="365" t="s">
        <v>937</v>
      </c>
      <c r="F187" s="365">
        <v>2</v>
      </c>
      <c r="G187" s="365">
        <v>5</v>
      </c>
      <c r="H187" s="374"/>
      <c r="I187" s="365"/>
    </row>
    <row r="188" spans="2:9">
      <c r="B188" s="195"/>
      <c r="C188" s="303" t="s">
        <v>973</v>
      </c>
      <c r="D188" s="247" t="s">
        <v>1005</v>
      </c>
      <c r="E188" s="247"/>
      <c r="F188" s="247"/>
      <c r="G188" s="247">
        <v>2.6</v>
      </c>
      <c r="H188" s="370"/>
      <c r="I188" s="247" t="s">
        <v>1015</v>
      </c>
    </row>
    <row r="189" spans="2:9">
      <c r="B189" s="195"/>
      <c r="C189" s="303"/>
      <c r="D189" s="265" t="s">
        <v>887</v>
      </c>
      <c r="E189" s="265"/>
      <c r="F189" s="265"/>
      <c r="G189" s="375">
        <v>2.23</v>
      </c>
      <c r="H189" s="376">
        <f>G189</f>
        <v>2.23</v>
      </c>
      <c r="I189" s="246"/>
    </row>
    <row r="190" spans="2:9">
      <c r="B190" s="195"/>
      <c r="C190" s="377" t="s">
        <v>1016</v>
      </c>
      <c r="D190" s="247" t="s">
        <v>1005</v>
      </c>
      <c r="E190" s="247"/>
      <c r="F190" s="247">
        <v>2</v>
      </c>
      <c r="G190" s="247">
        <v>4</v>
      </c>
      <c r="H190" s="370"/>
      <c r="I190" s="247" t="s">
        <v>1017</v>
      </c>
    </row>
    <row r="191" spans="2:9">
      <c r="B191" s="195"/>
      <c r="C191" s="378" t="s">
        <v>1018</v>
      </c>
      <c r="D191" s="247" t="s">
        <v>1005</v>
      </c>
      <c r="E191" s="247"/>
      <c r="F191" s="247"/>
      <c r="G191" s="247">
        <v>3.86</v>
      </c>
      <c r="H191" s="247"/>
      <c r="I191" s="247" t="s">
        <v>1019</v>
      </c>
    </row>
    <row r="192" spans="2:9">
      <c r="B192" s="195"/>
      <c r="C192" s="339"/>
      <c r="D192" s="379"/>
      <c r="E192" s="379"/>
      <c r="F192" s="379"/>
      <c r="G192" s="250"/>
      <c r="H192" s="250"/>
      <c r="I192" s="250"/>
    </row>
    <row r="193" spans="2:9">
      <c r="B193" s="195"/>
      <c r="C193" s="345"/>
      <c r="D193" s="246"/>
      <c r="E193" s="246"/>
      <c r="F193" s="246"/>
      <c r="G193" s="246"/>
      <c r="H193" s="246"/>
      <c r="I193" s="246"/>
    </row>
    <row r="194" spans="2:9" ht="13.5" thickBot="1">
      <c r="B194" s="195"/>
      <c r="C194" s="224" t="s">
        <v>883</v>
      </c>
      <c r="D194" s="258"/>
      <c r="E194" s="259"/>
      <c r="F194" s="258"/>
      <c r="G194" s="259"/>
      <c r="H194" s="259"/>
      <c r="I194" s="259"/>
    </row>
    <row r="195" spans="2:9">
      <c r="B195" s="195"/>
      <c r="C195" s="345" t="s">
        <v>912</v>
      </c>
      <c r="D195" s="279"/>
      <c r="E195" s="246" t="s">
        <v>885</v>
      </c>
      <c r="F195" s="279"/>
      <c r="G195" s="316">
        <f>[7]Results!$G$25</f>
        <v>6000</v>
      </c>
      <c r="H195" s="316"/>
      <c r="I195" s="246"/>
    </row>
    <row r="196" spans="2:9">
      <c r="B196" s="195"/>
      <c r="C196" s="267" t="s">
        <v>944</v>
      </c>
      <c r="D196" s="246" t="s">
        <v>887</v>
      </c>
      <c r="E196" s="301" t="s">
        <v>1020</v>
      </c>
      <c r="F196" s="246"/>
      <c r="G196" s="380">
        <v>5.8</v>
      </c>
      <c r="H196" s="380"/>
      <c r="I196" s="381" t="s">
        <v>1021</v>
      </c>
    </row>
    <row r="197" spans="2:9" ht="13.5">
      <c r="B197" s="195"/>
      <c r="C197" s="267"/>
      <c r="D197" s="246"/>
      <c r="E197" s="301" t="s">
        <v>1022</v>
      </c>
      <c r="F197" s="246"/>
      <c r="G197" s="382">
        <f>G196/G172</f>
        <v>0.86567164179104472</v>
      </c>
      <c r="H197" s="382">
        <f>G197</f>
        <v>0.86567164179104472</v>
      </c>
      <c r="I197" s="310" t="s">
        <v>1023</v>
      </c>
    </row>
    <row r="198" spans="2:9" ht="15">
      <c r="B198" s="195"/>
      <c r="C198" s="311" t="s">
        <v>946</v>
      </c>
      <c r="D198" s="207"/>
      <c r="E198" s="220"/>
      <c r="F198" s="312"/>
      <c r="G198" s="207"/>
      <c r="H198" s="221">
        <v>1.5</v>
      </c>
      <c r="I198" s="310" t="s">
        <v>1024</v>
      </c>
    </row>
    <row r="199" spans="2:9" ht="15">
      <c r="B199" s="195"/>
      <c r="C199" s="311" t="s">
        <v>948</v>
      </c>
      <c r="D199" s="207"/>
      <c r="E199" s="220"/>
      <c r="F199" s="312"/>
      <c r="G199" s="207"/>
      <c r="H199" s="240">
        <f>H197*H198</f>
        <v>1.2985074626865671</v>
      </c>
      <c r="I199" s="310" t="s">
        <v>949</v>
      </c>
    </row>
    <row r="200" spans="2:9">
      <c r="B200" s="195"/>
      <c r="C200" s="267"/>
      <c r="D200" s="247" t="s">
        <v>1008</v>
      </c>
      <c r="E200" s="383" t="s">
        <v>987</v>
      </c>
      <c r="F200" s="247"/>
      <c r="G200" s="384" t="s">
        <v>1025</v>
      </c>
      <c r="H200" s="384"/>
      <c r="I200" s="385" t="s">
        <v>1026</v>
      </c>
    </row>
    <row r="201" spans="2:9">
      <c r="B201" s="195"/>
      <c r="C201" s="286" t="s">
        <v>891</v>
      </c>
      <c r="D201" s="287"/>
      <c r="E201" s="246"/>
      <c r="F201" s="287"/>
      <c r="G201" s="246"/>
      <c r="H201" s="246"/>
      <c r="I201" s="246"/>
    </row>
    <row r="202" spans="2:9">
      <c r="B202" s="195"/>
      <c r="C202" s="235" t="s">
        <v>892</v>
      </c>
      <c r="D202" s="246"/>
      <c r="E202" s="246"/>
      <c r="F202" s="246"/>
      <c r="G202" s="246"/>
      <c r="H202" s="246"/>
      <c r="I202" s="246"/>
    </row>
    <row r="203" spans="2:9">
      <c r="B203" s="195"/>
      <c r="C203" s="285" t="s">
        <v>1027</v>
      </c>
      <c r="D203" s="246" t="s">
        <v>887</v>
      </c>
      <c r="E203" s="246" t="s">
        <v>888</v>
      </c>
      <c r="F203" s="246"/>
      <c r="G203" s="316">
        <v>90000</v>
      </c>
      <c r="H203" s="316"/>
      <c r="I203" s="246"/>
    </row>
    <row r="204" spans="2:9">
      <c r="B204" s="195"/>
      <c r="C204" s="285" t="s">
        <v>895</v>
      </c>
      <c r="D204" s="246" t="s">
        <v>887</v>
      </c>
      <c r="E204" s="246" t="s">
        <v>888</v>
      </c>
      <c r="F204" s="246"/>
      <c r="G204" s="316">
        <v>20000</v>
      </c>
      <c r="H204" s="316"/>
      <c r="I204" s="246"/>
    </row>
    <row r="205" spans="2:9">
      <c r="B205" s="195"/>
      <c r="C205" s="285"/>
      <c r="D205" s="246"/>
      <c r="E205" s="246" t="s">
        <v>898</v>
      </c>
      <c r="F205" s="246"/>
      <c r="G205" s="316"/>
      <c r="H205" s="309"/>
      <c r="I205" s="246"/>
    </row>
    <row r="206" spans="2:9">
      <c r="B206" s="195"/>
      <c r="C206" s="241"/>
      <c r="D206" s="241"/>
      <c r="E206" s="241"/>
      <c r="F206" s="241"/>
      <c r="G206" s="241"/>
      <c r="H206" s="241"/>
      <c r="I206" s="197"/>
    </row>
    <row r="207" spans="2:9">
      <c r="B207" s="195"/>
      <c r="C207" s="241"/>
      <c r="D207" s="241"/>
      <c r="E207" s="241"/>
      <c r="F207" s="241"/>
      <c r="G207" s="241"/>
      <c r="H207" s="241"/>
      <c r="I207" s="197"/>
    </row>
    <row r="208" spans="2:9">
      <c r="B208" s="195"/>
      <c r="C208" s="241"/>
      <c r="D208" s="241"/>
      <c r="E208" s="241"/>
      <c r="F208" s="241"/>
      <c r="G208" s="246"/>
      <c r="H208" s="246"/>
      <c r="I208" s="197"/>
    </row>
    <row r="209" spans="2:9">
      <c r="B209" s="195"/>
      <c r="C209" s="241"/>
      <c r="D209" s="241"/>
      <c r="E209" s="241"/>
      <c r="F209" s="241"/>
      <c r="G209" s="247"/>
      <c r="H209" s="247"/>
      <c r="I209" s="197"/>
    </row>
    <row r="210" spans="2:9">
      <c r="B210" s="195"/>
      <c r="C210" s="241"/>
      <c r="D210" s="241"/>
      <c r="E210" s="241"/>
      <c r="F210" s="241"/>
      <c r="G210" s="247"/>
      <c r="H210" s="247"/>
      <c r="I210" s="197"/>
    </row>
    <row r="211" spans="2:9">
      <c r="B211" s="195"/>
      <c r="C211" s="241"/>
      <c r="D211" s="241"/>
      <c r="E211" s="241"/>
      <c r="F211" s="241"/>
      <c r="G211" s="246"/>
      <c r="H211" s="246"/>
      <c r="I211" s="197"/>
    </row>
    <row r="212" spans="2:9">
      <c r="B212" s="195"/>
      <c r="C212" s="241"/>
      <c r="D212" s="241"/>
      <c r="E212" s="241"/>
      <c r="F212" s="241"/>
      <c r="G212" s="246"/>
      <c r="H212" s="246"/>
      <c r="I212" s="386"/>
    </row>
    <row r="213" spans="2:9">
      <c r="B213" s="195"/>
      <c r="C213" s="241"/>
      <c r="D213" s="241"/>
      <c r="E213" s="241"/>
      <c r="F213" s="241"/>
      <c r="G213" s="247"/>
      <c r="H213" s="247"/>
      <c r="I213" s="197"/>
    </row>
    <row r="214" spans="2:9">
      <c r="B214" s="195"/>
      <c r="C214" s="241"/>
      <c r="D214" s="241"/>
      <c r="E214" s="241"/>
      <c r="F214" s="241"/>
      <c r="G214" s="247"/>
      <c r="H214" s="247"/>
      <c r="I214" s="197"/>
    </row>
    <row r="215" spans="2:9">
      <c r="B215" s="195"/>
      <c r="C215" s="241"/>
      <c r="D215" s="241"/>
      <c r="E215" s="241"/>
      <c r="F215" s="241"/>
      <c r="G215" s="247"/>
      <c r="H215" s="247"/>
      <c r="I215" s="197"/>
    </row>
    <row r="216" spans="2:9">
      <c r="B216" s="195"/>
      <c r="C216" s="241"/>
      <c r="D216" s="241"/>
      <c r="E216" s="241"/>
      <c r="F216" s="241"/>
      <c r="G216" s="246"/>
      <c r="H216" s="246"/>
      <c r="I216" s="197"/>
    </row>
    <row r="217" spans="2:9">
      <c r="B217" s="195"/>
      <c r="C217" s="241"/>
      <c r="D217" s="241"/>
      <c r="E217" s="241"/>
      <c r="F217" s="241"/>
      <c r="G217" s="247"/>
      <c r="H217" s="247"/>
      <c r="I217" s="197"/>
    </row>
    <row r="218" spans="2:9">
      <c r="B218" s="195"/>
      <c r="C218" s="195"/>
      <c r="D218" s="195"/>
      <c r="E218" s="195"/>
      <c r="F218" s="195"/>
      <c r="G218" s="246"/>
      <c r="H218" s="246"/>
      <c r="I218" s="197"/>
    </row>
    <row r="219" spans="2:9">
      <c r="B219" s="195"/>
      <c r="C219" s="241"/>
      <c r="D219" s="241"/>
      <c r="E219" s="241"/>
      <c r="F219" s="241"/>
      <c r="G219" s="247"/>
      <c r="H219" s="247"/>
      <c r="I219" s="197"/>
    </row>
    <row r="220" spans="2:9">
      <c r="B220" s="195"/>
      <c r="C220" s="195"/>
      <c r="D220" s="195"/>
      <c r="E220" s="195"/>
      <c r="F220" s="195"/>
      <c r="G220" s="246"/>
      <c r="H220" s="246"/>
      <c r="I220" s="197"/>
    </row>
    <row r="221" spans="2:9">
      <c r="B221" s="195"/>
      <c r="C221" s="195"/>
      <c r="D221" s="195"/>
      <c r="E221" s="195"/>
      <c r="F221" s="195"/>
      <c r="G221" s="247"/>
      <c r="H221" s="247"/>
      <c r="I221" s="197"/>
    </row>
    <row r="222" spans="2:9">
      <c r="B222" s="195"/>
      <c r="C222" s="195"/>
      <c r="D222" s="195"/>
      <c r="E222" s="195"/>
      <c r="F222" s="195"/>
      <c r="G222" s="246"/>
      <c r="H222" s="246"/>
      <c r="I222" s="197"/>
    </row>
    <row r="223" spans="2:9">
      <c r="B223" s="195"/>
      <c r="C223" s="195"/>
      <c r="D223" s="195"/>
      <c r="E223" s="195"/>
      <c r="F223" s="195"/>
      <c r="G223" s="247"/>
      <c r="H223" s="247"/>
      <c r="I223" s="197"/>
    </row>
    <row r="224" spans="2:9">
      <c r="B224" s="195"/>
      <c r="C224" s="195"/>
      <c r="D224" s="195"/>
      <c r="E224" s="195"/>
      <c r="F224" s="195"/>
      <c r="G224" s="247"/>
      <c r="H224" s="247"/>
      <c r="I224" s="197"/>
    </row>
    <row r="225" spans="1:9">
      <c r="B225" s="195"/>
      <c r="C225" s="195"/>
      <c r="D225" s="195"/>
      <c r="E225" s="195"/>
      <c r="F225" s="195"/>
      <c r="G225" s="246"/>
      <c r="H225" s="246"/>
      <c r="I225" s="197"/>
    </row>
    <row r="226" spans="1:9">
      <c r="B226" s="195"/>
      <c r="C226" s="195"/>
      <c r="D226" s="195"/>
      <c r="E226" s="195"/>
      <c r="F226" s="195"/>
      <c r="G226" s="247"/>
      <c r="H226" s="247"/>
      <c r="I226" s="197"/>
    </row>
    <row r="227" spans="1:9">
      <c r="B227" s="195"/>
      <c r="C227" s="195"/>
      <c r="D227" s="195"/>
      <c r="E227" s="195"/>
      <c r="F227" s="195"/>
      <c r="G227" s="247"/>
      <c r="H227" s="247"/>
      <c r="I227" s="197"/>
    </row>
    <row r="228" spans="1:9">
      <c r="A228" s="291"/>
      <c r="B228" s="195"/>
      <c r="C228" s="241"/>
      <c r="D228" s="241"/>
      <c r="E228" s="241"/>
      <c r="F228" s="241"/>
      <c r="G228" s="247"/>
      <c r="H228" s="247"/>
      <c r="I228" s="197"/>
    </row>
    <row r="229" spans="1:9">
      <c r="A229" s="291"/>
      <c r="B229" s="195"/>
      <c r="C229" s="241"/>
      <c r="D229" s="241"/>
      <c r="E229" s="241"/>
      <c r="F229" s="241"/>
      <c r="G229" s="265"/>
      <c r="H229" s="265"/>
      <c r="I229" s="197"/>
    </row>
    <row r="230" spans="1:9">
      <c r="A230" s="291"/>
      <c r="B230" s="195"/>
      <c r="C230" s="241"/>
      <c r="D230" s="241"/>
      <c r="E230" s="241"/>
      <c r="F230" s="241"/>
      <c r="G230" s="247"/>
      <c r="H230" s="247"/>
      <c r="I230" s="197"/>
    </row>
    <row r="231" spans="1:9">
      <c r="A231" s="291"/>
      <c r="B231" s="195"/>
      <c r="C231" s="241"/>
      <c r="D231" s="241"/>
      <c r="E231" s="241"/>
      <c r="F231" s="241"/>
      <c r="G231" s="247"/>
      <c r="H231" s="247"/>
      <c r="I231" s="197"/>
    </row>
    <row r="232" spans="1:9">
      <c r="A232" s="291"/>
      <c r="C232" s="290"/>
      <c r="D232" s="290"/>
      <c r="E232" s="290"/>
      <c r="F232" s="290"/>
      <c r="G232" s="292"/>
      <c r="H232" s="292"/>
    </row>
    <row r="233" spans="1:9">
      <c r="A233" s="291"/>
      <c r="C233" s="290"/>
      <c r="D233" s="290"/>
      <c r="E233" s="290"/>
      <c r="F233" s="290"/>
      <c r="G233" s="292"/>
      <c r="H233" s="292"/>
    </row>
    <row r="234" spans="1:9">
      <c r="A234" s="291"/>
      <c r="C234" s="290"/>
      <c r="D234" s="290"/>
      <c r="E234" s="290"/>
      <c r="F234" s="290"/>
      <c r="G234" s="292"/>
      <c r="H234" s="292"/>
    </row>
    <row r="235" spans="1:9">
      <c r="A235" s="291"/>
      <c r="G235" s="292"/>
      <c r="H235" s="292"/>
    </row>
  </sheetData>
  <mergeCells count="3">
    <mergeCell ref="C5:I5"/>
    <mergeCell ref="C73:I73"/>
    <mergeCell ref="C110:I110"/>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5E26-220E-4E2B-AED7-47E5A641EFF1}">
  <dimension ref="A1"/>
  <sheetViews>
    <sheetView workbookViewId="0">
      <selection activeCell="U35" sqref="U35"/>
    </sheetView>
  </sheetViews>
  <sheetFormatPr defaultRowHeight="15"/>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AFBE2-7153-4B83-9036-BBB3F60FBB63}">
  <dimension ref="A1:U55"/>
  <sheetViews>
    <sheetView zoomScaleNormal="100" workbookViewId="0">
      <pane xSplit="2" ySplit="2" topLeftCell="C3" activePane="bottomRight" state="frozen"/>
      <selection pane="topRight"/>
      <selection pane="bottomLeft"/>
      <selection pane="bottomRight"/>
    </sheetView>
  </sheetViews>
  <sheetFormatPr defaultRowHeight="11.25" customHeight="1"/>
  <cols>
    <col min="1" max="1" width="3.7109375" style="87" customWidth="1"/>
    <col min="2" max="2" width="57.85546875" style="87" customWidth="1"/>
    <col min="3" max="13" width="9.28515625" style="87" customWidth="1"/>
    <col min="14" max="17" width="9.140625" style="87"/>
    <col min="18" max="18" width="27.28515625" style="87" bestFit="1" customWidth="1"/>
    <col min="19" max="32" width="9.140625" style="87"/>
    <col min="33" max="33" width="25.85546875" style="87" bestFit="1" customWidth="1"/>
    <col min="34" max="16384" width="9.140625" style="87"/>
  </cols>
  <sheetData>
    <row r="1" spans="1:13" ht="11.25" customHeight="1">
      <c r="A1" s="84" t="s">
        <v>557</v>
      </c>
      <c r="B1" s="85"/>
      <c r="C1" s="433" t="s">
        <v>800</v>
      </c>
      <c r="D1" s="434"/>
      <c r="E1" s="434"/>
      <c r="F1" s="434"/>
      <c r="G1" s="434"/>
      <c r="H1" s="434"/>
      <c r="I1" s="434"/>
      <c r="J1" s="434"/>
      <c r="K1" s="434"/>
      <c r="L1" s="434"/>
      <c r="M1" s="434"/>
    </row>
    <row r="2" spans="1:13" ht="11.25" customHeight="1">
      <c r="A2" s="88" t="s">
        <v>573</v>
      </c>
      <c r="B2" s="89"/>
      <c r="C2" s="86">
        <v>2025</v>
      </c>
      <c r="D2" s="86">
        <v>2030</v>
      </c>
      <c r="E2" s="86">
        <v>2035</v>
      </c>
      <c r="F2" s="86">
        <v>2040</v>
      </c>
      <c r="G2" s="86">
        <v>2050</v>
      </c>
      <c r="H2" s="86">
        <v>2025</v>
      </c>
      <c r="I2" s="86">
        <v>2025</v>
      </c>
      <c r="J2" s="86">
        <v>2050</v>
      </c>
      <c r="K2" s="86">
        <v>2050</v>
      </c>
      <c r="L2" s="86" t="s">
        <v>574</v>
      </c>
      <c r="M2" s="86" t="s">
        <v>575</v>
      </c>
    </row>
    <row r="3" spans="1:13" ht="11.25" customHeight="1" thickBot="1">
      <c r="A3" s="90" t="s">
        <v>576</v>
      </c>
      <c r="B3" s="91"/>
      <c r="C3" s="92" t="s">
        <v>577</v>
      </c>
      <c r="D3" s="92" t="s">
        <v>577</v>
      </c>
      <c r="E3" s="92" t="s">
        <v>577</v>
      </c>
      <c r="F3" s="92" t="s">
        <v>577</v>
      </c>
      <c r="G3" s="92" t="s">
        <v>577</v>
      </c>
      <c r="H3" s="92" t="s">
        <v>578</v>
      </c>
      <c r="I3" s="92" t="s">
        <v>579</v>
      </c>
      <c r="J3" s="92" t="s">
        <v>578</v>
      </c>
      <c r="K3" s="92" t="s">
        <v>579</v>
      </c>
      <c r="L3" s="92" t="s">
        <v>580</v>
      </c>
      <c r="M3" s="92" t="s">
        <v>580</v>
      </c>
    </row>
    <row r="4" spans="1:13" ht="11.25" customHeight="1">
      <c r="A4" s="93" t="s">
        <v>581</v>
      </c>
      <c r="B4" s="94" t="s">
        <v>582</v>
      </c>
      <c r="C4" s="86"/>
      <c r="D4" s="86"/>
      <c r="E4" s="86"/>
      <c r="F4" s="86"/>
      <c r="G4" s="86"/>
      <c r="H4" s="86"/>
      <c r="I4" s="86"/>
      <c r="J4" s="86"/>
      <c r="K4" s="86"/>
      <c r="L4" s="86"/>
      <c r="M4" s="86"/>
    </row>
    <row r="5" spans="1:13" ht="11.25" customHeight="1">
      <c r="A5" s="114" t="s">
        <v>583</v>
      </c>
      <c r="B5" s="142"/>
      <c r="H5" s="100"/>
      <c r="I5" s="100"/>
      <c r="J5" s="100"/>
      <c r="K5" s="100"/>
    </row>
    <row r="6" spans="1:13" ht="11.25" customHeight="1">
      <c r="B6" s="96" t="s">
        <v>584</v>
      </c>
      <c r="C6" s="103">
        <v>10</v>
      </c>
      <c r="D6" s="103">
        <v>10</v>
      </c>
      <c r="E6" s="103">
        <v>10</v>
      </c>
      <c r="F6" s="103">
        <v>10</v>
      </c>
      <c r="G6" s="103">
        <v>10</v>
      </c>
      <c r="H6" s="103">
        <v>10</v>
      </c>
      <c r="I6" s="103">
        <v>10</v>
      </c>
      <c r="J6" s="103">
        <v>10</v>
      </c>
      <c r="K6" s="103">
        <v>10</v>
      </c>
      <c r="L6" s="103"/>
      <c r="M6" s="103"/>
    </row>
    <row r="7" spans="1:13" ht="11.25" customHeight="1">
      <c r="B7" s="96" t="s">
        <v>587</v>
      </c>
      <c r="C7" s="122">
        <v>1</v>
      </c>
      <c r="D7" s="122">
        <v>1</v>
      </c>
      <c r="E7" s="122">
        <v>1</v>
      </c>
      <c r="F7" s="122">
        <v>1</v>
      </c>
      <c r="G7" s="122">
        <v>1</v>
      </c>
      <c r="H7" s="122">
        <v>1</v>
      </c>
      <c r="I7" s="122">
        <v>1</v>
      </c>
      <c r="J7" s="122">
        <v>1</v>
      </c>
      <c r="K7" s="122">
        <v>1</v>
      </c>
      <c r="L7" s="103" t="s">
        <v>585</v>
      </c>
      <c r="M7" s="103">
        <v>2</v>
      </c>
    </row>
    <row r="8" spans="1:13" ht="11.25" customHeight="1">
      <c r="B8" s="96" t="s">
        <v>590</v>
      </c>
      <c r="C8" s="122">
        <v>1</v>
      </c>
      <c r="D8" s="122">
        <v>1</v>
      </c>
      <c r="E8" s="122">
        <v>1</v>
      </c>
      <c r="F8" s="122">
        <v>1</v>
      </c>
      <c r="G8" s="122">
        <v>1</v>
      </c>
      <c r="H8" s="122">
        <v>1</v>
      </c>
      <c r="I8" s="122">
        <v>1</v>
      </c>
      <c r="J8" s="122">
        <v>1</v>
      </c>
      <c r="K8" s="122">
        <v>1</v>
      </c>
      <c r="L8" s="103" t="s">
        <v>585</v>
      </c>
      <c r="M8" s="103">
        <v>2</v>
      </c>
    </row>
    <row r="9" spans="1:13" ht="11.25" customHeight="1">
      <c r="B9" s="96" t="s">
        <v>592</v>
      </c>
      <c r="C9" s="172">
        <v>2.5000000000000001E-3</v>
      </c>
      <c r="D9" s="172">
        <v>2.5000000000000001E-3</v>
      </c>
      <c r="E9" s="172">
        <v>2.5000000000000001E-3</v>
      </c>
      <c r="F9" s="172">
        <v>2.5000000000000001E-3</v>
      </c>
      <c r="G9" s="172">
        <v>2.5000000000000001E-3</v>
      </c>
      <c r="H9" s="173">
        <v>1E-3</v>
      </c>
      <c r="I9" s="99">
        <v>0.01</v>
      </c>
      <c r="J9" s="173">
        <v>1E-3</v>
      </c>
      <c r="K9" s="99">
        <v>0.01</v>
      </c>
      <c r="L9" s="103" t="s">
        <v>588</v>
      </c>
      <c r="M9" s="103" t="s">
        <v>776</v>
      </c>
    </row>
    <row r="10" spans="1:13" ht="11.25" customHeight="1">
      <c r="B10" s="96" t="s">
        <v>593</v>
      </c>
      <c r="C10" s="172">
        <v>2.5000000000000001E-3</v>
      </c>
      <c r="D10" s="172">
        <v>2.5000000000000001E-3</v>
      </c>
      <c r="E10" s="172">
        <v>2.5000000000000001E-3</v>
      </c>
      <c r="F10" s="172">
        <v>2.5000000000000001E-3</v>
      </c>
      <c r="G10" s="172">
        <v>2.5000000000000001E-3</v>
      </c>
      <c r="H10" s="99">
        <v>0</v>
      </c>
      <c r="I10" s="173">
        <v>5.0000000000000001E-3</v>
      </c>
      <c r="J10" s="99">
        <v>0</v>
      </c>
      <c r="K10" s="173">
        <v>5.0000000000000001E-3</v>
      </c>
      <c r="L10" s="103"/>
      <c r="M10" s="103">
        <v>2</v>
      </c>
    </row>
    <row r="11" spans="1:13" ht="11.25" customHeight="1">
      <c r="B11" s="96" t="s">
        <v>595</v>
      </c>
      <c r="C11" s="97">
        <v>3.5</v>
      </c>
      <c r="D11" s="97">
        <v>3.5</v>
      </c>
      <c r="E11" s="97">
        <v>3.5</v>
      </c>
      <c r="F11" s="97">
        <v>3.5</v>
      </c>
      <c r="G11" s="97">
        <v>3.5</v>
      </c>
      <c r="H11" s="97">
        <v>2</v>
      </c>
      <c r="I11" s="97">
        <v>5</v>
      </c>
      <c r="J11" s="97">
        <v>2</v>
      </c>
      <c r="K11" s="97">
        <v>5</v>
      </c>
      <c r="L11" s="103"/>
      <c r="M11" s="103">
        <v>4</v>
      </c>
    </row>
    <row r="12" spans="1:13" ht="11.25" customHeight="1">
      <c r="B12" s="96" t="s">
        <v>596</v>
      </c>
      <c r="C12" s="97">
        <v>15</v>
      </c>
      <c r="D12" s="97">
        <v>15</v>
      </c>
      <c r="E12" s="97">
        <v>15</v>
      </c>
      <c r="F12" s="97">
        <v>15</v>
      </c>
      <c r="G12" s="97">
        <v>15</v>
      </c>
      <c r="H12" s="97">
        <v>10</v>
      </c>
      <c r="I12" s="97">
        <v>20</v>
      </c>
      <c r="J12" s="97">
        <v>10</v>
      </c>
      <c r="K12" s="97">
        <v>20</v>
      </c>
      <c r="L12" s="103"/>
      <c r="M12" s="103" t="s">
        <v>691</v>
      </c>
    </row>
    <row r="13" spans="1:13" ht="11.25" customHeight="1">
      <c r="B13" s="96" t="s">
        <v>597</v>
      </c>
      <c r="C13" s="97">
        <v>0.01</v>
      </c>
      <c r="D13" s="97">
        <v>0.01</v>
      </c>
      <c r="E13" s="97">
        <v>0.01</v>
      </c>
      <c r="F13" s="97">
        <v>0.01</v>
      </c>
      <c r="G13" s="97">
        <v>0.01</v>
      </c>
      <c r="H13" s="97">
        <v>1E-3</v>
      </c>
      <c r="I13" s="97">
        <v>1.4999999999999999E-2</v>
      </c>
      <c r="J13" s="97">
        <v>1E-3</v>
      </c>
      <c r="K13" s="97">
        <v>1.4999999999999999E-2</v>
      </c>
      <c r="L13" s="103" t="s">
        <v>616</v>
      </c>
      <c r="M13" s="103" t="s">
        <v>691</v>
      </c>
    </row>
    <row r="14" spans="1:13" ht="11.25" customHeight="1">
      <c r="A14" s="100" t="s">
        <v>598</v>
      </c>
      <c r="B14" s="146"/>
      <c r="C14" s="102"/>
      <c r="D14" s="102"/>
      <c r="E14" s="102"/>
      <c r="F14" s="102"/>
      <c r="G14" s="102"/>
      <c r="H14" s="100"/>
      <c r="I14" s="100"/>
      <c r="J14" s="100"/>
      <c r="K14" s="100"/>
      <c r="L14" s="112"/>
      <c r="M14" s="179"/>
    </row>
    <row r="15" spans="1:13" ht="11.25" customHeight="1">
      <c r="B15" s="96" t="s">
        <v>599</v>
      </c>
      <c r="C15" s="99">
        <v>0.1</v>
      </c>
      <c r="D15" s="99">
        <v>0.1</v>
      </c>
      <c r="E15" s="99">
        <v>0.1</v>
      </c>
      <c r="F15" s="99">
        <v>0.1</v>
      </c>
      <c r="G15" s="99">
        <v>0.1</v>
      </c>
      <c r="H15" s="99"/>
      <c r="I15" s="99"/>
      <c r="J15" s="97"/>
      <c r="K15" s="97"/>
      <c r="L15" s="103"/>
      <c r="M15" s="103">
        <v>6</v>
      </c>
    </row>
    <row r="16" spans="1:13" ht="11.25" customHeight="1">
      <c r="B16" s="96" t="s">
        <v>600</v>
      </c>
      <c r="C16" s="97">
        <v>0.01</v>
      </c>
      <c r="D16" s="97">
        <v>0.01</v>
      </c>
      <c r="E16" s="97">
        <v>0.01</v>
      </c>
      <c r="F16" s="97">
        <v>0.01</v>
      </c>
      <c r="G16" s="97">
        <v>0.01</v>
      </c>
      <c r="H16" s="103"/>
      <c r="I16" s="103"/>
      <c r="J16" s="103"/>
      <c r="K16" s="103"/>
      <c r="L16" s="103" t="s">
        <v>607</v>
      </c>
      <c r="M16" s="103">
        <v>2</v>
      </c>
    </row>
    <row r="17" spans="1:13" ht="11.25" customHeight="1">
      <c r="B17" s="96" t="s">
        <v>601</v>
      </c>
      <c r="C17" s="97">
        <v>0.01</v>
      </c>
      <c r="D17" s="97">
        <v>0.01</v>
      </c>
      <c r="E17" s="97">
        <v>0.01</v>
      </c>
      <c r="F17" s="97">
        <v>0.01</v>
      </c>
      <c r="G17" s="97">
        <v>0.01</v>
      </c>
      <c r="H17" s="103"/>
      <c r="I17" s="103"/>
      <c r="J17" s="103"/>
      <c r="K17" s="103"/>
      <c r="L17" s="103" t="s">
        <v>607</v>
      </c>
      <c r="M17" s="103">
        <v>2</v>
      </c>
    </row>
    <row r="18" spans="1:13" ht="11.25" customHeight="1">
      <c r="A18" s="100" t="s">
        <v>777</v>
      </c>
      <c r="B18" s="146"/>
      <c r="C18" s="114"/>
      <c r="D18" s="114"/>
      <c r="E18" s="114"/>
      <c r="F18" s="114"/>
      <c r="G18" s="114"/>
      <c r="H18" s="114"/>
      <c r="I18" s="114"/>
      <c r="J18" s="114"/>
      <c r="K18" s="114"/>
      <c r="L18" s="112"/>
      <c r="M18" s="179"/>
    </row>
    <row r="19" spans="1:13" ht="11.25" customHeight="1">
      <c r="B19" s="96" t="s">
        <v>778</v>
      </c>
      <c r="C19" s="180"/>
      <c r="D19" s="180"/>
      <c r="E19" s="180"/>
      <c r="F19" s="180"/>
      <c r="G19" s="180"/>
      <c r="H19" s="97"/>
      <c r="L19" s="103" t="s">
        <v>594</v>
      </c>
      <c r="M19" s="103"/>
    </row>
    <row r="20" spans="1:13" ht="11.25" customHeight="1">
      <c r="B20" s="96" t="s">
        <v>779</v>
      </c>
      <c r="C20" s="180"/>
      <c r="D20" s="180"/>
      <c r="E20" s="180"/>
      <c r="F20" s="180"/>
      <c r="G20" s="180"/>
      <c r="H20" s="97"/>
      <c r="L20" s="103" t="s">
        <v>594</v>
      </c>
      <c r="M20" s="103"/>
    </row>
    <row r="21" spans="1:13" ht="11.25" customHeight="1">
      <c r="B21" s="96" t="s">
        <v>780</v>
      </c>
      <c r="C21" s="180"/>
      <c r="D21" s="180"/>
      <c r="E21" s="180"/>
      <c r="F21" s="180"/>
      <c r="G21" s="180"/>
      <c r="H21" s="97"/>
      <c r="L21" s="103" t="s">
        <v>594</v>
      </c>
      <c r="M21" s="103"/>
    </row>
    <row r="22" spans="1:13" ht="11.25" customHeight="1">
      <c r="B22" s="96" t="s">
        <v>781</v>
      </c>
      <c r="C22" s="180"/>
      <c r="D22" s="180"/>
      <c r="E22" s="180"/>
      <c r="F22" s="180"/>
      <c r="G22" s="180"/>
      <c r="H22" s="97"/>
      <c r="L22" s="103" t="s">
        <v>594</v>
      </c>
      <c r="M22" s="103"/>
    </row>
    <row r="23" spans="1:13" ht="11.25" customHeight="1">
      <c r="B23" s="96" t="s">
        <v>782</v>
      </c>
      <c r="C23" s="108"/>
      <c r="D23" s="180"/>
      <c r="E23" s="180"/>
      <c r="F23" s="180"/>
      <c r="G23" s="180"/>
      <c r="H23" s="97"/>
      <c r="L23" s="103" t="s">
        <v>594</v>
      </c>
      <c r="M23" s="103"/>
    </row>
    <row r="24" spans="1:13" ht="11.25" customHeight="1">
      <c r="A24" s="100" t="s">
        <v>602</v>
      </c>
      <c r="B24" s="146"/>
      <c r="C24" s="102"/>
      <c r="D24" s="102"/>
      <c r="E24" s="102"/>
      <c r="F24" s="102"/>
      <c r="G24" s="102"/>
      <c r="H24" s="100"/>
      <c r="I24" s="100"/>
      <c r="J24" s="100"/>
      <c r="K24" s="100"/>
      <c r="L24" s="112"/>
      <c r="M24" s="179"/>
    </row>
    <row r="25" spans="1:13" ht="11.25" customHeight="1">
      <c r="B25" s="96" t="s">
        <v>603</v>
      </c>
      <c r="C25" s="181">
        <v>0.25800000000000001</v>
      </c>
      <c r="D25" s="181">
        <v>0.25800000000000001</v>
      </c>
      <c r="E25" s="181">
        <v>0.25800000000000001</v>
      </c>
      <c r="F25" s="181">
        <v>0.25800000000000001</v>
      </c>
      <c r="G25" s="181">
        <v>0.25800000000000001</v>
      </c>
      <c r="L25" s="103" t="s">
        <v>801</v>
      </c>
      <c r="M25" s="103" t="s">
        <v>783</v>
      </c>
    </row>
    <row r="26" spans="1:13" ht="11.25" customHeight="1">
      <c r="B26" s="96" t="s">
        <v>604</v>
      </c>
      <c r="C26" s="104">
        <v>0.66666666666666696</v>
      </c>
      <c r="D26" s="104">
        <v>0.66666666666666696</v>
      </c>
      <c r="E26" s="104">
        <v>0.66666666666666696</v>
      </c>
      <c r="F26" s="104">
        <v>0.66666666666666696</v>
      </c>
      <c r="G26" s="104">
        <v>0.66666666666666696</v>
      </c>
      <c r="L26" s="103"/>
      <c r="M26" s="103">
        <v>7</v>
      </c>
    </row>
    <row r="27" spans="1:13" ht="11.25" customHeight="1">
      <c r="B27" s="96" t="s">
        <v>784</v>
      </c>
      <c r="C27" s="104">
        <v>0.33333333333333298</v>
      </c>
      <c r="D27" s="104">
        <v>0.33333333333333298</v>
      </c>
      <c r="E27" s="104">
        <v>0.33333333333333298</v>
      </c>
      <c r="F27" s="104">
        <v>0.33333333333333298</v>
      </c>
      <c r="G27" s="104">
        <v>0.33333333333333298</v>
      </c>
      <c r="L27" s="103"/>
      <c r="M27" s="103">
        <v>7</v>
      </c>
    </row>
    <row r="28" spans="1:13" ht="11.25" customHeight="1">
      <c r="B28" s="96" t="s">
        <v>608</v>
      </c>
      <c r="C28" s="105">
        <v>3986</v>
      </c>
      <c r="D28" s="105">
        <v>3869</v>
      </c>
      <c r="E28" s="105">
        <v>3810</v>
      </c>
      <c r="F28" s="105">
        <v>3751</v>
      </c>
      <c r="G28" s="105">
        <v>3634</v>
      </c>
      <c r="L28" s="103" t="s">
        <v>625</v>
      </c>
      <c r="M28" s="103" t="s">
        <v>785</v>
      </c>
    </row>
    <row r="29" spans="1:13" ht="11.25" customHeight="1">
      <c r="B29" s="96" t="s">
        <v>609</v>
      </c>
      <c r="C29" s="109">
        <v>0.16700000000000001</v>
      </c>
      <c r="D29" s="109">
        <v>0.16700000000000001</v>
      </c>
      <c r="E29" s="109">
        <v>0.16700000000000001</v>
      </c>
      <c r="F29" s="109">
        <v>0.16700000000000001</v>
      </c>
      <c r="G29" s="109">
        <v>0.16700000000000001</v>
      </c>
      <c r="L29" s="103" t="s">
        <v>625</v>
      </c>
      <c r="M29" s="103" t="s">
        <v>802</v>
      </c>
    </row>
    <row r="30" spans="1:13" ht="11.25" customHeight="1">
      <c r="A30" s="100" t="s">
        <v>610</v>
      </c>
      <c r="B30" s="146"/>
      <c r="C30" s="102"/>
      <c r="D30" s="102"/>
      <c r="E30" s="102"/>
      <c r="F30" s="102"/>
      <c r="G30" s="102"/>
      <c r="H30" s="100"/>
      <c r="I30" s="100"/>
      <c r="J30" s="100"/>
      <c r="K30" s="100"/>
    </row>
    <row r="31" spans="1:13" ht="11.25" customHeight="1">
      <c r="B31" s="96" t="s">
        <v>611</v>
      </c>
      <c r="C31" s="108" t="s">
        <v>580</v>
      </c>
      <c r="D31" s="108" t="s">
        <v>580</v>
      </c>
      <c r="E31" s="108" t="s">
        <v>580</v>
      </c>
      <c r="F31" s="108" t="s">
        <v>580</v>
      </c>
      <c r="G31" s="108" t="s">
        <v>580</v>
      </c>
      <c r="H31" s="108"/>
      <c r="I31" s="108"/>
      <c r="J31" s="108"/>
      <c r="K31" s="108"/>
      <c r="L31" s="108" t="s">
        <v>719</v>
      </c>
      <c r="M31" s="182"/>
    </row>
    <row r="32" spans="1:13" ht="11.25" customHeight="1" thickBot="1">
      <c r="A32" s="111"/>
      <c r="B32" s="111"/>
      <c r="C32" s="111"/>
      <c r="D32" s="111"/>
      <c r="E32" s="111"/>
      <c r="F32" s="111"/>
      <c r="G32" s="111"/>
      <c r="H32" s="111"/>
      <c r="I32" s="111"/>
      <c r="J32" s="111"/>
      <c r="K32" s="111"/>
      <c r="L32" s="111"/>
      <c r="M32" s="111"/>
    </row>
    <row r="34" spans="1:19" ht="11.25" customHeight="1">
      <c r="A34" s="117" t="s">
        <v>622</v>
      </c>
    </row>
    <row r="35" spans="1:19" ht="11.25" customHeight="1">
      <c r="A35" s="178" t="s">
        <v>585</v>
      </c>
      <c r="B35" s="112" t="s">
        <v>786</v>
      </c>
    </row>
    <row r="36" spans="1:19" ht="11.25" customHeight="1">
      <c r="A36" s="178" t="s">
        <v>588</v>
      </c>
      <c r="B36" s="112" t="s">
        <v>803</v>
      </c>
    </row>
    <row r="37" spans="1:19" ht="11.25" customHeight="1">
      <c r="A37" s="178" t="s">
        <v>625</v>
      </c>
      <c r="B37" s="112" t="s">
        <v>804</v>
      </c>
    </row>
    <row r="38" spans="1:19" ht="11.25" customHeight="1">
      <c r="A38" s="178" t="s">
        <v>594</v>
      </c>
      <c r="B38" s="112" t="s">
        <v>805</v>
      </c>
    </row>
    <row r="39" spans="1:19" ht="11.25" customHeight="1">
      <c r="A39" s="178" t="s">
        <v>605</v>
      </c>
      <c r="B39" s="87" t="s">
        <v>806</v>
      </c>
    </row>
    <row r="40" spans="1:19" ht="11.25" customHeight="1">
      <c r="A40" s="178" t="s">
        <v>607</v>
      </c>
      <c r="B40" s="112" t="s">
        <v>807</v>
      </c>
    </row>
    <row r="41" spans="1:19" ht="11.25" customHeight="1">
      <c r="A41" s="178" t="s">
        <v>619</v>
      </c>
      <c r="B41" s="112" t="s">
        <v>808</v>
      </c>
    </row>
    <row r="42" spans="1:19" ht="11.25" customHeight="1">
      <c r="A42" s="178" t="s">
        <v>612</v>
      </c>
      <c r="B42" s="112" t="s">
        <v>809</v>
      </c>
    </row>
    <row r="43" spans="1:19" ht="11.25" customHeight="1">
      <c r="A43" s="178" t="s">
        <v>616</v>
      </c>
      <c r="B43" s="112" t="s">
        <v>810</v>
      </c>
    </row>
    <row r="44" spans="1:19" ht="11.25" customHeight="1">
      <c r="A44" s="178" t="s">
        <v>719</v>
      </c>
      <c r="B44" s="112" t="s">
        <v>790</v>
      </c>
    </row>
    <row r="45" spans="1:19" ht="11.25" customHeight="1">
      <c r="A45" s="178"/>
      <c r="B45" s="112"/>
    </row>
    <row r="46" spans="1:19" ht="11.25" customHeight="1">
      <c r="A46" s="140" t="s">
        <v>633</v>
      </c>
      <c r="B46" s="140"/>
      <c r="S46" s="180"/>
    </row>
    <row r="47" spans="1:19" ht="11.25" customHeight="1">
      <c r="A47" s="87">
        <v>1</v>
      </c>
      <c r="B47" s="112" t="s">
        <v>791</v>
      </c>
    </row>
    <row r="48" spans="1:19" ht="11.25" customHeight="1">
      <c r="A48" s="87">
        <v>2</v>
      </c>
      <c r="B48" s="112" t="s">
        <v>792</v>
      </c>
    </row>
    <row r="49" spans="1:21" ht="11.25" customHeight="1">
      <c r="A49" s="87">
        <v>3</v>
      </c>
      <c r="B49" s="112" t="s">
        <v>793</v>
      </c>
      <c r="G49" s="112"/>
      <c r="H49" s="112"/>
      <c r="S49" s="183"/>
    </row>
    <row r="50" spans="1:21" ht="11.25" customHeight="1">
      <c r="A50" s="87">
        <v>4</v>
      </c>
      <c r="B50" s="112" t="s">
        <v>811</v>
      </c>
      <c r="S50" s="183"/>
      <c r="T50" s="112"/>
      <c r="U50" s="112"/>
    </row>
    <row r="51" spans="1:21" ht="11.25" customHeight="1">
      <c r="A51" s="87">
        <v>5</v>
      </c>
      <c r="B51" s="112" t="s">
        <v>795</v>
      </c>
      <c r="T51" s="112"/>
      <c r="U51" s="112"/>
    </row>
    <row r="52" spans="1:21" ht="11.25" customHeight="1">
      <c r="A52" s="87">
        <v>6</v>
      </c>
      <c r="B52" s="112" t="s">
        <v>812</v>
      </c>
      <c r="S52" s="112"/>
      <c r="T52" s="112"/>
      <c r="U52" s="112"/>
    </row>
    <row r="53" spans="1:21" ht="11.25" customHeight="1">
      <c r="A53" s="87">
        <v>7</v>
      </c>
      <c r="B53" s="112" t="s">
        <v>797</v>
      </c>
    </row>
    <row r="54" spans="1:21" ht="11.25" customHeight="1">
      <c r="A54" s="87">
        <v>8</v>
      </c>
      <c r="B54" s="87" t="s">
        <v>798</v>
      </c>
    </row>
    <row r="55" spans="1:21" ht="11.25" customHeight="1">
      <c r="A55" s="87">
        <v>9</v>
      </c>
      <c r="B55" s="112" t="s">
        <v>799</v>
      </c>
    </row>
  </sheetData>
  <mergeCells count="1">
    <mergeCell ref="C1:M1"/>
  </mergeCells>
  <hyperlinks>
    <hyperlink ref="C1" location="INDEX" display="Direct firing, Solid fuels" xr:uid="{A7ADA67B-F361-4E08-9D49-C49C40D904BA}"/>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C06C9-5425-4813-A190-FE8537DA709F}">
  <dimension ref="A1:O177"/>
  <sheetViews>
    <sheetView showGridLines="0" zoomScaleNormal="100" workbookViewId="0">
      <pane xSplit="2" ySplit="2" topLeftCell="C3" activePane="bottomRight" state="frozen"/>
      <selection pane="topRight"/>
      <selection pane="bottomLeft"/>
      <selection pane="bottomRight"/>
    </sheetView>
  </sheetViews>
  <sheetFormatPr defaultColWidth="9" defaultRowHeight="11.25" customHeight="1"/>
  <cols>
    <col min="1" max="1" width="3.7109375" style="119" customWidth="1"/>
    <col min="2" max="2" width="57.85546875" style="119" customWidth="1"/>
    <col min="3" max="13" width="9.28515625" style="119" customWidth="1"/>
    <col min="14" max="14" width="49" style="119" customWidth="1"/>
    <col min="15" max="16384" width="9" style="119"/>
  </cols>
  <sheetData>
    <row r="1" spans="1:14" ht="11.25" customHeight="1">
      <c r="A1" s="84" t="s">
        <v>557</v>
      </c>
      <c r="B1" s="118"/>
      <c r="C1" s="435" t="s">
        <v>813</v>
      </c>
      <c r="D1" s="434"/>
      <c r="E1" s="434"/>
      <c r="F1" s="434"/>
      <c r="G1" s="434"/>
      <c r="H1" s="434"/>
      <c r="I1" s="434"/>
      <c r="J1" s="434"/>
      <c r="K1" s="434"/>
      <c r="L1" s="434"/>
      <c r="M1" s="434"/>
      <c r="N1" s="103"/>
    </row>
    <row r="2" spans="1:14" ht="11.25" customHeight="1">
      <c r="A2" s="88" t="s">
        <v>573</v>
      </c>
      <c r="B2" s="88"/>
      <c r="C2" s="86">
        <v>2025</v>
      </c>
      <c r="D2" s="86">
        <v>2030</v>
      </c>
      <c r="E2" s="86">
        <v>2035</v>
      </c>
      <c r="F2" s="86">
        <v>2040</v>
      </c>
      <c r="G2" s="86">
        <v>2050</v>
      </c>
      <c r="H2" s="162">
        <v>2025</v>
      </c>
      <c r="I2" s="162">
        <v>2025</v>
      </c>
      <c r="J2" s="162">
        <v>2050</v>
      </c>
      <c r="K2" s="162">
        <v>2050</v>
      </c>
      <c r="L2" s="86" t="s">
        <v>574</v>
      </c>
      <c r="M2" s="86" t="s">
        <v>575</v>
      </c>
      <c r="N2" s="103"/>
    </row>
    <row r="3" spans="1:14" ht="11.25" customHeight="1" thickBot="1">
      <c r="A3" s="90" t="s">
        <v>576</v>
      </c>
      <c r="B3" s="90"/>
      <c r="C3" s="92" t="s">
        <v>577</v>
      </c>
      <c r="D3" s="92" t="s">
        <v>577</v>
      </c>
      <c r="E3" s="92" t="s">
        <v>577</v>
      </c>
      <c r="F3" s="92" t="s">
        <v>577</v>
      </c>
      <c r="G3" s="92" t="s">
        <v>577</v>
      </c>
      <c r="H3" s="164" t="s">
        <v>578</v>
      </c>
      <c r="I3" s="164" t="s">
        <v>579</v>
      </c>
      <c r="J3" s="164" t="s">
        <v>578</v>
      </c>
      <c r="K3" s="164" t="s">
        <v>579</v>
      </c>
      <c r="L3" s="92" t="s">
        <v>580</v>
      </c>
      <c r="M3" s="92" t="s">
        <v>580</v>
      </c>
      <c r="N3" s="103"/>
    </row>
    <row r="4" spans="1:14" ht="11.25" customHeight="1">
      <c r="A4" s="93" t="s">
        <v>581</v>
      </c>
      <c r="B4" s="93" t="s">
        <v>582</v>
      </c>
      <c r="C4" s="86"/>
      <c r="D4" s="86"/>
      <c r="E4" s="86"/>
      <c r="F4" s="86"/>
      <c r="G4" s="86"/>
      <c r="H4" s="162"/>
      <c r="I4" s="162"/>
      <c r="J4" s="162"/>
      <c r="K4" s="162"/>
      <c r="L4" s="86"/>
      <c r="M4" s="86"/>
    </row>
    <row r="5" spans="1:14" ht="11.25" customHeight="1">
      <c r="A5" s="117" t="s">
        <v>583</v>
      </c>
      <c r="C5" s="120"/>
      <c r="D5" s="120"/>
      <c r="E5" s="120"/>
      <c r="F5" s="120"/>
      <c r="G5" s="120"/>
      <c r="H5" s="120"/>
      <c r="I5" s="120"/>
      <c r="J5" s="120"/>
      <c r="K5" s="120"/>
      <c r="L5" s="120"/>
      <c r="M5" s="120"/>
    </row>
    <row r="6" spans="1:14" ht="11.25" customHeight="1">
      <c r="A6" s="117"/>
      <c r="B6" s="119" t="s">
        <v>584</v>
      </c>
      <c r="C6" s="103">
        <v>5</v>
      </c>
      <c r="D6" s="103">
        <v>5</v>
      </c>
      <c r="E6" s="103">
        <v>5</v>
      </c>
      <c r="F6" s="103">
        <v>5</v>
      </c>
      <c r="G6" s="103">
        <v>5</v>
      </c>
      <c r="H6" s="103">
        <v>1</v>
      </c>
      <c r="I6" s="103">
        <v>10</v>
      </c>
      <c r="J6" s="103">
        <v>1</v>
      </c>
      <c r="K6" s="103">
        <v>10</v>
      </c>
      <c r="M6" s="103" t="s">
        <v>586</v>
      </c>
    </row>
    <row r="7" spans="1:14" ht="11.25" customHeight="1">
      <c r="A7" s="117"/>
      <c r="B7" s="119" t="s">
        <v>587</v>
      </c>
      <c r="C7" s="122">
        <v>1</v>
      </c>
      <c r="D7" s="122">
        <v>1</v>
      </c>
      <c r="E7" s="122">
        <v>1</v>
      </c>
      <c r="F7" s="122">
        <v>1</v>
      </c>
      <c r="G7" s="122">
        <v>1</v>
      </c>
      <c r="H7" s="122">
        <v>1</v>
      </c>
      <c r="I7" s="122">
        <v>1</v>
      </c>
      <c r="J7" s="122">
        <v>1</v>
      </c>
      <c r="K7" s="122">
        <v>1</v>
      </c>
      <c r="L7" s="121" t="s">
        <v>585</v>
      </c>
      <c r="M7" s="121" t="s">
        <v>764</v>
      </c>
      <c r="N7" s="121"/>
    </row>
    <row r="8" spans="1:14" ht="11.25" customHeight="1">
      <c r="A8" s="117"/>
      <c r="B8" s="119" t="s">
        <v>590</v>
      </c>
      <c r="C8" s="122">
        <v>1</v>
      </c>
      <c r="D8" s="122">
        <v>1</v>
      </c>
      <c r="E8" s="122">
        <v>1</v>
      </c>
      <c r="F8" s="122">
        <v>1</v>
      </c>
      <c r="G8" s="122">
        <v>1</v>
      </c>
      <c r="H8" s="122">
        <v>1</v>
      </c>
      <c r="I8" s="122">
        <v>1</v>
      </c>
      <c r="J8" s="122">
        <v>1</v>
      </c>
      <c r="K8" s="122">
        <v>1</v>
      </c>
      <c r="L8" s="121" t="s">
        <v>585</v>
      </c>
      <c r="M8" s="121" t="s">
        <v>764</v>
      </c>
      <c r="N8" s="121"/>
    </row>
    <row r="9" spans="1:14" ht="11.25" customHeight="1">
      <c r="A9" s="117"/>
      <c r="B9" s="119" t="s">
        <v>592</v>
      </c>
      <c r="C9" s="172">
        <v>2.5000000000000001E-3</v>
      </c>
      <c r="D9" s="172">
        <v>2.5000000000000001E-3</v>
      </c>
      <c r="E9" s="172">
        <v>2.5000000000000001E-3</v>
      </c>
      <c r="F9" s="172">
        <v>2.5000000000000001E-3</v>
      </c>
      <c r="G9" s="172">
        <v>2.5000000000000001E-3</v>
      </c>
      <c r="H9" s="173">
        <v>1E-3</v>
      </c>
      <c r="I9" s="99">
        <v>0.01</v>
      </c>
      <c r="J9" s="173">
        <v>1E-3</v>
      </c>
      <c r="K9" s="99">
        <v>0.01</v>
      </c>
      <c r="L9" s="121" t="s">
        <v>588</v>
      </c>
      <c r="M9" s="121" t="s">
        <v>814</v>
      </c>
      <c r="N9" s="121"/>
    </row>
    <row r="10" spans="1:14" ht="11.25" customHeight="1">
      <c r="A10" s="123"/>
      <c r="B10" s="123" t="s">
        <v>642</v>
      </c>
      <c r="C10" s="177">
        <v>0</v>
      </c>
      <c r="D10" s="177">
        <v>0</v>
      </c>
      <c r="E10" s="177">
        <v>0</v>
      </c>
      <c r="F10" s="177">
        <v>0</v>
      </c>
      <c r="G10" s="177">
        <v>0</v>
      </c>
      <c r="H10" s="177">
        <v>0</v>
      </c>
      <c r="I10" s="177">
        <v>0.5</v>
      </c>
      <c r="J10" s="177">
        <v>0</v>
      </c>
      <c r="K10" s="177">
        <v>0.5</v>
      </c>
      <c r="L10" s="121" t="s">
        <v>625</v>
      </c>
      <c r="M10" s="121">
        <v>1</v>
      </c>
      <c r="N10" s="121"/>
    </row>
    <row r="11" spans="1:14" ht="11.25" customHeight="1">
      <c r="A11" s="117"/>
      <c r="B11" s="119" t="s">
        <v>595</v>
      </c>
      <c r="C11" s="97">
        <v>0</v>
      </c>
      <c r="D11" s="97">
        <v>0</v>
      </c>
      <c r="E11" s="97">
        <v>0</v>
      </c>
      <c r="F11" s="97">
        <v>0</v>
      </c>
      <c r="G11" s="97">
        <v>0</v>
      </c>
      <c r="H11" s="97">
        <v>0</v>
      </c>
      <c r="I11" s="97">
        <v>1</v>
      </c>
      <c r="J11" s="97">
        <v>0</v>
      </c>
      <c r="K11" s="97">
        <v>1</v>
      </c>
      <c r="L11" s="121" t="s">
        <v>625</v>
      </c>
      <c r="M11" s="121">
        <v>1</v>
      </c>
      <c r="N11" s="121"/>
    </row>
    <row r="12" spans="1:14" ht="11.25" customHeight="1">
      <c r="A12" s="117"/>
      <c r="B12" s="119" t="s">
        <v>596</v>
      </c>
      <c r="C12" s="121">
        <v>20</v>
      </c>
      <c r="D12" s="121">
        <v>20</v>
      </c>
      <c r="E12" s="121">
        <v>20</v>
      </c>
      <c r="F12" s="121">
        <v>20</v>
      </c>
      <c r="G12" s="121">
        <v>20</v>
      </c>
      <c r="H12" s="121"/>
      <c r="I12" s="121"/>
      <c r="J12" s="121"/>
      <c r="K12" s="121"/>
      <c r="L12" s="121"/>
      <c r="M12" s="121">
        <v>8</v>
      </c>
      <c r="N12" s="121"/>
    </row>
    <row r="13" spans="1:14" ht="11.25" customHeight="1">
      <c r="A13" s="117"/>
      <c r="B13" s="119" t="s">
        <v>597</v>
      </c>
      <c r="C13" s="126">
        <v>0.04</v>
      </c>
      <c r="D13" s="126">
        <v>0.04</v>
      </c>
      <c r="E13" s="126">
        <v>0.04</v>
      </c>
      <c r="F13" s="126">
        <v>0.04</v>
      </c>
      <c r="G13" s="126">
        <v>0.04</v>
      </c>
      <c r="H13" s="125"/>
      <c r="I13" s="125"/>
      <c r="J13" s="125"/>
      <c r="K13" s="125"/>
      <c r="L13" s="120"/>
      <c r="M13" s="121">
        <v>1</v>
      </c>
      <c r="N13" s="121"/>
    </row>
    <row r="14" spans="1:14" ht="11.25" customHeight="1">
      <c r="A14" s="117"/>
      <c r="B14" s="119" t="s">
        <v>643</v>
      </c>
      <c r="C14" s="184">
        <f>(1/80)/1000*1000</f>
        <v>1.2500000000000001E-2</v>
      </c>
      <c r="D14" s="184">
        <f>(1/200)/1000*1000</f>
        <v>5.0000000000000001E-3</v>
      </c>
      <c r="E14" s="184">
        <f>(1/1000)/1000*1000</f>
        <v>1E-3</v>
      </c>
      <c r="F14" s="184">
        <f>(1/1000)/1000*1000</f>
        <v>1E-3</v>
      </c>
      <c r="G14" s="184">
        <f>(1/1000)/1000*1000</f>
        <v>1E-3</v>
      </c>
      <c r="H14" s="124"/>
      <c r="I14" s="124"/>
      <c r="J14" s="124"/>
      <c r="K14" s="124"/>
      <c r="L14" s="120"/>
      <c r="M14" s="121">
        <v>5</v>
      </c>
      <c r="N14" s="121"/>
    </row>
    <row r="15" spans="1:14" ht="11.25" customHeight="1">
      <c r="A15" s="117" t="s">
        <v>644</v>
      </c>
      <c r="C15" s="121"/>
      <c r="D15" s="121"/>
      <c r="E15" s="121"/>
      <c r="F15" s="121"/>
      <c r="G15" s="121"/>
      <c r="H15" s="121"/>
      <c r="I15" s="121"/>
      <c r="J15" s="121"/>
      <c r="K15" s="121"/>
      <c r="L15" s="121"/>
      <c r="M15" s="121"/>
      <c r="N15" s="121"/>
    </row>
    <row r="16" spans="1:14" ht="11.25" customHeight="1">
      <c r="A16" s="123"/>
      <c r="B16" s="123" t="s">
        <v>714</v>
      </c>
      <c r="C16" s="122">
        <v>1</v>
      </c>
      <c r="D16" s="122">
        <v>1</v>
      </c>
      <c r="E16" s="122">
        <v>1</v>
      </c>
      <c r="F16" s="122">
        <v>1</v>
      </c>
      <c r="G16" s="122">
        <v>1</v>
      </c>
      <c r="H16" s="122"/>
      <c r="I16" s="122"/>
      <c r="J16" s="122"/>
      <c r="K16" s="122"/>
      <c r="L16" s="121" t="s">
        <v>619</v>
      </c>
      <c r="M16" s="121">
        <v>11</v>
      </c>
      <c r="N16" s="121"/>
    </row>
    <row r="17" spans="1:14" ht="11.25" customHeight="1">
      <c r="A17" s="123"/>
      <c r="B17" s="123" t="s">
        <v>716</v>
      </c>
      <c r="C17" s="122">
        <v>1</v>
      </c>
      <c r="D17" s="122">
        <v>1</v>
      </c>
      <c r="E17" s="122">
        <v>1</v>
      </c>
      <c r="F17" s="122">
        <v>1</v>
      </c>
      <c r="G17" s="122">
        <v>1</v>
      </c>
      <c r="H17" s="122"/>
      <c r="I17" s="122"/>
      <c r="J17" s="122"/>
      <c r="K17" s="122"/>
      <c r="L17" s="121" t="s">
        <v>619</v>
      </c>
      <c r="M17" s="121">
        <v>11</v>
      </c>
      <c r="N17" s="121"/>
    </row>
    <row r="18" spans="1:14" ht="11.25" customHeight="1">
      <c r="A18" s="123"/>
      <c r="B18" s="123" t="s">
        <v>599</v>
      </c>
      <c r="C18" s="127">
        <v>0.15</v>
      </c>
      <c r="D18" s="127">
        <v>0.15</v>
      </c>
      <c r="E18" s="127">
        <v>0.15</v>
      </c>
      <c r="F18" s="127">
        <v>0.15</v>
      </c>
      <c r="G18" s="127">
        <v>0.15</v>
      </c>
      <c r="H18" s="122"/>
      <c r="I18" s="122"/>
      <c r="J18" s="122"/>
      <c r="K18" s="122"/>
      <c r="L18" s="121" t="s">
        <v>594</v>
      </c>
      <c r="M18" s="121">
        <v>8</v>
      </c>
      <c r="N18" s="121"/>
    </row>
    <row r="19" spans="1:14" ht="11.25" customHeight="1">
      <c r="A19" s="117"/>
      <c r="B19" s="119" t="s">
        <v>600</v>
      </c>
      <c r="C19" s="97">
        <v>0.01</v>
      </c>
      <c r="D19" s="97">
        <v>0.01</v>
      </c>
      <c r="E19" s="97">
        <v>0.01</v>
      </c>
      <c r="F19" s="97">
        <v>0.01</v>
      </c>
      <c r="G19" s="97">
        <v>0.01</v>
      </c>
      <c r="H19" s="121"/>
      <c r="I19" s="121"/>
      <c r="J19" s="121"/>
      <c r="K19" s="121"/>
      <c r="L19" s="121"/>
      <c r="M19" s="121" t="s">
        <v>815</v>
      </c>
      <c r="N19" s="121"/>
    </row>
    <row r="20" spans="1:14" ht="11.25" customHeight="1">
      <c r="A20" s="117"/>
      <c r="B20" s="119" t="s">
        <v>601</v>
      </c>
      <c r="C20" s="97">
        <v>0.01</v>
      </c>
      <c r="D20" s="97">
        <v>0.01</v>
      </c>
      <c r="E20" s="97">
        <v>0.01</v>
      </c>
      <c r="F20" s="97">
        <v>0.01</v>
      </c>
      <c r="G20" s="97">
        <v>0.01</v>
      </c>
      <c r="H20" s="121"/>
      <c r="I20" s="121"/>
      <c r="J20" s="121"/>
      <c r="K20" s="121"/>
      <c r="L20" s="121"/>
      <c r="M20" s="121" t="s">
        <v>815</v>
      </c>
      <c r="N20" s="121"/>
    </row>
    <row r="21" spans="1:14" ht="11.25" customHeight="1">
      <c r="A21" s="117" t="s">
        <v>648</v>
      </c>
      <c r="C21" s="121"/>
      <c r="D21" s="121"/>
      <c r="E21" s="121"/>
      <c r="F21" s="121"/>
      <c r="G21" s="121"/>
      <c r="H21" s="121"/>
      <c r="I21" s="121"/>
      <c r="J21" s="121"/>
      <c r="K21" s="121"/>
      <c r="L21" s="121"/>
      <c r="M21" s="121"/>
      <c r="N21" s="121"/>
    </row>
    <row r="22" spans="1:14" ht="11.25" customHeight="1">
      <c r="A22" s="117"/>
      <c r="B22" s="119" t="s">
        <v>816</v>
      </c>
      <c r="C22" s="181">
        <v>7.0000000000000007E-2</v>
      </c>
      <c r="D22" s="181">
        <v>7.0000000000000007E-2</v>
      </c>
      <c r="E22" s="181">
        <v>7.0000000000000007E-2</v>
      </c>
      <c r="F22" s="181">
        <v>7.0000000000000007E-2</v>
      </c>
      <c r="G22" s="181">
        <v>7.0000000000000007E-2</v>
      </c>
      <c r="H22" s="126"/>
      <c r="I22" s="126"/>
      <c r="J22" s="126"/>
      <c r="K22" s="126"/>
      <c r="L22" s="121" t="s">
        <v>817</v>
      </c>
      <c r="M22" s="121" t="s">
        <v>818</v>
      </c>
      <c r="N22" s="121"/>
    </row>
    <row r="23" spans="1:14" ht="11.25" customHeight="1">
      <c r="A23" s="117"/>
      <c r="B23" s="119" t="s">
        <v>604</v>
      </c>
      <c r="C23" s="104">
        <v>0.66666666666666696</v>
      </c>
      <c r="D23" s="104">
        <v>0.66666666666666696</v>
      </c>
      <c r="E23" s="104">
        <v>0.66666666666666696</v>
      </c>
      <c r="F23" s="104">
        <v>0.66666666666666696</v>
      </c>
      <c r="G23" s="104">
        <v>0.66666666666666696</v>
      </c>
      <c r="H23" s="126"/>
      <c r="I23" s="126"/>
      <c r="J23" s="126"/>
      <c r="K23" s="126"/>
      <c r="L23" s="121"/>
      <c r="M23" s="121">
        <v>9</v>
      </c>
      <c r="N23" s="121"/>
    </row>
    <row r="24" spans="1:14" ht="11.25" customHeight="1">
      <c r="A24" s="117"/>
      <c r="B24" s="119" t="s">
        <v>651</v>
      </c>
      <c r="C24" s="104">
        <v>0.33333333333333298</v>
      </c>
      <c r="D24" s="104">
        <v>0.33333333333333298</v>
      </c>
      <c r="E24" s="104">
        <v>0.33333333333333298</v>
      </c>
      <c r="F24" s="104">
        <v>0.33333333333333298</v>
      </c>
      <c r="G24" s="104">
        <v>0.33333333333333298</v>
      </c>
      <c r="H24" s="126"/>
      <c r="I24" s="126"/>
      <c r="J24" s="126"/>
      <c r="K24" s="126"/>
      <c r="L24" s="121"/>
      <c r="M24" s="121">
        <v>9</v>
      </c>
      <c r="N24" s="121"/>
    </row>
    <row r="25" spans="1:14" ht="11.25" customHeight="1">
      <c r="A25" s="117"/>
      <c r="B25" s="119" t="s">
        <v>652</v>
      </c>
      <c r="C25" s="128">
        <v>0</v>
      </c>
      <c r="D25" s="128">
        <v>0</v>
      </c>
      <c r="E25" s="128">
        <v>0</v>
      </c>
      <c r="F25" s="128">
        <v>0</v>
      </c>
      <c r="G25" s="128">
        <v>0</v>
      </c>
      <c r="H25" s="128"/>
      <c r="I25" s="128"/>
      <c r="J25" s="128"/>
      <c r="K25" s="128"/>
      <c r="L25" s="121" t="s">
        <v>625</v>
      </c>
      <c r="M25" s="121">
        <v>5</v>
      </c>
      <c r="N25" s="185"/>
    </row>
    <row r="26" spans="1:14" ht="11.25" customHeight="1">
      <c r="A26" s="117"/>
      <c r="B26" s="119" t="s">
        <v>653</v>
      </c>
      <c r="C26" s="125">
        <v>0.23499999999999999</v>
      </c>
      <c r="D26" s="125">
        <v>0.23499999999999999</v>
      </c>
      <c r="E26" s="125">
        <v>0.23499999999999999</v>
      </c>
      <c r="F26" s="125">
        <v>0.23499999999999999</v>
      </c>
      <c r="G26" s="125">
        <v>0.23499999999999999</v>
      </c>
      <c r="H26" s="126"/>
      <c r="I26" s="126"/>
      <c r="J26" s="126"/>
      <c r="K26" s="126"/>
      <c r="L26" s="121" t="s">
        <v>625</v>
      </c>
      <c r="M26" s="121"/>
      <c r="N26" s="103"/>
    </row>
    <row r="27" spans="1:14" ht="11.25" customHeight="1">
      <c r="A27" s="117" t="s">
        <v>610</v>
      </c>
      <c r="C27" s="121"/>
      <c r="D27" s="121"/>
      <c r="E27" s="121"/>
      <c r="F27" s="121"/>
      <c r="G27" s="121"/>
      <c r="H27" s="121"/>
      <c r="I27" s="121"/>
      <c r="J27" s="121"/>
      <c r="K27" s="121"/>
      <c r="L27" s="121"/>
      <c r="M27" s="121"/>
      <c r="N27" s="121"/>
    </row>
    <row r="28" spans="1:14" ht="11.25" customHeight="1">
      <c r="A28" s="117"/>
      <c r="B28" s="119" t="s">
        <v>819</v>
      </c>
      <c r="C28" s="120" t="s">
        <v>580</v>
      </c>
      <c r="D28" s="120" t="s">
        <v>580</v>
      </c>
      <c r="E28" s="120" t="s">
        <v>580</v>
      </c>
      <c r="F28" s="120" t="s">
        <v>580</v>
      </c>
      <c r="G28" s="120" t="s">
        <v>580</v>
      </c>
      <c r="H28" s="128"/>
      <c r="I28" s="128"/>
      <c r="J28" s="128"/>
      <c r="K28" s="128"/>
      <c r="L28" s="121" t="s">
        <v>607</v>
      </c>
      <c r="M28" s="121"/>
      <c r="N28" s="121"/>
    </row>
    <row r="29" spans="1:14" ht="11.25" customHeight="1">
      <c r="A29" s="117"/>
      <c r="B29" s="119" t="s">
        <v>820</v>
      </c>
      <c r="C29" s="120" t="s">
        <v>580</v>
      </c>
      <c r="D29" s="120" t="s">
        <v>580</v>
      </c>
      <c r="E29" s="120" t="s">
        <v>580</v>
      </c>
      <c r="F29" s="120" t="s">
        <v>580</v>
      </c>
      <c r="G29" s="120" t="s">
        <v>580</v>
      </c>
      <c r="H29" s="128"/>
      <c r="I29" s="128"/>
      <c r="J29" s="128"/>
      <c r="K29" s="128"/>
      <c r="L29" s="121" t="s">
        <v>607</v>
      </c>
      <c r="M29" s="121"/>
      <c r="N29" s="121"/>
    </row>
    <row r="30" spans="1:14" ht="11.25" customHeight="1">
      <c r="A30" s="117"/>
      <c r="B30" s="119" t="s">
        <v>614</v>
      </c>
      <c r="C30" s="120" t="s">
        <v>580</v>
      </c>
      <c r="D30" s="120" t="s">
        <v>580</v>
      </c>
      <c r="E30" s="120" t="s">
        <v>580</v>
      </c>
      <c r="F30" s="120" t="s">
        <v>580</v>
      </c>
      <c r="G30" s="120" t="s">
        <v>580</v>
      </c>
      <c r="H30" s="171"/>
      <c r="I30" s="171"/>
      <c r="J30" s="171"/>
      <c r="K30" s="171"/>
      <c r="L30" s="121" t="s">
        <v>607</v>
      </c>
      <c r="M30" s="121"/>
      <c r="N30" s="121"/>
    </row>
    <row r="31" spans="1:14" ht="11.25" customHeight="1">
      <c r="A31" s="132"/>
      <c r="B31" s="119" t="s">
        <v>821</v>
      </c>
      <c r="C31" s="128">
        <v>1800</v>
      </c>
      <c r="D31" s="128">
        <v>2000</v>
      </c>
      <c r="E31" s="128">
        <v>2000</v>
      </c>
      <c r="F31" s="128">
        <v>2000</v>
      </c>
      <c r="G31" s="128">
        <v>2000</v>
      </c>
      <c r="H31" s="128"/>
      <c r="I31" s="128"/>
      <c r="J31" s="128"/>
      <c r="K31" s="128"/>
      <c r="L31" s="121"/>
      <c r="M31" s="121" t="s">
        <v>822</v>
      </c>
      <c r="N31" s="121"/>
    </row>
    <row r="32" spans="1:14" ht="11.25" customHeight="1" thickBot="1">
      <c r="A32" s="167"/>
      <c r="B32" s="167"/>
      <c r="C32" s="167"/>
      <c r="D32" s="167"/>
      <c r="E32" s="167"/>
      <c r="F32" s="167"/>
      <c r="G32" s="167"/>
      <c r="H32" s="167"/>
      <c r="I32" s="167"/>
      <c r="J32" s="167"/>
      <c r="K32" s="167"/>
      <c r="L32" s="167"/>
      <c r="M32" s="167"/>
      <c r="N32" s="121"/>
    </row>
    <row r="33" spans="1:15" s="135" customFormat="1" ht="11.25" customHeight="1"/>
    <row r="34" spans="1:15" s="135" customFormat="1" ht="11.25" customHeight="1">
      <c r="A34" s="117" t="s">
        <v>622</v>
      </c>
      <c r="B34" s="119"/>
      <c r="C34" s="119"/>
      <c r="D34" s="119"/>
      <c r="E34" s="119"/>
      <c r="F34" s="119"/>
      <c r="G34" s="119"/>
      <c r="H34" s="119"/>
      <c r="I34" s="119"/>
      <c r="J34" s="119"/>
      <c r="K34" s="119"/>
      <c r="L34" s="119"/>
      <c r="M34" s="119"/>
      <c r="N34" s="119"/>
      <c r="O34" s="119"/>
    </row>
    <row r="35" spans="1:15" s="135" customFormat="1" ht="11.25" customHeight="1">
      <c r="A35" s="178" t="s">
        <v>585</v>
      </c>
      <c r="B35" s="112" t="s">
        <v>823</v>
      </c>
    </row>
    <row r="36" spans="1:15" s="135" customFormat="1" ht="11.25" customHeight="1">
      <c r="A36" s="178" t="s">
        <v>588</v>
      </c>
      <c r="B36" s="112" t="s">
        <v>824</v>
      </c>
    </row>
    <row r="37" spans="1:15" s="135" customFormat="1" ht="11.25" customHeight="1">
      <c r="A37" s="178" t="s">
        <v>625</v>
      </c>
      <c r="B37" s="112" t="s">
        <v>825</v>
      </c>
    </row>
    <row r="38" spans="1:15" ht="11.25" customHeight="1">
      <c r="A38" s="178" t="s">
        <v>594</v>
      </c>
      <c r="B38" s="112" t="s">
        <v>826</v>
      </c>
      <c r="C38" s="135"/>
      <c r="D38" s="135"/>
      <c r="E38" s="135"/>
      <c r="F38" s="135"/>
      <c r="G38" s="135"/>
      <c r="H38" s="135"/>
      <c r="I38" s="135"/>
      <c r="J38" s="135"/>
      <c r="K38" s="135"/>
      <c r="L38" s="135"/>
      <c r="M38" s="135"/>
      <c r="N38" s="135"/>
      <c r="O38" s="135"/>
    </row>
    <row r="39" spans="1:15" ht="11.25" customHeight="1">
      <c r="A39" s="178" t="s">
        <v>605</v>
      </c>
      <c r="B39" s="112" t="s">
        <v>827</v>
      </c>
      <c r="C39" s="135"/>
      <c r="D39" s="135"/>
      <c r="E39" s="135"/>
      <c r="F39" s="135"/>
      <c r="G39" s="135"/>
      <c r="H39" s="135"/>
      <c r="I39" s="135"/>
      <c r="J39" s="135"/>
      <c r="K39" s="135"/>
      <c r="L39" s="135"/>
      <c r="M39" s="135"/>
      <c r="N39" s="135"/>
      <c r="O39" s="135"/>
    </row>
    <row r="40" spans="1:15" ht="11.25" customHeight="1">
      <c r="A40" s="178" t="s">
        <v>607</v>
      </c>
      <c r="B40" s="112" t="s">
        <v>828</v>
      </c>
      <c r="C40" s="135"/>
      <c r="D40" s="135"/>
      <c r="E40" s="135"/>
      <c r="F40" s="135"/>
      <c r="G40" s="135"/>
      <c r="H40" s="135"/>
      <c r="I40" s="135"/>
      <c r="J40" s="135"/>
      <c r="K40" s="135"/>
      <c r="L40" s="135"/>
      <c r="M40" s="135"/>
      <c r="N40" s="135"/>
      <c r="O40" s="135"/>
    </row>
    <row r="41" spans="1:15" s="135" customFormat="1" ht="11.25" customHeight="1">
      <c r="A41" s="178" t="s">
        <v>619</v>
      </c>
      <c r="B41" s="112" t="s">
        <v>829</v>
      </c>
      <c r="C41" s="119"/>
      <c r="D41" s="119"/>
      <c r="E41" s="119"/>
      <c r="F41" s="119"/>
      <c r="G41" s="119"/>
      <c r="H41" s="119"/>
      <c r="I41" s="119"/>
      <c r="J41" s="119"/>
      <c r="K41" s="119"/>
      <c r="L41" s="119"/>
      <c r="M41" s="119"/>
      <c r="N41" s="119"/>
      <c r="O41" s="119"/>
    </row>
    <row r="42" spans="1:15" s="135" customFormat="1" ht="11.25" customHeight="1">
      <c r="A42" s="178" t="s">
        <v>612</v>
      </c>
      <c r="B42" s="135" t="s">
        <v>830</v>
      </c>
      <c r="C42" s="119"/>
      <c r="D42" s="119"/>
      <c r="E42" s="119"/>
      <c r="F42" s="119"/>
      <c r="G42" s="119"/>
      <c r="H42" s="119"/>
      <c r="I42" s="119"/>
      <c r="J42" s="119"/>
      <c r="K42" s="119"/>
      <c r="L42" s="119"/>
      <c r="M42" s="119"/>
      <c r="N42" s="119"/>
      <c r="O42" s="119"/>
    </row>
    <row r="43" spans="1:15" s="135" customFormat="1" ht="11.25" customHeight="1">
      <c r="A43" s="178"/>
      <c r="C43" s="119"/>
      <c r="D43" s="119"/>
      <c r="E43" s="119"/>
      <c r="F43" s="119"/>
      <c r="G43" s="119"/>
      <c r="H43" s="119"/>
      <c r="I43" s="119"/>
      <c r="J43" s="119"/>
      <c r="K43" s="119"/>
      <c r="L43" s="119"/>
      <c r="M43" s="119"/>
      <c r="N43" s="119"/>
      <c r="O43" s="119"/>
    </row>
    <row r="44" spans="1:15" s="135" customFormat="1" ht="11.25" customHeight="1">
      <c r="A44" s="140" t="s">
        <v>633</v>
      </c>
      <c r="B44" s="119"/>
    </row>
    <row r="45" spans="1:15" ht="11.25" customHeight="1">
      <c r="A45" s="87">
        <v>1</v>
      </c>
      <c r="B45" s="112" t="s">
        <v>831</v>
      </c>
      <c r="C45" s="135"/>
      <c r="D45" s="135"/>
      <c r="E45" s="135"/>
      <c r="F45" s="135"/>
      <c r="G45" s="135"/>
      <c r="H45" s="135"/>
      <c r="I45" s="135"/>
      <c r="J45" s="135"/>
      <c r="K45" s="135"/>
      <c r="L45" s="135"/>
      <c r="M45" s="135"/>
      <c r="N45" s="135"/>
      <c r="O45" s="135"/>
    </row>
    <row r="46" spans="1:15" ht="11.25" customHeight="1">
      <c r="A46" s="87">
        <v>2</v>
      </c>
      <c r="B46" s="112" t="s">
        <v>832</v>
      </c>
      <c r="C46" s="135"/>
      <c r="D46" s="135"/>
      <c r="E46" s="135"/>
      <c r="F46" s="135"/>
      <c r="G46" s="135"/>
      <c r="H46" s="135"/>
      <c r="I46" s="135"/>
      <c r="J46" s="135"/>
      <c r="K46" s="135"/>
      <c r="L46" s="135"/>
      <c r="M46" s="135"/>
      <c r="N46" s="135"/>
      <c r="O46" s="135"/>
    </row>
    <row r="47" spans="1:15" ht="11.25" customHeight="1">
      <c r="A47" s="87">
        <v>3</v>
      </c>
      <c r="B47" s="112" t="s">
        <v>792</v>
      </c>
      <c r="C47" s="135"/>
      <c r="D47" s="135"/>
      <c r="E47" s="135"/>
      <c r="F47" s="135"/>
      <c r="G47" s="135"/>
      <c r="H47" s="135"/>
      <c r="I47" s="135"/>
      <c r="J47" s="135"/>
      <c r="K47" s="135"/>
      <c r="L47" s="135"/>
      <c r="M47" s="135"/>
      <c r="N47" s="135"/>
      <c r="O47" s="135"/>
    </row>
    <row r="48" spans="1:15" ht="11.25" customHeight="1">
      <c r="A48" s="87">
        <v>4</v>
      </c>
      <c r="B48" s="112" t="s">
        <v>833</v>
      </c>
    </row>
    <row r="49" spans="1:2" ht="11.25" customHeight="1">
      <c r="A49" s="87">
        <v>5</v>
      </c>
      <c r="B49" s="112" t="s">
        <v>674</v>
      </c>
    </row>
    <row r="50" spans="1:2" ht="11.25" customHeight="1">
      <c r="A50" s="87">
        <v>6</v>
      </c>
      <c r="B50" s="112" t="s">
        <v>798</v>
      </c>
    </row>
    <row r="51" spans="1:2" ht="11.25" customHeight="1">
      <c r="A51" s="87">
        <v>7</v>
      </c>
      <c r="B51" s="112" t="s">
        <v>799</v>
      </c>
    </row>
    <row r="52" spans="1:2" ht="11.25" customHeight="1">
      <c r="A52" s="87">
        <v>8</v>
      </c>
      <c r="B52" s="112" t="s">
        <v>834</v>
      </c>
    </row>
    <row r="53" spans="1:2" ht="11.25" customHeight="1">
      <c r="A53" s="87">
        <v>9</v>
      </c>
      <c r="B53" s="112" t="s">
        <v>835</v>
      </c>
    </row>
    <row r="54" spans="1:2" ht="11.25" customHeight="1">
      <c r="A54" s="87">
        <v>10</v>
      </c>
      <c r="B54" s="112" t="s">
        <v>797</v>
      </c>
    </row>
    <row r="55" spans="1:2" ht="11.25" customHeight="1">
      <c r="A55" s="87">
        <v>11</v>
      </c>
      <c r="B55" s="112" t="s">
        <v>836</v>
      </c>
    </row>
    <row r="57" spans="1:2" ht="11.25" customHeight="1">
      <c r="A57" s="117"/>
    </row>
    <row r="59" spans="1:2" ht="11.25" customHeight="1">
      <c r="A59" s="117"/>
    </row>
    <row r="60" spans="1:2" ht="11.25" customHeight="1">
      <c r="A60" s="117"/>
    </row>
    <row r="61" spans="1:2" ht="11.25" customHeight="1">
      <c r="A61" s="117"/>
    </row>
    <row r="62" spans="1:2" ht="11.25" customHeight="1">
      <c r="A62" s="117"/>
    </row>
    <row r="63" spans="1:2" ht="11.25" customHeight="1">
      <c r="A63" s="117"/>
    </row>
    <row r="64" spans="1:2" ht="11.25" customHeight="1">
      <c r="A64" s="117"/>
    </row>
    <row r="65" spans="1:1" ht="11.25" customHeight="1">
      <c r="A65" s="117"/>
    </row>
    <row r="66" spans="1:1" ht="11.25" customHeight="1">
      <c r="A66" s="117"/>
    </row>
    <row r="67" spans="1:1" ht="11.25" customHeight="1">
      <c r="A67" s="117"/>
    </row>
    <row r="68" spans="1:1" ht="11.25" customHeight="1">
      <c r="A68" s="117"/>
    </row>
    <row r="69" spans="1:1" ht="11.25" customHeight="1">
      <c r="A69" s="117"/>
    </row>
    <row r="70" spans="1:1" ht="11.25" customHeight="1">
      <c r="A70" s="117"/>
    </row>
    <row r="71" spans="1:1" ht="11.25" customHeight="1">
      <c r="A71" s="117"/>
    </row>
    <row r="72" spans="1:1" ht="11.25" customHeight="1">
      <c r="A72" s="117"/>
    </row>
    <row r="73" spans="1:1" ht="11.25" customHeight="1">
      <c r="A73" s="117"/>
    </row>
    <row r="74" spans="1:1" ht="11.25" customHeight="1">
      <c r="A74" s="117"/>
    </row>
    <row r="75" spans="1:1" ht="11.25" customHeight="1">
      <c r="A75" s="117"/>
    </row>
    <row r="76" spans="1:1" ht="11.25" customHeight="1">
      <c r="A76" s="117"/>
    </row>
    <row r="77" spans="1:1" ht="11.25" customHeight="1">
      <c r="A77" s="117"/>
    </row>
    <row r="78" spans="1:1" ht="11.25" customHeight="1">
      <c r="A78" s="117"/>
    </row>
    <row r="79" spans="1:1" ht="11.25" customHeight="1">
      <c r="A79" s="117"/>
    </row>
    <row r="80" spans="1:1" ht="11.25" customHeight="1">
      <c r="A80" s="117"/>
    </row>
    <row r="81" spans="1:1" ht="11.25" customHeight="1">
      <c r="A81" s="117"/>
    </row>
    <row r="82" spans="1:1" ht="11.25" customHeight="1">
      <c r="A82" s="117"/>
    </row>
    <row r="83" spans="1:1" ht="11.25" customHeight="1">
      <c r="A83" s="117"/>
    </row>
    <row r="84" spans="1:1" ht="11.25" customHeight="1">
      <c r="A84" s="117"/>
    </row>
    <row r="85" spans="1:1" ht="11.25" customHeight="1">
      <c r="A85" s="117"/>
    </row>
    <row r="86" spans="1:1" ht="11.25" customHeight="1">
      <c r="A86" s="117"/>
    </row>
    <row r="87" spans="1:1" ht="11.25" customHeight="1">
      <c r="A87" s="117"/>
    </row>
    <row r="88" spans="1:1" ht="11.25" customHeight="1">
      <c r="A88" s="117"/>
    </row>
    <row r="89" spans="1:1" ht="11.25" customHeight="1">
      <c r="A89" s="117"/>
    </row>
    <row r="90" spans="1:1" ht="11.25" customHeight="1">
      <c r="A90" s="117"/>
    </row>
    <row r="91" spans="1:1" ht="11.25" customHeight="1">
      <c r="A91" s="117"/>
    </row>
    <row r="92" spans="1:1" ht="11.25" customHeight="1">
      <c r="A92" s="117"/>
    </row>
    <row r="93" spans="1:1" ht="11.25" customHeight="1">
      <c r="A93" s="117"/>
    </row>
    <row r="94" spans="1:1" ht="11.25" customHeight="1">
      <c r="A94" s="117"/>
    </row>
    <row r="95" spans="1:1" ht="11.25" customHeight="1">
      <c r="A95" s="117"/>
    </row>
    <row r="96" spans="1:1" ht="11.25" customHeight="1">
      <c r="A96" s="117"/>
    </row>
    <row r="97" spans="1:1" ht="11.25" customHeight="1">
      <c r="A97" s="117"/>
    </row>
    <row r="98" spans="1:1" ht="11.25" customHeight="1">
      <c r="A98" s="117"/>
    </row>
    <row r="99" spans="1:1" ht="11.25" customHeight="1">
      <c r="A99" s="117"/>
    </row>
    <row r="100" spans="1:1" ht="11.25" customHeight="1">
      <c r="A100" s="117"/>
    </row>
    <row r="101" spans="1:1" ht="11.25" customHeight="1">
      <c r="A101" s="117"/>
    </row>
    <row r="102" spans="1:1" ht="11.25" customHeight="1">
      <c r="A102" s="117"/>
    </row>
    <row r="103" spans="1:1" ht="11.25" customHeight="1">
      <c r="A103" s="117"/>
    </row>
    <row r="104" spans="1:1" ht="11.25" customHeight="1">
      <c r="A104" s="117"/>
    </row>
    <row r="105" spans="1:1" ht="11.25" customHeight="1">
      <c r="A105" s="117"/>
    </row>
    <row r="106" spans="1:1" ht="11.25" customHeight="1">
      <c r="A106" s="117"/>
    </row>
    <row r="107" spans="1:1" ht="11.25" customHeight="1">
      <c r="A107" s="117"/>
    </row>
    <row r="108" spans="1:1" ht="11.25" customHeight="1">
      <c r="A108" s="117"/>
    </row>
    <row r="109" spans="1:1" ht="11.25" customHeight="1">
      <c r="A109" s="117"/>
    </row>
    <row r="110" spans="1:1" ht="11.25" customHeight="1">
      <c r="A110" s="117"/>
    </row>
    <row r="111" spans="1:1" ht="11.25" customHeight="1">
      <c r="A111" s="117"/>
    </row>
    <row r="112" spans="1:1" ht="11.25" customHeight="1">
      <c r="A112" s="117"/>
    </row>
    <row r="113" spans="1:1" ht="11.25" customHeight="1">
      <c r="A113" s="117"/>
    </row>
    <row r="114" spans="1:1" ht="11.25" customHeight="1">
      <c r="A114" s="117"/>
    </row>
    <row r="115" spans="1:1" ht="11.25" customHeight="1">
      <c r="A115" s="117"/>
    </row>
    <row r="116" spans="1:1" ht="11.25" customHeight="1">
      <c r="A116" s="117"/>
    </row>
    <row r="117" spans="1:1" ht="11.25" customHeight="1">
      <c r="A117" s="117"/>
    </row>
    <row r="118" spans="1:1" ht="11.25" customHeight="1">
      <c r="A118" s="117"/>
    </row>
    <row r="119" spans="1:1" ht="11.25" customHeight="1">
      <c r="A119" s="117"/>
    </row>
    <row r="120" spans="1:1" ht="11.25" customHeight="1">
      <c r="A120" s="117"/>
    </row>
    <row r="121" spans="1:1" ht="11.25" customHeight="1">
      <c r="A121" s="117"/>
    </row>
    <row r="122" spans="1:1" ht="11.25" customHeight="1">
      <c r="A122" s="117"/>
    </row>
    <row r="123" spans="1:1" ht="11.25" customHeight="1">
      <c r="A123" s="117"/>
    </row>
    <row r="124" spans="1:1" ht="11.25" customHeight="1">
      <c r="A124" s="117"/>
    </row>
    <row r="125" spans="1:1" ht="11.25" customHeight="1">
      <c r="A125" s="117"/>
    </row>
    <row r="126" spans="1:1" ht="11.25" customHeight="1">
      <c r="A126" s="117"/>
    </row>
    <row r="127" spans="1:1" ht="11.25" customHeight="1">
      <c r="A127" s="117"/>
    </row>
    <row r="128" spans="1:1" ht="11.25" customHeight="1">
      <c r="A128" s="117"/>
    </row>
    <row r="129" spans="1:1" ht="11.25" customHeight="1">
      <c r="A129" s="117"/>
    </row>
    <row r="130" spans="1:1" ht="11.25" customHeight="1">
      <c r="A130" s="117"/>
    </row>
    <row r="131" spans="1:1" ht="11.25" customHeight="1">
      <c r="A131" s="117"/>
    </row>
    <row r="132" spans="1:1" ht="11.25" customHeight="1">
      <c r="A132" s="117"/>
    </row>
    <row r="133" spans="1:1" ht="11.25" customHeight="1">
      <c r="A133" s="117"/>
    </row>
    <row r="134" spans="1:1" ht="11.25" customHeight="1">
      <c r="A134" s="117"/>
    </row>
    <row r="135" spans="1:1" ht="11.25" customHeight="1">
      <c r="A135" s="117"/>
    </row>
    <row r="136" spans="1:1" ht="11.25" customHeight="1">
      <c r="A136" s="117"/>
    </row>
    <row r="137" spans="1:1" ht="11.25" customHeight="1">
      <c r="A137" s="117"/>
    </row>
    <row r="138" spans="1:1" ht="11.25" customHeight="1">
      <c r="A138" s="117"/>
    </row>
    <row r="139" spans="1:1" ht="11.25" customHeight="1">
      <c r="A139" s="117"/>
    </row>
    <row r="140" spans="1:1" ht="11.25" customHeight="1">
      <c r="A140" s="117"/>
    </row>
    <row r="141" spans="1:1" ht="11.25" customHeight="1">
      <c r="A141" s="117"/>
    </row>
    <row r="142" spans="1:1" ht="11.25" customHeight="1">
      <c r="A142" s="117"/>
    </row>
    <row r="143" spans="1:1" ht="11.25" customHeight="1">
      <c r="A143" s="117"/>
    </row>
    <row r="144" spans="1:1" ht="11.25" customHeight="1">
      <c r="A144" s="117"/>
    </row>
    <row r="145" spans="1:1" ht="11.25" customHeight="1">
      <c r="A145" s="117"/>
    </row>
    <row r="146" spans="1:1" ht="11.25" customHeight="1">
      <c r="A146" s="117"/>
    </row>
    <row r="147" spans="1:1" ht="11.25" customHeight="1">
      <c r="A147" s="117"/>
    </row>
    <row r="148" spans="1:1" ht="11.25" customHeight="1">
      <c r="A148" s="117"/>
    </row>
    <row r="149" spans="1:1" ht="11.25" customHeight="1">
      <c r="A149" s="117"/>
    </row>
    <row r="150" spans="1:1" ht="11.25" customHeight="1">
      <c r="A150" s="117"/>
    </row>
    <row r="151" spans="1:1" ht="11.25" customHeight="1">
      <c r="A151" s="117"/>
    </row>
    <row r="152" spans="1:1" ht="11.25" customHeight="1">
      <c r="A152" s="117"/>
    </row>
    <row r="153" spans="1:1" ht="11.25" customHeight="1">
      <c r="A153" s="117"/>
    </row>
    <row r="154" spans="1:1" ht="11.25" customHeight="1">
      <c r="A154" s="117"/>
    </row>
    <row r="155" spans="1:1" ht="11.25" customHeight="1">
      <c r="A155" s="117"/>
    </row>
    <row r="156" spans="1:1" ht="11.25" customHeight="1">
      <c r="A156" s="117"/>
    </row>
    <row r="157" spans="1:1" ht="11.25" customHeight="1">
      <c r="A157" s="117"/>
    </row>
    <row r="158" spans="1:1" ht="11.25" customHeight="1">
      <c r="A158" s="117"/>
    </row>
    <row r="159" spans="1:1" ht="11.25" customHeight="1">
      <c r="A159" s="117"/>
    </row>
    <row r="160" spans="1:1" ht="11.25" customHeight="1">
      <c r="A160" s="117"/>
    </row>
    <row r="161" spans="1:1" ht="11.25" customHeight="1">
      <c r="A161" s="117"/>
    </row>
    <row r="162" spans="1:1" ht="11.25" customHeight="1">
      <c r="A162" s="117"/>
    </row>
    <row r="163" spans="1:1" ht="11.25" customHeight="1">
      <c r="A163" s="117"/>
    </row>
    <row r="164" spans="1:1" ht="11.25" customHeight="1">
      <c r="A164" s="117"/>
    </row>
    <row r="165" spans="1:1" ht="11.25" customHeight="1">
      <c r="A165" s="117"/>
    </row>
    <row r="166" spans="1:1" ht="11.25" customHeight="1">
      <c r="A166" s="117"/>
    </row>
    <row r="167" spans="1:1" ht="11.25" customHeight="1">
      <c r="A167" s="117"/>
    </row>
    <row r="168" spans="1:1" ht="11.25" customHeight="1">
      <c r="A168" s="117"/>
    </row>
    <row r="169" spans="1:1" ht="11.25" customHeight="1">
      <c r="A169" s="117"/>
    </row>
    <row r="170" spans="1:1" ht="11.25" customHeight="1">
      <c r="A170" s="117"/>
    </row>
    <row r="171" spans="1:1" ht="11.25" customHeight="1">
      <c r="A171" s="117"/>
    </row>
    <row r="172" spans="1:1" ht="11.25" customHeight="1">
      <c r="A172" s="117"/>
    </row>
    <row r="173" spans="1:1" ht="11.25" customHeight="1">
      <c r="A173" s="117"/>
    </row>
    <row r="174" spans="1:1" ht="11.25" customHeight="1">
      <c r="A174" s="117"/>
    </row>
    <row r="175" spans="1:1" ht="11.25" customHeight="1">
      <c r="A175" s="117"/>
    </row>
    <row r="176" spans="1:1" ht="11.25" customHeight="1">
      <c r="A176" s="117"/>
    </row>
    <row r="177" spans="1:1" ht="11.25" customHeight="1">
      <c r="A177" s="117"/>
    </row>
  </sheetData>
  <mergeCells count="1">
    <mergeCell ref="C1:M1"/>
  </mergeCells>
  <hyperlinks>
    <hyperlink ref="C1" location="INDEX" display="Direct electric heating" xr:uid="{9C86F56A-2F59-4B2E-936B-7624AA04F934}"/>
  </hyperlink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1AB2A-6BC8-409A-B1B4-35DDAC5618F4}">
  <dimension ref="A1:BN47"/>
  <sheetViews>
    <sheetView topLeftCell="M1" zoomScale="54" zoomScaleNormal="70" workbookViewId="0">
      <selection activeCell="AI50" sqref="AI50"/>
    </sheetView>
  </sheetViews>
  <sheetFormatPr defaultRowHeight="15"/>
  <cols>
    <col min="1" max="1" width="14" style="13" customWidth="1"/>
    <col min="2" max="2" width="48.42578125" customWidth="1"/>
    <col min="3" max="10" width="16.140625" customWidth="1"/>
    <col min="11" max="11" width="6.7109375" customWidth="1"/>
    <col min="12" max="19" width="16.140625" customWidth="1"/>
    <col min="20" max="20" width="6.7109375" customWidth="1"/>
    <col min="21" max="28" width="16.140625" customWidth="1"/>
    <col min="29" max="29" width="6.7109375" customWidth="1"/>
    <col min="30" max="37" width="16.140625" customWidth="1"/>
    <col min="38" max="38" width="6.7109375" customWidth="1"/>
    <col min="39" max="46" width="16.140625" customWidth="1"/>
    <col min="47" max="47" width="6.7109375" customWidth="1"/>
    <col min="48" max="55" width="16.140625" customWidth="1"/>
    <col min="56" max="56" width="6.7109375" customWidth="1"/>
    <col min="57" max="64" width="16.140625" customWidth="1"/>
    <col min="65" max="65" width="6.7109375" customWidth="1"/>
  </cols>
  <sheetData>
    <row r="1" spans="1:66">
      <c r="B1" s="45" t="s">
        <v>296</v>
      </c>
      <c r="C1" t="s">
        <v>1</v>
      </c>
      <c r="D1" t="s">
        <v>1</v>
      </c>
      <c r="E1" t="s">
        <v>1</v>
      </c>
      <c r="F1" t="s">
        <v>1</v>
      </c>
      <c r="G1" t="s">
        <v>1</v>
      </c>
      <c r="H1" t="s">
        <v>1</v>
      </c>
      <c r="I1" t="s">
        <v>1</v>
      </c>
      <c r="J1" t="s">
        <v>1</v>
      </c>
      <c r="L1" t="s">
        <v>8</v>
      </c>
      <c r="M1" t="s">
        <v>8</v>
      </c>
      <c r="N1" t="s">
        <v>8</v>
      </c>
      <c r="O1" t="s">
        <v>8</v>
      </c>
      <c r="P1" t="s">
        <v>8</v>
      </c>
      <c r="Q1" t="s">
        <v>8</v>
      </c>
      <c r="R1" t="s">
        <v>8</v>
      </c>
      <c r="S1" t="s">
        <v>8</v>
      </c>
      <c r="U1" t="s">
        <v>5</v>
      </c>
      <c r="V1" t="s">
        <v>5</v>
      </c>
      <c r="W1" t="s">
        <v>5</v>
      </c>
      <c r="X1" t="s">
        <v>5</v>
      </c>
      <c r="Y1" t="s">
        <v>5</v>
      </c>
      <c r="Z1" t="s">
        <v>5</v>
      </c>
      <c r="AA1" t="s">
        <v>5</v>
      </c>
      <c r="AB1" t="s">
        <v>5</v>
      </c>
      <c r="AD1" t="s">
        <v>3</v>
      </c>
      <c r="AE1" t="s">
        <v>3</v>
      </c>
      <c r="AF1" t="s">
        <v>3</v>
      </c>
      <c r="AG1" t="s">
        <v>3</v>
      </c>
      <c r="AH1" t="s">
        <v>3</v>
      </c>
      <c r="AI1" t="s">
        <v>3</v>
      </c>
      <c r="AJ1" t="s">
        <v>3</v>
      </c>
      <c r="AK1" t="s">
        <v>3</v>
      </c>
      <c r="AM1" t="s">
        <v>9</v>
      </c>
      <c r="AN1" t="s">
        <v>9</v>
      </c>
      <c r="AO1" t="s">
        <v>9</v>
      </c>
      <c r="AP1" t="s">
        <v>9</v>
      </c>
      <c r="AQ1" t="s">
        <v>9</v>
      </c>
      <c r="AR1" t="s">
        <v>9</v>
      </c>
      <c r="AS1" t="s">
        <v>9</v>
      </c>
      <c r="AT1" t="s">
        <v>9</v>
      </c>
      <c r="AV1" t="s">
        <v>2</v>
      </c>
      <c r="AW1" t="s">
        <v>2</v>
      </c>
      <c r="AX1" t="s">
        <v>2</v>
      </c>
      <c r="AY1" t="s">
        <v>2</v>
      </c>
      <c r="AZ1" t="s">
        <v>2</v>
      </c>
      <c r="BA1" t="s">
        <v>2</v>
      </c>
      <c r="BB1" t="s">
        <v>2</v>
      </c>
      <c r="BC1" t="s">
        <v>2</v>
      </c>
      <c r="BE1" t="s">
        <v>4</v>
      </c>
      <c r="BF1" t="s">
        <v>4</v>
      </c>
      <c r="BG1" t="s">
        <v>4</v>
      </c>
      <c r="BH1" t="s">
        <v>4</v>
      </c>
      <c r="BI1" t="s">
        <v>4</v>
      </c>
      <c r="BJ1" t="s">
        <v>4</v>
      </c>
    </row>
    <row r="2" spans="1:66">
      <c r="B2" s="45" t="s">
        <v>1038</v>
      </c>
      <c r="C2">
        <v>4</v>
      </c>
      <c r="D2">
        <v>8</v>
      </c>
      <c r="E2">
        <v>9</v>
      </c>
      <c r="F2">
        <v>10</v>
      </c>
      <c r="G2">
        <v>11</v>
      </c>
      <c r="H2">
        <v>12</v>
      </c>
      <c r="L2">
        <v>4</v>
      </c>
      <c r="M2">
        <v>8</v>
      </c>
      <c r="N2">
        <v>9</v>
      </c>
      <c r="O2">
        <v>10</v>
      </c>
      <c r="P2">
        <v>11</v>
      </c>
      <c r="Q2">
        <v>12</v>
      </c>
      <c r="U2">
        <v>4</v>
      </c>
      <c r="V2">
        <v>8</v>
      </c>
      <c r="W2">
        <v>9</v>
      </c>
      <c r="X2">
        <v>10</v>
      </c>
      <c r="Y2">
        <v>11</v>
      </c>
      <c r="Z2">
        <v>12</v>
      </c>
      <c r="AD2">
        <v>4</v>
      </c>
      <c r="AE2">
        <v>8</v>
      </c>
      <c r="AF2">
        <v>9</v>
      </c>
      <c r="AG2">
        <v>10</v>
      </c>
      <c r="AH2">
        <v>11</v>
      </c>
      <c r="AI2">
        <v>12</v>
      </c>
      <c r="AM2">
        <v>4</v>
      </c>
      <c r="AN2">
        <v>8</v>
      </c>
      <c r="AO2">
        <v>9</v>
      </c>
      <c r="AP2">
        <v>10</v>
      </c>
      <c r="AQ2">
        <v>11</v>
      </c>
      <c r="AR2">
        <v>12</v>
      </c>
      <c r="AV2">
        <v>4</v>
      </c>
      <c r="AW2">
        <v>8</v>
      </c>
      <c r="AX2">
        <v>9</v>
      </c>
      <c r="AY2">
        <v>10</v>
      </c>
      <c r="AZ2">
        <v>11</v>
      </c>
      <c r="BA2">
        <v>12</v>
      </c>
    </row>
    <row r="3" spans="1:66" s="2" customFormat="1" ht="30">
      <c r="A3" s="391" t="s">
        <v>1039</v>
      </c>
      <c r="B3" s="391" t="s">
        <v>1040</v>
      </c>
      <c r="C3" s="392" t="s">
        <v>1041</v>
      </c>
      <c r="D3" s="392" t="s">
        <v>1042</v>
      </c>
      <c r="E3" s="392" t="s">
        <v>1043</v>
      </c>
      <c r="F3" s="392" t="s">
        <v>294</v>
      </c>
      <c r="G3" s="392" t="s">
        <v>1044</v>
      </c>
      <c r="H3" s="392" t="s">
        <v>1045</v>
      </c>
      <c r="I3" s="392" t="s">
        <v>1046</v>
      </c>
      <c r="J3" s="392" t="s">
        <v>1047</v>
      </c>
      <c r="L3" s="392" t="s">
        <v>1041</v>
      </c>
      <c r="M3" s="392" t="s">
        <v>1042</v>
      </c>
      <c r="N3" s="392" t="s">
        <v>1043</v>
      </c>
      <c r="O3" s="392" t="s">
        <v>294</v>
      </c>
      <c r="P3" s="392" t="s">
        <v>1044</v>
      </c>
      <c r="Q3" s="392" t="s">
        <v>1045</v>
      </c>
      <c r="R3" s="392" t="s">
        <v>1046</v>
      </c>
      <c r="S3" s="392" t="s">
        <v>1047</v>
      </c>
      <c r="U3" s="392" t="s">
        <v>1041</v>
      </c>
      <c r="V3" s="392" t="s">
        <v>1042</v>
      </c>
      <c r="W3" s="392" t="s">
        <v>1043</v>
      </c>
      <c r="X3" s="392" t="s">
        <v>294</v>
      </c>
      <c r="Y3" s="392" t="s">
        <v>1044</v>
      </c>
      <c r="Z3" s="392" t="s">
        <v>1045</v>
      </c>
      <c r="AA3" s="392" t="s">
        <v>1046</v>
      </c>
      <c r="AB3" s="392" t="s">
        <v>1047</v>
      </c>
      <c r="AD3" s="392" t="s">
        <v>1041</v>
      </c>
      <c r="AE3" s="392" t="s">
        <v>1042</v>
      </c>
      <c r="AF3" s="392" t="s">
        <v>1043</v>
      </c>
      <c r="AG3" s="392" t="s">
        <v>294</v>
      </c>
      <c r="AH3" s="392" t="s">
        <v>1044</v>
      </c>
      <c r="AI3" s="392" t="s">
        <v>1045</v>
      </c>
      <c r="AJ3" s="392" t="s">
        <v>1046</v>
      </c>
      <c r="AK3" s="392" t="s">
        <v>1047</v>
      </c>
      <c r="AM3" s="392" t="s">
        <v>1041</v>
      </c>
      <c r="AN3" s="392" t="s">
        <v>1042</v>
      </c>
      <c r="AO3" s="392" t="s">
        <v>1043</v>
      </c>
      <c r="AP3" s="392" t="s">
        <v>294</v>
      </c>
      <c r="AQ3" s="392" t="s">
        <v>1044</v>
      </c>
      <c r="AR3" s="392" t="s">
        <v>1045</v>
      </c>
      <c r="AS3" s="392" t="s">
        <v>1046</v>
      </c>
      <c r="AT3" s="392" t="s">
        <v>1047</v>
      </c>
      <c r="AV3" s="392" t="s">
        <v>1041</v>
      </c>
      <c r="AW3" s="392" t="s">
        <v>1042</v>
      </c>
      <c r="AX3" s="392" t="s">
        <v>1043</v>
      </c>
      <c r="AY3" s="392" t="s">
        <v>294</v>
      </c>
      <c r="AZ3" s="392" t="s">
        <v>1044</v>
      </c>
      <c r="BA3" s="392" t="s">
        <v>1045</v>
      </c>
      <c r="BB3" s="392" t="s">
        <v>1046</v>
      </c>
      <c r="BC3" s="392" t="s">
        <v>1047</v>
      </c>
      <c r="BE3" s="392" t="s">
        <v>1041</v>
      </c>
      <c r="BF3" s="392" t="s">
        <v>1042</v>
      </c>
      <c r="BG3" s="392" t="s">
        <v>1043</v>
      </c>
      <c r="BH3" s="392" t="s">
        <v>294</v>
      </c>
      <c r="BI3" s="392" t="s">
        <v>1044</v>
      </c>
      <c r="BJ3" s="392" t="s">
        <v>1045</v>
      </c>
      <c r="BK3" s="392" t="s">
        <v>1046</v>
      </c>
      <c r="BL3" s="392" t="s">
        <v>1047</v>
      </c>
      <c r="BN3" s="393" t="s">
        <v>1048</v>
      </c>
    </row>
    <row r="4" spans="1:66">
      <c r="A4" s="13" t="s">
        <v>1049</v>
      </c>
      <c r="B4" s="1" t="s">
        <v>1050</v>
      </c>
      <c r="C4" s="394">
        <v>0.1</v>
      </c>
      <c r="D4" s="21">
        <v>32.676380000000002</v>
      </c>
      <c r="E4" s="21">
        <v>11.53284</v>
      </c>
      <c r="F4" s="21">
        <v>94.367660000000001</v>
      </c>
      <c r="H4" s="21">
        <v>63.43061999999999</v>
      </c>
      <c r="I4" s="21">
        <v>48.0535</v>
      </c>
      <c r="J4" s="394">
        <v>0.1</v>
      </c>
      <c r="L4" s="81">
        <v>0.1</v>
      </c>
      <c r="M4" s="21"/>
      <c r="N4" s="21"/>
      <c r="O4" s="21"/>
      <c r="P4" s="21"/>
      <c r="Q4" s="21"/>
      <c r="R4" s="21"/>
      <c r="S4" s="21"/>
      <c r="U4" s="21">
        <v>19.144649999999999</v>
      </c>
      <c r="V4" s="21">
        <v>19.144649999999999</v>
      </c>
      <c r="W4" s="21"/>
      <c r="X4" s="21"/>
      <c r="Y4" s="21"/>
      <c r="Z4" s="21">
        <v>19.144649999999999</v>
      </c>
      <c r="AA4" s="21"/>
      <c r="AB4" s="395">
        <v>533.56404999999995</v>
      </c>
      <c r="AD4" s="81">
        <v>22.13025</v>
      </c>
      <c r="AE4" s="21">
        <v>43.860500000000002</v>
      </c>
      <c r="AF4" s="21"/>
      <c r="AG4" s="21">
        <v>20.942</v>
      </c>
      <c r="AH4" s="21"/>
      <c r="AI4" s="21">
        <v>21.930250000000001</v>
      </c>
      <c r="AJ4" s="21"/>
      <c r="AK4" s="21">
        <v>3.8719999999999999</v>
      </c>
      <c r="AM4" s="21">
        <v>15.014749999999999</v>
      </c>
      <c r="AN4" s="21">
        <v>30.029499999999999</v>
      </c>
      <c r="AO4" s="21"/>
      <c r="AP4" s="21">
        <v>1.494</v>
      </c>
      <c r="AR4" s="21">
        <v>30.029499999999999</v>
      </c>
      <c r="AS4" s="21"/>
      <c r="AT4" s="21">
        <v>6.1970000000000001</v>
      </c>
      <c r="AV4" s="34"/>
      <c r="AW4" s="21"/>
      <c r="AX4" s="21"/>
      <c r="AY4" s="21"/>
      <c r="AZ4" s="21"/>
      <c r="BA4" s="21"/>
      <c r="BB4" s="21"/>
      <c r="BC4" s="21"/>
      <c r="BE4" s="21">
        <v>48.2</v>
      </c>
      <c r="BF4" s="21">
        <v>154.173</v>
      </c>
      <c r="BG4" s="21"/>
      <c r="BH4" s="21"/>
      <c r="BI4" s="21"/>
      <c r="BJ4" s="21"/>
      <c r="BK4" s="21"/>
      <c r="BL4" s="21"/>
      <c r="BN4" t="s">
        <v>1051</v>
      </c>
    </row>
    <row r="5" spans="1:66">
      <c r="A5" s="13" t="s">
        <v>1049</v>
      </c>
      <c r="B5" s="1" t="s">
        <v>1052</v>
      </c>
      <c r="C5" s="34"/>
      <c r="F5" s="21">
        <v>14.582999999999998</v>
      </c>
      <c r="H5" s="21">
        <v>4.8610000000000007</v>
      </c>
      <c r="I5" s="21">
        <v>4.8610000000000007</v>
      </c>
      <c r="L5" s="21"/>
      <c r="M5" s="21"/>
      <c r="N5" s="21"/>
      <c r="O5" s="21"/>
      <c r="P5" s="21"/>
      <c r="Q5" s="21"/>
      <c r="R5" s="21"/>
      <c r="S5" s="21"/>
      <c r="U5" s="21"/>
      <c r="V5" s="21"/>
      <c r="W5" s="21"/>
      <c r="X5" s="21"/>
      <c r="Y5" s="21"/>
      <c r="AA5" s="21"/>
      <c r="AB5" s="395">
        <v>57.362999999999992</v>
      </c>
      <c r="AD5" s="21"/>
      <c r="AF5" s="21"/>
      <c r="AG5" s="21"/>
      <c r="AH5" s="21"/>
      <c r="AI5" s="21">
        <v>13.858000000000001</v>
      </c>
      <c r="AJ5" s="21"/>
      <c r="AK5" s="21"/>
      <c r="AM5" s="21"/>
      <c r="AN5" s="21"/>
      <c r="AO5" s="21"/>
      <c r="AP5" s="21"/>
      <c r="AQ5" s="21"/>
      <c r="AR5" s="21"/>
      <c r="AS5" s="21"/>
      <c r="AT5" s="21"/>
      <c r="AV5" s="21"/>
      <c r="AW5" s="21"/>
      <c r="AX5" s="21"/>
      <c r="AY5" s="21"/>
      <c r="AZ5" s="21"/>
      <c r="BA5" s="21"/>
      <c r="BB5" s="21"/>
      <c r="BC5" s="21"/>
      <c r="BE5" s="21"/>
      <c r="BF5" s="21"/>
      <c r="BG5" s="21"/>
      <c r="BH5" s="21"/>
      <c r="BI5" s="21"/>
      <c r="BJ5" s="21"/>
      <c r="BK5" s="21"/>
      <c r="BL5" s="21"/>
      <c r="BN5" t="s">
        <v>1053</v>
      </c>
    </row>
    <row r="6" spans="1:66">
      <c r="A6" s="13" t="s">
        <v>1049</v>
      </c>
      <c r="B6" s="1" t="s">
        <v>1054</v>
      </c>
      <c r="C6" s="34"/>
      <c r="F6" s="21">
        <v>76.234200000000001</v>
      </c>
      <c r="H6" s="21">
        <v>25.4114</v>
      </c>
      <c r="I6" s="21">
        <v>25.4114</v>
      </c>
      <c r="L6" s="21"/>
      <c r="M6" s="21"/>
      <c r="N6" s="21"/>
      <c r="O6" s="21">
        <v>9.4600000000000009</v>
      </c>
      <c r="P6" s="21"/>
      <c r="Q6" s="21"/>
      <c r="R6" s="21"/>
      <c r="S6" s="21"/>
      <c r="U6" s="21"/>
      <c r="V6" s="21"/>
      <c r="W6" s="21"/>
      <c r="Y6" s="21"/>
      <c r="Z6" s="21"/>
      <c r="AA6" s="21"/>
      <c r="AB6" s="395">
        <v>169.648</v>
      </c>
      <c r="AD6" s="21">
        <v>101.6</v>
      </c>
      <c r="AE6" s="21">
        <v>271.51499999999999</v>
      </c>
      <c r="AF6" s="21"/>
      <c r="AG6" s="21"/>
      <c r="AH6" s="21"/>
      <c r="AI6" s="21"/>
      <c r="AJ6" s="21"/>
      <c r="AK6" s="21"/>
      <c r="AM6" s="21"/>
      <c r="AN6" s="21"/>
      <c r="AO6" s="21"/>
      <c r="AP6" s="21"/>
      <c r="AQ6" s="21"/>
      <c r="AR6" s="21"/>
      <c r="AS6" s="21"/>
      <c r="AT6" s="21"/>
      <c r="AV6" s="21"/>
      <c r="AW6" s="81">
        <v>0.16</v>
      </c>
      <c r="AX6" s="21"/>
      <c r="AY6" s="21"/>
      <c r="AZ6" s="21"/>
      <c r="BA6" s="21"/>
      <c r="BB6" s="21"/>
      <c r="BC6" s="21"/>
      <c r="BE6" s="21"/>
      <c r="BF6" s="21">
        <v>8.6010000000000009</v>
      </c>
      <c r="BG6" s="21"/>
      <c r="BH6" s="21"/>
      <c r="BI6" s="21"/>
      <c r="BJ6" s="21"/>
      <c r="BK6" s="21"/>
      <c r="BL6" s="21"/>
      <c r="BN6" t="s">
        <v>1055</v>
      </c>
    </row>
    <row r="7" spans="1:66">
      <c r="A7" s="13" t="s">
        <v>1049</v>
      </c>
      <c r="B7" s="1" t="s">
        <v>1056</v>
      </c>
      <c r="C7" s="34"/>
      <c r="F7" s="21">
        <v>66.2286</v>
      </c>
      <c r="H7" s="21">
        <v>22.0762</v>
      </c>
      <c r="I7" s="21">
        <v>22.0762</v>
      </c>
      <c r="L7" s="21"/>
      <c r="M7" s="21"/>
      <c r="N7" s="21"/>
      <c r="O7" s="21"/>
      <c r="P7" s="21"/>
      <c r="Q7" s="21"/>
      <c r="R7" s="21"/>
      <c r="S7" s="21"/>
      <c r="U7" s="21"/>
      <c r="V7" s="21"/>
      <c r="W7" s="21"/>
      <c r="X7" s="21"/>
      <c r="Y7" s="21"/>
      <c r="AA7" s="21"/>
      <c r="AB7" s="395">
        <v>124.51900000000001</v>
      </c>
      <c r="AD7" s="21">
        <v>10.7</v>
      </c>
      <c r="AE7" s="21">
        <v>195.63399999999999</v>
      </c>
      <c r="AF7" s="21"/>
      <c r="AG7" s="21"/>
      <c r="AH7" s="21"/>
      <c r="AI7" s="21"/>
      <c r="AJ7" s="21"/>
      <c r="AK7" s="21"/>
      <c r="AM7" s="21"/>
      <c r="AN7" s="21"/>
      <c r="AO7" s="21"/>
      <c r="AP7" s="21"/>
      <c r="AQ7" s="21"/>
      <c r="AR7" s="21"/>
      <c r="AS7" s="21"/>
      <c r="AT7" s="21"/>
      <c r="AV7" s="21">
        <v>6.6</v>
      </c>
      <c r="AW7" s="21">
        <v>3.0819999999999999</v>
      </c>
      <c r="AX7" s="21"/>
      <c r="AY7" s="21"/>
      <c r="AZ7" s="21"/>
      <c r="BA7" s="21"/>
      <c r="BB7" s="21"/>
      <c r="BC7" s="21"/>
      <c r="BE7" s="21"/>
      <c r="BF7" s="21"/>
      <c r="BG7" s="21"/>
      <c r="BH7" s="21"/>
      <c r="BI7" s="21"/>
      <c r="BJ7" s="21"/>
      <c r="BK7" s="21"/>
      <c r="BL7" s="21"/>
      <c r="BN7" t="s">
        <v>1055</v>
      </c>
    </row>
    <row r="8" spans="1:66">
      <c r="A8" s="13" t="s">
        <v>1057</v>
      </c>
      <c r="B8" s="1" t="s">
        <v>1058</v>
      </c>
      <c r="C8" s="396">
        <v>11</v>
      </c>
      <c r="D8" s="396">
        <v>14</v>
      </c>
      <c r="E8" s="396">
        <v>85</v>
      </c>
      <c r="F8" s="396">
        <v>140</v>
      </c>
      <c r="G8" s="396">
        <v>7</v>
      </c>
      <c r="H8" s="396">
        <v>28</v>
      </c>
      <c r="I8" s="396">
        <v>19</v>
      </c>
      <c r="J8" s="396">
        <v>17</v>
      </c>
      <c r="L8" s="396">
        <v>0</v>
      </c>
      <c r="M8" s="396">
        <v>0</v>
      </c>
      <c r="N8" s="396">
        <v>0</v>
      </c>
      <c r="O8" s="396">
        <v>0</v>
      </c>
      <c r="P8" s="396">
        <v>0</v>
      </c>
      <c r="Q8" s="396">
        <v>0</v>
      </c>
      <c r="R8" s="396">
        <v>0</v>
      </c>
      <c r="S8" s="396">
        <v>0</v>
      </c>
      <c r="U8" s="396">
        <v>4</v>
      </c>
      <c r="V8" s="396">
        <v>0</v>
      </c>
      <c r="W8" s="396">
        <v>0.75</v>
      </c>
      <c r="X8" s="396">
        <v>0.75</v>
      </c>
      <c r="Y8" s="396">
        <v>0</v>
      </c>
      <c r="Z8" s="396">
        <v>0</v>
      </c>
      <c r="AA8" s="396">
        <v>0</v>
      </c>
      <c r="AB8" s="396">
        <v>8.5</v>
      </c>
      <c r="AD8" s="396">
        <v>533</v>
      </c>
      <c r="AE8" s="396">
        <v>219</v>
      </c>
      <c r="AF8" s="396">
        <v>15</v>
      </c>
      <c r="AG8" s="396">
        <v>24</v>
      </c>
      <c r="AH8" s="396">
        <v>15</v>
      </c>
      <c r="AI8" s="396">
        <v>72</v>
      </c>
      <c r="AJ8" s="396">
        <v>0</v>
      </c>
      <c r="AK8" s="396">
        <v>39</v>
      </c>
      <c r="AM8" s="396">
        <v>3</v>
      </c>
      <c r="AN8" s="396">
        <v>3</v>
      </c>
      <c r="AO8" s="396">
        <v>0</v>
      </c>
      <c r="AP8" s="396">
        <v>0</v>
      </c>
      <c r="AQ8" s="396">
        <v>0</v>
      </c>
      <c r="AR8" s="396">
        <v>0</v>
      </c>
      <c r="AS8" s="396">
        <v>0</v>
      </c>
      <c r="AT8" s="396">
        <v>2</v>
      </c>
      <c r="AV8" s="396">
        <v>47</v>
      </c>
      <c r="AW8" s="396">
        <v>6</v>
      </c>
      <c r="AX8" s="396">
        <v>0</v>
      </c>
      <c r="AY8" s="396">
        <v>1</v>
      </c>
      <c r="AZ8" s="396">
        <v>0</v>
      </c>
      <c r="BA8" s="396">
        <v>0</v>
      </c>
      <c r="BB8" s="396">
        <v>0</v>
      </c>
      <c r="BC8" s="396">
        <v>40</v>
      </c>
      <c r="BE8" s="21">
        <v>73.3</v>
      </c>
      <c r="BF8" s="21"/>
      <c r="BG8" s="21"/>
      <c r="BH8" s="21"/>
      <c r="BI8" s="21"/>
      <c r="BJ8" s="21"/>
      <c r="BK8" s="21"/>
      <c r="BL8" s="21"/>
    </row>
    <row r="9" spans="1:66">
      <c r="A9" s="13" t="s">
        <v>1057</v>
      </c>
      <c r="B9" s="1" t="s">
        <v>1059</v>
      </c>
      <c r="C9" s="396">
        <v>1</v>
      </c>
      <c r="D9" s="396">
        <v>2</v>
      </c>
      <c r="E9" s="396">
        <v>2</v>
      </c>
      <c r="F9" s="396">
        <v>24</v>
      </c>
      <c r="G9" s="396">
        <v>0</v>
      </c>
      <c r="H9" s="396">
        <v>8</v>
      </c>
      <c r="I9" s="396">
        <v>2</v>
      </c>
      <c r="J9" s="396">
        <v>2</v>
      </c>
      <c r="L9" s="396">
        <v>0</v>
      </c>
      <c r="M9" s="396">
        <v>0</v>
      </c>
      <c r="N9" s="396">
        <v>0</v>
      </c>
      <c r="O9" s="396">
        <v>0</v>
      </c>
      <c r="P9" s="396">
        <v>0</v>
      </c>
      <c r="Q9" s="396">
        <v>0</v>
      </c>
      <c r="R9" s="396">
        <v>0</v>
      </c>
      <c r="S9" s="396">
        <v>0</v>
      </c>
      <c r="U9" s="396">
        <v>0</v>
      </c>
      <c r="V9" s="396">
        <v>0</v>
      </c>
      <c r="W9" s="396">
        <v>0</v>
      </c>
      <c r="X9" s="396">
        <v>0</v>
      </c>
      <c r="Y9" s="396">
        <v>0</v>
      </c>
      <c r="Z9" s="396">
        <v>0</v>
      </c>
      <c r="AA9" s="396">
        <v>0</v>
      </c>
      <c r="AB9" s="396">
        <v>0</v>
      </c>
      <c r="AD9" s="396">
        <v>13</v>
      </c>
      <c r="AE9" s="396">
        <v>14</v>
      </c>
      <c r="AF9" s="396">
        <v>0</v>
      </c>
      <c r="AG9" s="396">
        <v>1</v>
      </c>
      <c r="AH9" s="396">
        <v>0</v>
      </c>
      <c r="AI9" s="396">
        <v>4</v>
      </c>
      <c r="AJ9" s="396">
        <v>0</v>
      </c>
      <c r="AK9" s="396">
        <v>2</v>
      </c>
      <c r="AM9" s="396">
        <v>0</v>
      </c>
      <c r="AN9" s="396">
        <v>0</v>
      </c>
      <c r="AO9" s="396">
        <v>0</v>
      </c>
      <c r="AP9" s="396">
        <v>0</v>
      </c>
      <c r="AQ9" s="396">
        <v>0</v>
      </c>
      <c r="AR9" s="396">
        <v>0</v>
      </c>
      <c r="AS9" s="396">
        <v>0</v>
      </c>
      <c r="AT9" s="396">
        <v>0</v>
      </c>
      <c r="AV9" s="396">
        <v>0</v>
      </c>
      <c r="AW9" s="396">
        <v>0</v>
      </c>
      <c r="AX9" s="396">
        <v>0</v>
      </c>
      <c r="AY9" s="396">
        <v>0</v>
      </c>
      <c r="AZ9" s="396">
        <v>0</v>
      </c>
      <c r="BA9" s="396">
        <v>0</v>
      </c>
      <c r="BB9" s="396">
        <v>0</v>
      </c>
      <c r="BC9" s="396">
        <v>0</v>
      </c>
      <c r="BE9" s="21"/>
      <c r="BF9" s="21"/>
      <c r="BG9" s="21"/>
      <c r="BH9" s="21"/>
      <c r="BI9" s="21"/>
      <c r="BJ9" s="21"/>
      <c r="BK9" s="21"/>
      <c r="BL9" s="21"/>
    </row>
    <row r="10" spans="1:66">
      <c r="A10" s="13" t="s">
        <v>1057</v>
      </c>
      <c r="B10" s="1" t="s">
        <v>1060</v>
      </c>
      <c r="C10" s="396">
        <v>2</v>
      </c>
      <c r="D10" s="396">
        <v>6</v>
      </c>
      <c r="E10" s="396">
        <v>1</v>
      </c>
      <c r="F10" s="396">
        <v>47</v>
      </c>
      <c r="G10" s="396">
        <v>2</v>
      </c>
      <c r="H10" s="396">
        <v>4</v>
      </c>
      <c r="I10" s="396">
        <v>4</v>
      </c>
      <c r="J10" s="396">
        <v>2</v>
      </c>
      <c r="L10" s="396">
        <v>0</v>
      </c>
      <c r="M10" s="396">
        <v>0</v>
      </c>
      <c r="N10" s="396">
        <v>0</v>
      </c>
      <c r="O10" s="396">
        <v>0</v>
      </c>
      <c r="P10" s="396">
        <v>0</v>
      </c>
      <c r="Q10" s="396">
        <v>0</v>
      </c>
      <c r="R10" s="396">
        <v>0</v>
      </c>
      <c r="S10" s="396">
        <v>0</v>
      </c>
      <c r="U10" s="396">
        <v>1</v>
      </c>
      <c r="V10" s="396">
        <v>1</v>
      </c>
      <c r="W10" s="396">
        <v>0</v>
      </c>
      <c r="X10" s="396">
        <v>1</v>
      </c>
      <c r="Y10" s="396">
        <v>0</v>
      </c>
      <c r="Z10" s="396">
        <v>0</v>
      </c>
      <c r="AA10" s="396">
        <v>0</v>
      </c>
      <c r="AB10" s="396">
        <v>7</v>
      </c>
      <c r="AD10" s="396">
        <v>17</v>
      </c>
      <c r="AE10" s="396">
        <v>50</v>
      </c>
      <c r="AF10" s="396">
        <v>0</v>
      </c>
      <c r="AG10" s="396">
        <v>2</v>
      </c>
      <c r="AH10" s="396">
        <v>2</v>
      </c>
      <c r="AI10" s="396">
        <v>7</v>
      </c>
      <c r="AJ10" s="396">
        <v>0</v>
      </c>
      <c r="AK10" s="396">
        <v>1</v>
      </c>
      <c r="AM10" s="396">
        <v>0</v>
      </c>
      <c r="AN10" s="396">
        <v>0</v>
      </c>
      <c r="AO10" s="396">
        <v>0</v>
      </c>
      <c r="AP10" s="396">
        <v>0</v>
      </c>
      <c r="AQ10" s="396">
        <v>0</v>
      </c>
      <c r="AR10" s="396">
        <v>0</v>
      </c>
      <c r="AS10" s="396">
        <v>0</v>
      </c>
      <c r="AT10" s="396">
        <v>2</v>
      </c>
      <c r="AV10" s="396">
        <v>0</v>
      </c>
      <c r="AW10" s="396">
        <v>0</v>
      </c>
      <c r="AX10" s="396">
        <v>0</v>
      </c>
      <c r="AY10" s="396">
        <v>0</v>
      </c>
      <c r="AZ10" s="396">
        <v>0</v>
      </c>
      <c r="BA10" s="396">
        <v>0</v>
      </c>
      <c r="BB10" s="396">
        <v>0</v>
      </c>
      <c r="BC10" s="396">
        <v>0</v>
      </c>
      <c r="BE10" s="21">
        <v>470.5</v>
      </c>
      <c r="BF10" s="21"/>
      <c r="BG10" s="21"/>
      <c r="BH10" s="21"/>
      <c r="BI10" s="21"/>
      <c r="BJ10" s="21"/>
      <c r="BK10" s="21"/>
      <c r="BL10" s="21"/>
    </row>
    <row r="11" spans="1:66">
      <c r="A11" s="13" t="s">
        <v>1057</v>
      </c>
      <c r="B11" s="1" t="s">
        <v>1061</v>
      </c>
      <c r="C11" s="396">
        <v>4</v>
      </c>
      <c r="D11" s="396">
        <v>8</v>
      </c>
      <c r="E11" s="396">
        <v>7</v>
      </c>
      <c r="F11" s="396">
        <v>142</v>
      </c>
      <c r="G11" s="396">
        <v>3</v>
      </c>
      <c r="H11" s="396">
        <v>15</v>
      </c>
      <c r="I11" s="396">
        <v>13</v>
      </c>
      <c r="J11" s="396">
        <v>15</v>
      </c>
      <c r="L11" s="396">
        <v>7</v>
      </c>
      <c r="M11" s="396">
        <v>0</v>
      </c>
      <c r="N11" s="396">
        <v>0</v>
      </c>
      <c r="O11" s="396">
        <v>0</v>
      </c>
      <c r="P11" s="396">
        <v>0</v>
      </c>
      <c r="Q11" s="396">
        <v>0</v>
      </c>
      <c r="R11" s="396">
        <v>0</v>
      </c>
      <c r="S11" s="396">
        <v>0</v>
      </c>
      <c r="U11" s="396">
        <v>2</v>
      </c>
      <c r="V11" s="396">
        <v>0</v>
      </c>
      <c r="W11" s="396">
        <v>0</v>
      </c>
      <c r="X11" s="396">
        <v>0</v>
      </c>
      <c r="Y11" s="396">
        <v>0</v>
      </c>
      <c r="Z11" s="396">
        <v>0</v>
      </c>
      <c r="AA11" s="396">
        <v>0</v>
      </c>
      <c r="AB11" s="396">
        <v>2</v>
      </c>
      <c r="AD11" s="396">
        <v>411</v>
      </c>
      <c r="AE11" s="396">
        <v>153</v>
      </c>
      <c r="AF11" s="396">
        <v>2</v>
      </c>
      <c r="AG11" s="396">
        <v>24</v>
      </c>
      <c r="AH11" s="396">
        <v>3</v>
      </c>
      <c r="AI11" s="396">
        <v>27</v>
      </c>
      <c r="AJ11" s="396">
        <v>0</v>
      </c>
      <c r="AK11" s="396">
        <v>16</v>
      </c>
      <c r="AM11" s="396">
        <v>0</v>
      </c>
      <c r="AN11" s="396">
        <v>0</v>
      </c>
      <c r="AO11" s="396">
        <v>0</v>
      </c>
      <c r="AP11" s="396">
        <v>0</v>
      </c>
      <c r="AQ11" s="396">
        <v>0</v>
      </c>
      <c r="AR11" s="396">
        <v>0</v>
      </c>
      <c r="AS11" s="396">
        <v>0</v>
      </c>
      <c r="AT11" s="396">
        <v>2</v>
      </c>
      <c r="AV11" s="396">
        <v>32</v>
      </c>
      <c r="AW11" s="396">
        <v>0</v>
      </c>
      <c r="AX11" s="396">
        <v>0</v>
      </c>
      <c r="AY11" s="396">
        <v>0</v>
      </c>
      <c r="AZ11" s="396">
        <v>0</v>
      </c>
      <c r="BA11" s="396">
        <v>0</v>
      </c>
      <c r="BB11" s="396">
        <v>0</v>
      </c>
      <c r="BC11" s="396">
        <v>0</v>
      </c>
      <c r="BE11" s="21">
        <v>491.33000000000004</v>
      </c>
      <c r="BF11" s="21">
        <v>491.33000000000004</v>
      </c>
      <c r="BG11" s="21"/>
      <c r="BH11" s="21"/>
      <c r="BI11" s="21"/>
      <c r="BJ11" s="21"/>
      <c r="BK11" s="21"/>
      <c r="BL11" s="21"/>
      <c r="BN11" t="s">
        <v>1062</v>
      </c>
    </row>
    <row r="12" spans="1:66">
      <c r="A12" s="13" t="s">
        <v>1057</v>
      </c>
      <c r="B12" s="1" t="s">
        <v>1063</v>
      </c>
      <c r="C12" s="396">
        <v>0</v>
      </c>
      <c r="D12" s="396">
        <v>0</v>
      </c>
      <c r="E12" s="396">
        <v>7</v>
      </c>
      <c r="F12" s="396">
        <v>142</v>
      </c>
      <c r="G12" s="396">
        <v>5</v>
      </c>
      <c r="H12" s="396">
        <v>3</v>
      </c>
      <c r="I12" s="396">
        <v>3</v>
      </c>
      <c r="J12" s="396">
        <v>1</v>
      </c>
      <c r="L12" s="396">
        <v>0</v>
      </c>
      <c r="M12" s="396">
        <v>2</v>
      </c>
      <c r="N12" s="396">
        <v>0</v>
      </c>
      <c r="O12" s="396">
        <v>0</v>
      </c>
      <c r="P12" s="396">
        <v>0</v>
      </c>
      <c r="Q12" s="396">
        <v>0</v>
      </c>
      <c r="R12" s="396">
        <v>0</v>
      </c>
      <c r="S12" s="396">
        <v>0</v>
      </c>
      <c r="U12" s="396">
        <v>0</v>
      </c>
      <c r="V12" s="396">
        <v>1</v>
      </c>
      <c r="W12" s="396">
        <v>0</v>
      </c>
      <c r="X12" s="396">
        <v>2</v>
      </c>
      <c r="Y12" s="396">
        <v>0</v>
      </c>
      <c r="Z12" s="396">
        <v>0</v>
      </c>
      <c r="AA12" s="396">
        <v>0</v>
      </c>
      <c r="AB12" s="396">
        <v>2</v>
      </c>
      <c r="AD12" s="396">
        <v>348</v>
      </c>
      <c r="AE12" s="396">
        <v>623</v>
      </c>
      <c r="AF12" s="396">
        <v>6</v>
      </c>
      <c r="AG12" s="396">
        <v>15</v>
      </c>
      <c r="AH12" s="396">
        <v>56</v>
      </c>
      <c r="AI12" s="396">
        <v>5</v>
      </c>
      <c r="AJ12" s="396">
        <v>0</v>
      </c>
      <c r="AK12" s="396">
        <v>43</v>
      </c>
      <c r="AM12" s="396">
        <v>5</v>
      </c>
      <c r="AN12" s="396">
        <v>22</v>
      </c>
      <c r="AO12" s="396">
        <v>0</v>
      </c>
      <c r="AP12" s="396">
        <v>0</v>
      </c>
      <c r="AQ12" s="396">
        <v>0</v>
      </c>
      <c r="AR12" s="396">
        <v>0</v>
      </c>
      <c r="AS12" s="396">
        <v>0</v>
      </c>
      <c r="AT12" s="396">
        <v>0</v>
      </c>
      <c r="AV12" s="396">
        <v>0</v>
      </c>
      <c r="AW12" s="396">
        <v>0</v>
      </c>
      <c r="AX12" s="396">
        <v>0</v>
      </c>
      <c r="AY12" s="396">
        <v>0</v>
      </c>
      <c r="AZ12" s="396">
        <v>0</v>
      </c>
      <c r="BA12" s="396">
        <v>0</v>
      </c>
      <c r="BB12" s="396">
        <v>0</v>
      </c>
      <c r="BC12" s="396">
        <v>0</v>
      </c>
      <c r="BE12" s="21"/>
      <c r="BF12" s="21"/>
      <c r="BG12" s="21"/>
      <c r="BH12" s="21"/>
      <c r="BI12" s="21"/>
      <c r="BJ12" s="21"/>
      <c r="BK12" s="21"/>
      <c r="BL12" s="21"/>
    </row>
    <row r="13" spans="1:66">
      <c r="A13" s="13" t="s">
        <v>1057</v>
      </c>
      <c r="B13" s="1" t="s">
        <v>1064</v>
      </c>
      <c r="C13" s="396">
        <v>14</v>
      </c>
      <c r="D13" s="396">
        <v>21</v>
      </c>
      <c r="E13" s="396">
        <v>43</v>
      </c>
      <c r="F13" s="396">
        <v>278</v>
      </c>
      <c r="G13" s="396">
        <v>56</v>
      </c>
      <c r="H13" s="396">
        <v>40</v>
      </c>
      <c r="I13" s="396">
        <v>19</v>
      </c>
      <c r="J13" s="396">
        <v>41</v>
      </c>
      <c r="L13" s="396">
        <v>0</v>
      </c>
      <c r="M13" s="396">
        <v>0</v>
      </c>
      <c r="N13" s="396">
        <v>0</v>
      </c>
      <c r="O13" s="396">
        <v>0</v>
      </c>
      <c r="P13" s="396">
        <v>0</v>
      </c>
      <c r="Q13" s="396">
        <v>0</v>
      </c>
      <c r="R13" s="396">
        <v>0</v>
      </c>
      <c r="S13" s="396">
        <v>0</v>
      </c>
      <c r="U13" s="396">
        <v>3</v>
      </c>
      <c r="V13" s="396">
        <v>0</v>
      </c>
      <c r="W13" s="396">
        <v>0</v>
      </c>
      <c r="X13" s="396">
        <v>1</v>
      </c>
      <c r="Y13" s="396">
        <v>1</v>
      </c>
      <c r="Z13" s="396">
        <v>0</v>
      </c>
      <c r="AA13" s="396">
        <v>0</v>
      </c>
      <c r="AB13" s="396">
        <v>2</v>
      </c>
      <c r="AD13" s="396">
        <v>1440</v>
      </c>
      <c r="AE13" s="396">
        <v>771</v>
      </c>
      <c r="AF13" s="396">
        <v>11</v>
      </c>
      <c r="AG13" s="396">
        <v>126</v>
      </c>
      <c r="AH13" s="396">
        <v>152</v>
      </c>
      <c r="AI13" s="396">
        <v>60</v>
      </c>
      <c r="AJ13" s="396">
        <v>0</v>
      </c>
      <c r="AK13" s="396">
        <v>25</v>
      </c>
      <c r="AM13" s="396">
        <v>3</v>
      </c>
      <c r="AN13" s="396">
        <v>7</v>
      </c>
      <c r="AO13" s="396">
        <v>0</v>
      </c>
      <c r="AP13" s="396">
        <v>0</v>
      </c>
      <c r="AQ13" s="396">
        <v>3</v>
      </c>
      <c r="AR13" s="396">
        <v>0</v>
      </c>
      <c r="AS13" s="396">
        <v>0</v>
      </c>
      <c r="AT13" s="396">
        <v>2</v>
      </c>
      <c r="AV13" s="396">
        <v>17</v>
      </c>
      <c r="AW13" s="396">
        <v>2</v>
      </c>
      <c r="AX13" s="396">
        <v>0</v>
      </c>
      <c r="AY13" s="396">
        <v>0</v>
      </c>
      <c r="AZ13" s="396">
        <v>7</v>
      </c>
      <c r="BA13" s="396">
        <v>0</v>
      </c>
      <c r="BB13" s="396">
        <v>0</v>
      </c>
      <c r="BC13" s="396">
        <v>36</v>
      </c>
      <c r="BE13" s="21"/>
      <c r="BF13" s="21"/>
      <c r="BG13" s="21"/>
      <c r="BH13" s="21"/>
      <c r="BI13" s="21"/>
      <c r="BJ13" s="21"/>
      <c r="BK13" s="21"/>
      <c r="BL13" s="21"/>
    </row>
    <row r="14" spans="1:66">
      <c r="A14" s="13" t="s">
        <v>1057</v>
      </c>
      <c r="B14" s="1" t="s">
        <v>1065</v>
      </c>
      <c r="C14" s="396">
        <v>8</v>
      </c>
      <c r="D14" s="396">
        <v>21</v>
      </c>
      <c r="E14" s="396">
        <v>24</v>
      </c>
      <c r="F14" s="396">
        <v>114</v>
      </c>
      <c r="G14" s="396">
        <v>5</v>
      </c>
      <c r="H14" s="396">
        <v>32</v>
      </c>
      <c r="I14" s="396">
        <v>22</v>
      </c>
      <c r="J14" s="396">
        <v>15</v>
      </c>
      <c r="L14" s="396">
        <v>0</v>
      </c>
      <c r="M14" s="396">
        <v>0</v>
      </c>
      <c r="N14" s="396">
        <v>0</v>
      </c>
      <c r="O14" s="396">
        <v>0</v>
      </c>
      <c r="P14" s="396">
        <v>0</v>
      </c>
      <c r="Q14" s="396">
        <v>0</v>
      </c>
      <c r="R14" s="396">
        <v>0</v>
      </c>
      <c r="S14" s="396">
        <v>0</v>
      </c>
      <c r="U14" s="396">
        <v>0</v>
      </c>
      <c r="V14" s="396">
        <v>0</v>
      </c>
      <c r="W14" s="396">
        <v>0</v>
      </c>
      <c r="X14" s="396">
        <v>0</v>
      </c>
      <c r="Y14" s="396">
        <v>0</v>
      </c>
      <c r="Z14" s="396">
        <v>0</v>
      </c>
      <c r="AA14" s="396">
        <v>0</v>
      </c>
      <c r="AB14" s="396">
        <v>0</v>
      </c>
      <c r="AD14" s="396">
        <v>43</v>
      </c>
      <c r="AE14" s="396">
        <v>27</v>
      </c>
      <c r="AF14" s="396">
        <v>0</v>
      </c>
      <c r="AG14" s="396">
        <v>7</v>
      </c>
      <c r="AH14" s="396">
        <v>3</v>
      </c>
      <c r="AI14" s="396">
        <v>24</v>
      </c>
      <c r="AJ14" s="396">
        <v>0</v>
      </c>
      <c r="AK14" s="396">
        <v>2</v>
      </c>
      <c r="AM14" s="396">
        <v>0</v>
      </c>
      <c r="AN14" s="396">
        <v>0</v>
      </c>
      <c r="AO14" s="396">
        <v>0</v>
      </c>
      <c r="AP14" s="396">
        <v>2</v>
      </c>
      <c r="AQ14" s="396">
        <v>0</v>
      </c>
      <c r="AR14" s="396">
        <v>0</v>
      </c>
      <c r="AS14" s="396">
        <v>0</v>
      </c>
      <c r="AT14" s="396">
        <v>2</v>
      </c>
      <c r="AV14" s="396">
        <v>0</v>
      </c>
      <c r="AW14" s="396">
        <v>0</v>
      </c>
      <c r="AX14" s="396">
        <v>0</v>
      </c>
      <c r="AY14" s="396">
        <v>0</v>
      </c>
      <c r="AZ14" s="396">
        <v>0</v>
      </c>
      <c r="BA14" s="396">
        <v>0</v>
      </c>
      <c r="BB14" s="396">
        <v>0</v>
      </c>
      <c r="BC14" s="396">
        <v>0</v>
      </c>
      <c r="BE14" s="21"/>
      <c r="BF14" s="21"/>
      <c r="BG14" s="21"/>
      <c r="BH14" s="21"/>
      <c r="BI14" s="21"/>
      <c r="BJ14" s="21"/>
      <c r="BK14" s="21"/>
      <c r="BL14" s="21"/>
    </row>
    <row r="15" spans="1:66">
      <c r="A15" s="13" t="s">
        <v>1057</v>
      </c>
      <c r="B15" s="1" t="s">
        <v>1066</v>
      </c>
      <c r="C15" s="396">
        <v>0</v>
      </c>
      <c r="D15" s="396">
        <v>19</v>
      </c>
      <c r="E15" s="396">
        <v>5</v>
      </c>
      <c r="F15" s="396">
        <v>15</v>
      </c>
      <c r="G15" s="396">
        <v>2</v>
      </c>
      <c r="H15" s="396">
        <v>4</v>
      </c>
      <c r="I15" s="396">
        <v>2</v>
      </c>
      <c r="J15" s="396">
        <v>0</v>
      </c>
      <c r="L15" s="396">
        <v>0</v>
      </c>
      <c r="M15" s="396">
        <v>0</v>
      </c>
      <c r="N15" s="396">
        <v>0</v>
      </c>
      <c r="O15" s="396">
        <v>0</v>
      </c>
      <c r="P15" s="396">
        <v>0</v>
      </c>
      <c r="Q15" s="396">
        <v>0</v>
      </c>
      <c r="R15" s="396">
        <v>0</v>
      </c>
      <c r="S15" s="396">
        <v>0</v>
      </c>
      <c r="U15" s="396">
        <v>0</v>
      </c>
      <c r="V15" s="396">
        <v>0</v>
      </c>
      <c r="W15" s="396">
        <v>0</v>
      </c>
      <c r="X15" s="396">
        <v>0</v>
      </c>
      <c r="Y15" s="396">
        <v>0</v>
      </c>
      <c r="Z15" s="396">
        <v>0</v>
      </c>
      <c r="AA15" s="396">
        <v>0</v>
      </c>
      <c r="AB15" s="396">
        <v>0</v>
      </c>
      <c r="AD15" s="396">
        <v>3</v>
      </c>
      <c r="AE15" s="396">
        <v>117</v>
      </c>
      <c r="AF15" s="396">
        <v>2</v>
      </c>
      <c r="AG15" s="396">
        <v>6</v>
      </c>
      <c r="AH15" s="396">
        <v>0</v>
      </c>
      <c r="AI15" s="396">
        <v>9</v>
      </c>
      <c r="AJ15" s="396">
        <v>0</v>
      </c>
      <c r="AK15" s="396">
        <v>1</v>
      </c>
      <c r="AM15" s="396">
        <v>0</v>
      </c>
      <c r="AN15" s="396">
        <v>0</v>
      </c>
      <c r="AO15" s="396">
        <v>0</v>
      </c>
      <c r="AP15" s="396">
        <v>0</v>
      </c>
      <c r="AQ15" s="396">
        <v>0</v>
      </c>
      <c r="AR15" s="396">
        <v>0</v>
      </c>
      <c r="AS15" s="396">
        <v>0</v>
      </c>
      <c r="AT15" s="396">
        <v>0</v>
      </c>
      <c r="AV15" s="396">
        <v>0</v>
      </c>
      <c r="AW15" s="396">
        <v>0</v>
      </c>
      <c r="AX15" s="396">
        <v>0</v>
      </c>
      <c r="AY15" s="396">
        <v>0</v>
      </c>
      <c r="AZ15" s="396">
        <v>0</v>
      </c>
      <c r="BA15" s="396">
        <v>0</v>
      </c>
      <c r="BB15" s="396">
        <v>0</v>
      </c>
      <c r="BC15" s="396">
        <v>0</v>
      </c>
      <c r="BE15" s="21"/>
      <c r="BF15" s="21"/>
      <c r="BG15" s="21"/>
      <c r="BH15" s="21"/>
      <c r="BI15" s="21"/>
      <c r="BJ15" s="21"/>
      <c r="BK15" s="21"/>
      <c r="BL15" s="21"/>
    </row>
    <row r="16" spans="1:66">
      <c r="A16" s="13" t="s">
        <v>1057</v>
      </c>
      <c r="B16" s="1" t="s">
        <v>1067</v>
      </c>
      <c r="C16" s="396">
        <v>0</v>
      </c>
      <c r="D16" s="396">
        <v>7</v>
      </c>
      <c r="E16" s="396">
        <v>2</v>
      </c>
      <c r="F16" s="396">
        <v>44</v>
      </c>
      <c r="G16" s="396">
        <v>3</v>
      </c>
      <c r="H16" s="396">
        <v>1</v>
      </c>
      <c r="I16" s="396">
        <v>1</v>
      </c>
      <c r="J16" s="396">
        <v>0</v>
      </c>
      <c r="L16" s="396">
        <v>0</v>
      </c>
      <c r="M16" s="396">
        <v>0</v>
      </c>
      <c r="N16" s="396">
        <v>0</v>
      </c>
      <c r="O16" s="396">
        <v>0</v>
      </c>
      <c r="P16" s="396">
        <v>0</v>
      </c>
      <c r="Q16" s="396">
        <v>0</v>
      </c>
      <c r="R16" s="396">
        <v>0</v>
      </c>
      <c r="S16" s="396">
        <v>0</v>
      </c>
      <c r="U16" s="396">
        <v>0</v>
      </c>
      <c r="V16" s="396">
        <v>1</v>
      </c>
      <c r="W16" s="396">
        <v>0</v>
      </c>
      <c r="X16" s="396">
        <v>0</v>
      </c>
      <c r="Y16" s="396">
        <v>0</v>
      </c>
      <c r="Z16" s="396">
        <v>0</v>
      </c>
      <c r="AA16" s="396">
        <v>0</v>
      </c>
      <c r="AB16" s="396">
        <v>3</v>
      </c>
      <c r="AD16" s="396">
        <v>3</v>
      </c>
      <c r="AE16" s="396">
        <v>192</v>
      </c>
      <c r="AF16" s="396">
        <v>1</v>
      </c>
      <c r="AG16" s="396">
        <v>9</v>
      </c>
      <c r="AH16" s="396">
        <v>1</v>
      </c>
      <c r="AI16" s="396">
        <v>4</v>
      </c>
      <c r="AJ16" s="396">
        <v>0</v>
      </c>
      <c r="AK16" s="396">
        <v>4</v>
      </c>
      <c r="AM16" s="396">
        <v>0</v>
      </c>
      <c r="AN16" s="396">
        <v>0</v>
      </c>
      <c r="AO16" s="396">
        <v>0</v>
      </c>
      <c r="AP16" s="396">
        <v>0</v>
      </c>
      <c r="AQ16" s="396">
        <v>0</v>
      </c>
      <c r="AR16" s="396">
        <v>0</v>
      </c>
      <c r="AS16" s="396">
        <v>0</v>
      </c>
      <c r="AT16" s="396">
        <v>0</v>
      </c>
      <c r="AV16" s="396">
        <v>0</v>
      </c>
      <c r="AW16" s="396">
        <v>176</v>
      </c>
      <c r="AX16" s="396">
        <v>0</v>
      </c>
      <c r="AY16" s="396">
        <v>2</v>
      </c>
      <c r="AZ16" s="396">
        <v>0</v>
      </c>
      <c r="BA16" s="396">
        <v>0</v>
      </c>
      <c r="BB16" s="396">
        <v>0</v>
      </c>
      <c r="BC16" s="396">
        <v>0</v>
      </c>
      <c r="BE16" s="21"/>
      <c r="BF16" s="21">
        <v>43.451999999999998</v>
      </c>
      <c r="BG16" s="21"/>
      <c r="BH16" s="21"/>
      <c r="BI16" s="21"/>
      <c r="BJ16" s="21"/>
      <c r="BK16" s="21"/>
      <c r="BL16" s="21"/>
    </row>
    <row r="17" spans="1:66">
      <c r="A17" s="13" t="s">
        <v>1057</v>
      </c>
      <c r="B17" s="1" t="s">
        <v>1068</v>
      </c>
      <c r="C17" s="396">
        <v>1</v>
      </c>
      <c r="D17" s="396">
        <v>63</v>
      </c>
      <c r="E17" s="396">
        <v>4</v>
      </c>
      <c r="F17" s="396">
        <v>97.619718309859095</v>
      </c>
      <c r="G17" s="396">
        <v>32.380281690140798</v>
      </c>
      <c r="H17" s="396">
        <v>10</v>
      </c>
      <c r="I17" s="396">
        <v>8</v>
      </c>
      <c r="J17" s="396">
        <v>4</v>
      </c>
      <c r="L17" s="396">
        <v>0</v>
      </c>
      <c r="M17" s="396">
        <v>0</v>
      </c>
      <c r="N17" s="396">
        <v>0</v>
      </c>
      <c r="O17" s="396">
        <v>0</v>
      </c>
      <c r="P17" s="396">
        <v>0</v>
      </c>
      <c r="Q17" s="396">
        <v>0</v>
      </c>
      <c r="R17" s="396">
        <v>0</v>
      </c>
      <c r="S17" s="396">
        <v>2</v>
      </c>
      <c r="U17" s="396">
        <v>0</v>
      </c>
      <c r="V17" s="396">
        <v>0</v>
      </c>
      <c r="W17" s="396">
        <v>0</v>
      </c>
      <c r="X17" s="396">
        <v>0</v>
      </c>
      <c r="Y17" s="396">
        <v>0</v>
      </c>
      <c r="Z17" s="396">
        <v>0</v>
      </c>
      <c r="AA17" s="396">
        <v>0</v>
      </c>
      <c r="AB17" s="396">
        <v>5</v>
      </c>
      <c r="AD17" s="396">
        <v>52</v>
      </c>
      <c r="AE17" s="396">
        <v>324</v>
      </c>
      <c r="AF17" s="396">
        <v>3</v>
      </c>
      <c r="AG17" s="396">
        <v>6</v>
      </c>
      <c r="AH17" s="396">
        <v>27</v>
      </c>
      <c r="AI17" s="396">
        <v>26</v>
      </c>
      <c r="AJ17" s="396">
        <v>0</v>
      </c>
      <c r="AK17" s="396">
        <v>4</v>
      </c>
      <c r="AM17" s="396">
        <v>0</v>
      </c>
      <c r="AN17" s="396">
        <v>0</v>
      </c>
      <c r="AO17" s="396">
        <v>0</v>
      </c>
      <c r="AP17" s="396">
        <v>0</v>
      </c>
      <c r="AQ17" s="396">
        <v>0</v>
      </c>
      <c r="AR17" s="396">
        <v>0</v>
      </c>
      <c r="AS17" s="396">
        <v>0</v>
      </c>
      <c r="AT17" s="396">
        <v>0</v>
      </c>
      <c r="AV17" s="396">
        <v>2</v>
      </c>
      <c r="AW17" s="396">
        <v>5</v>
      </c>
      <c r="AX17" s="396">
        <v>0</v>
      </c>
      <c r="AY17" s="396">
        <v>0</v>
      </c>
      <c r="AZ17" s="396">
        <v>9</v>
      </c>
      <c r="BA17" s="396">
        <v>0</v>
      </c>
      <c r="BB17" s="396">
        <v>0</v>
      </c>
      <c r="BC17" s="396">
        <v>1</v>
      </c>
      <c r="BE17" s="21"/>
      <c r="BF17" s="21"/>
      <c r="BG17" s="21"/>
      <c r="BH17" s="21"/>
      <c r="BI17" s="21"/>
      <c r="BJ17" s="21"/>
      <c r="BK17" s="21"/>
      <c r="BL17" s="21"/>
    </row>
    <row r="18" spans="1:66">
      <c r="A18" s="13" t="s">
        <v>1057</v>
      </c>
      <c r="B18" s="1" t="s">
        <v>1069</v>
      </c>
      <c r="C18" s="396">
        <v>0</v>
      </c>
      <c r="D18" s="396">
        <v>25</v>
      </c>
      <c r="E18" s="396">
        <v>4</v>
      </c>
      <c r="F18" s="396">
        <v>50.473684210526301</v>
      </c>
      <c r="G18" s="396">
        <v>54.5263157894736</v>
      </c>
      <c r="H18" s="396">
        <v>6</v>
      </c>
      <c r="I18" s="396">
        <v>5</v>
      </c>
      <c r="J18" s="396">
        <v>2</v>
      </c>
      <c r="L18" s="396">
        <v>0</v>
      </c>
      <c r="M18" s="396">
        <v>0</v>
      </c>
      <c r="N18" s="396">
        <v>0</v>
      </c>
      <c r="O18" s="396">
        <v>0</v>
      </c>
      <c r="P18" s="396">
        <v>0</v>
      </c>
      <c r="Q18" s="396">
        <v>0</v>
      </c>
      <c r="R18" s="396">
        <v>0</v>
      </c>
      <c r="S18" s="396">
        <v>0</v>
      </c>
      <c r="U18" s="396">
        <v>0</v>
      </c>
      <c r="V18" s="396">
        <v>0</v>
      </c>
      <c r="W18" s="396">
        <v>0</v>
      </c>
      <c r="X18" s="396">
        <v>0</v>
      </c>
      <c r="Y18" s="396">
        <v>0</v>
      </c>
      <c r="Z18" s="396">
        <v>0</v>
      </c>
      <c r="AA18" s="396">
        <v>0</v>
      </c>
      <c r="AB18" s="396">
        <v>1</v>
      </c>
      <c r="AD18" s="396">
        <v>33</v>
      </c>
      <c r="AE18" s="396">
        <v>200</v>
      </c>
      <c r="AF18" s="396">
        <v>0</v>
      </c>
      <c r="AG18" s="396">
        <v>15</v>
      </c>
      <c r="AH18" s="396">
        <v>6</v>
      </c>
      <c r="AI18" s="396">
        <v>19</v>
      </c>
      <c r="AJ18" s="396">
        <v>0</v>
      </c>
      <c r="AK18" s="396">
        <v>3</v>
      </c>
      <c r="AM18" s="396">
        <v>1</v>
      </c>
      <c r="AN18" s="396">
        <v>1</v>
      </c>
      <c r="AO18" s="396">
        <v>0</v>
      </c>
      <c r="AP18" s="396">
        <v>0</v>
      </c>
      <c r="AQ18" s="396">
        <v>0</v>
      </c>
      <c r="AR18" s="396">
        <v>0</v>
      </c>
      <c r="AS18" s="396">
        <v>0</v>
      </c>
      <c r="AT18" s="396">
        <v>1</v>
      </c>
      <c r="AV18" s="396">
        <v>0</v>
      </c>
      <c r="AW18" s="396">
        <v>0</v>
      </c>
      <c r="AX18" s="396">
        <v>0</v>
      </c>
      <c r="AY18" s="396">
        <v>0</v>
      </c>
      <c r="AZ18" s="396">
        <v>0</v>
      </c>
      <c r="BA18" s="396">
        <v>0</v>
      </c>
      <c r="BB18" s="396">
        <v>0</v>
      </c>
      <c r="BC18" s="396">
        <v>0</v>
      </c>
      <c r="BE18" s="21"/>
      <c r="BF18" s="21"/>
      <c r="BG18" s="21"/>
      <c r="BH18" s="21"/>
      <c r="BI18" s="21"/>
      <c r="BJ18" s="21"/>
      <c r="BK18" s="21"/>
      <c r="BL18" s="21"/>
    </row>
    <row r="19" spans="1:66">
      <c r="A19" s="13" t="s">
        <v>1057</v>
      </c>
      <c r="B19" s="1" t="s">
        <v>1070</v>
      </c>
      <c r="C19" s="396">
        <v>1</v>
      </c>
      <c r="D19" s="396">
        <v>22</v>
      </c>
      <c r="E19" s="396">
        <v>3</v>
      </c>
      <c r="F19" s="396">
        <v>66</v>
      </c>
      <c r="G19" s="396">
        <v>9</v>
      </c>
      <c r="H19" s="396">
        <v>20</v>
      </c>
      <c r="I19" s="396">
        <v>12</v>
      </c>
      <c r="J19" s="396">
        <v>10</v>
      </c>
      <c r="L19" s="396">
        <v>0</v>
      </c>
      <c r="M19" s="396">
        <v>0</v>
      </c>
      <c r="N19" s="396">
        <v>0</v>
      </c>
      <c r="O19" s="396">
        <v>0</v>
      </c>
      <c r="P19" s="396">
        <v>0</v>
      </c>
      <c r="Q19" s="396">
        <v>0</v>
      </c>
      <c r="R19" s="396">
        <v>0</v>
      </c>
      <c r="S19" s="396">
        <v>0</v>
      </c>
      <c r="U19" s="396">
        <v>0</v>
      </c>
      <c r="V19" s="396">
        <v>0</v>
      </c>
      <c r="W19" s="396">
        <v>0</v>
      </c>
      <c r="X19" s="396">
        <v>0</v>
      </c>
      <c r="Y19" s="396">
        <v>0</v>
      </c>
      <c r="Z19" s="396">
        <v>0</v>
      </c>
      <c r="AA19" s="396">
        <v>0</v>
      </c>
      <c r="AB19" s="396">
        <v>2</v>
      </c>
      <c r="AD19" s="396">
        <v>51</v>
      </c>
      <c r="AE19" s="396">
        <v>175</v>
      </c>
      <c r="AF19" s="396">
        <v>0</v>
      </c>
      <c r="AG19" s="396">
        <v>3</v>
      </c>
      <c r="AH19" s="396">
        <v>2</v>
      </c>
      <c r="AI19" s="396">
        <v>40</v>
      </c>
      <c r="AJ19" s="396">
        <v>0</v>
      </c>
      <c r="AK19" s="396">
        <v>4</v>
      </c>
      <c r="AM19" s="396">
        <v>0</v>
      </c>
      <c r="AN19" s="396">
        <v>0</v>
      </c>
      <c r="AO19" s="396">
        <v>0</v>
      </c>
      <c r="AP19" s="396">
        <v>1</v>
      </c>
      <c r="AQ19" s="396">
        <v>0</v>
      </c>
      <c r="AR19" s="396">
        <v>1</v>
      </c>
      <c r="AS19" s="396">
        <v>0</v>
      </c>
      <c r="AT19" s="396">
        <v>2</v>
      </c>
      <c r="AV19" s="396">
        <v>0</v>
      </c>
      <c r="AW19" s="396">
        <v>0</v>
      </c>
      <c r="AX19" s="396">
        <v>0</v>
      </c>
      <c r="AY19" s="396">
        <v>0</v>
      </c>
      <c r="AZ19" s="396">
        <v>0</v>
      </c>
      <c r="BA19" s="396">
        <v>0</v>
      </c>
      <c r="BB19" s="396">
        <v>0</v>
      </c>
      <c r="BC19" s="396">
        <v>0</v>
      </c>
      <c r="BE19" s="21"/>
      <c r="BF19" s="21"/>
      <c r="BG19" s="21"/>
      <c r="BH19" s="21"/>
      <c r="BI19" s="21"/>
      <c r="BJ19" s="21"/>
      <c r="BK19" s="21"/>
      <c r="BL19" s="21"/>
    </row>
    <row r="20" spans="1:66">
      <c r="A20" s="13" t="s">
        <v>1057</v>
      </c>
      <c r="B20" s="1" t="s">
        <v>1071</v>
      </c>
      <c r="C20" s="396">
        <v>1</v>
      </c>
      <c r="D20" s="396">
        <v>5</v>
      </c>
      <c r="E20" s="396">
        <v>12</v>
      </c>
      <c r="F20" s="396">
        <v>20</v>
      </c>
      <c r="G20" s="396">
        <v>21</v>
      </c>
      <c r="H20" s="396">
        <v>21</v>
      </c>
      <c r="I20" s="396">
        <v>7</v>
      </c>
      <c r="J20" s="396">
        <v>7</v>
      </c>
      <c r="L20" s="396">
        <v>0</v>
      </c>
      <c r="M20" s="396">
        <v>0</v>
      </c>
      <c r="N20" s="396">
        <v>0</v>
      </c>
      <c r="O20" s="396">
        <v>0</v>
      </c>
      <c r="P20" s="396">
        <v>0</v>
      </c>
      <c r="Q20" s="396">
        <v>0</v>
      </c>
      <c r="R20" s="396">
        <v>0</v>
      </c>
      <c r="S20" s="396">
        <v>0</v>
      </c>
      <c r="U20" s="396">
        <v>0</v>
      </c>
      <c r="V20" s="396">
        <v>0</v>
      </c>
      <c r="W20" s="396">
        <v>0</v>
      </c>
      <c r="X20" s="396">
        <v>0</v>
      </c>
      <c r="Y20" s="396">
        <v>0</v>
      </c>
      <c r="Z20" s="396">
        <v>0</v>
      </c>
      <c r="AA20" s="396">
        <v>0</v>
      </c>
      <c r="AB20" s="396">
        <v>0</v>
      </c>
      <c r="AD20" s="396">
        <v>8</v>
      </c>
      <c r="AE20" s="396">
        <v>5</v>
      </c>
      <c r="AF20" s="396">
        <v>0</v>
      </c>
      <c r="AG20" s="396">
        <v>2</v>
      </c>
      <c r="AH20" s="396">
        <v>1</v>
      </c>
      <c r="AI20" s="396">
        <v>13</v>
      </c>
      <c r="AJ20" s="396">
        <v>0</v>
      </c>
      <c r="AK20" s="396">
        <v>3</v>
      </c>
      <c r="AM20" s="396">
        <v>0</v>
      </c>
      <c r="AN20" s="396">
        <v>0</v>
      </c>
      <c r="AO20" s="396">
        <v>0</v>
      </c>
      <c r="AP20" s="396">
        <v>0</v>
      </c>
      <c r="AQ20" s="396">
        <v>0</v>
      </c>
      <c r="AR20" s="396">
        <v>0</v>
      </c>
      <c r="AS20" s="396">
        <v>0</v>
      </c>
      <c r="AT20" s="396">
        <v>0</v>
      </c>
      <c r="AV20" s="396">
        <v>0</v>
      </c>
      <c r="AW20" s="396">
        <v>0</v>
      </c>
      <c r="AX20" s="396">
        <v>0</v>
      </c>
      <c r="AY20" s="396">
        <v>0</v>
      </c>
      <c r="AZ20" s="396">
        <v>0</v>
      </c>
      <c r="BA20" s="396">
        <v>0</v>
      </c>
      <c r="BB20" s="396">
        <v>0</v>
      </c>
      <c r="BC20" s="396">
        <v>0</v>
      </c>
      <c r="BE20" s="21"/>
      <c r="BF20" s="21"/>
      <c r="BG20" s="21"/>
      <c r="BH20" s="21"/>
      <c r="BI20" s="21"/>
      <c r="BJ20" s="21"/>
      <c r="BK20" s="21"/>
      <c r="BL20" s="21"/>
    </row>
    <row r="21" spans="1:66">
      <c r="A21" s="13" t="s">
        <v>1057</v>
      </c>
      <c r="B21" s="1" t="s">
        <v>1072</v>
      </c>
      <c r="C21" s="396">
        <v>0</v>
      </c>
      <c r="D21" s="396">
        <v>5</v>
      </c>
      <c r="E21" s="396">
        <v>1</v>
      </c>
      <c r="F21" s="396">
        <v>15</v>
      </c>
      <c r="G21" s="396">
        <v>4</v>
      </c>
      <c r="H21" s="396">
        <v>7</v>
      </c>
      <c r="I21" s="396">
        <v>3</v>
      </c>
      <c r="J21" s="396">
        <v>4</v>
      </c>
      <c r="L21" s="396">
        <v>0</v>
      </c>
      <c r="M21" s="396">
        <v>0</v>
      </c>
      <c r="N21" s="396">
        <v>0</v>
      </c>
      <c r="O21" s="396">
        <v>0</v>
      </c>
      <c r="P21" s="396">
        <v>0</v>
      </c>
      <c r="Q21" s="396">
        <v>0</v>
      </c>
      <c r="R21" s="396">
        <v>0</v>
      </c>
      <c r="S21" s="396">
        <v>0</v>
      </c>
      <c r="U21" s="396">
        <v>0</v>
      </c>
      <c r="V21" s="396">
        <v>0</v>
      </c>
      <c r="W21" s="396">
        <v>0</v>
      </c>
      <c r="X21" s="396">
        <v>0</v>
      </c>
      <c r="Y21" s="396">
        <v>0</v>
      </c>
      <c r="Z21" s="396">
        <v>0</v>
      </c>
      <c r="AA21" s="396">
        <v>0</v>
      </c>
      <c r="AB21" s="396">
        <v>0</v>
      </c>
      <c r="AD21" s="396">
        <v>5</v>
      </c>
      <c r="AE21" s="396">
        <v>16</v>
      </c>
      <c r="AF21" s="396">
        <v>0</v>
      </c>
      <c r="AG21" s="396">
        <v>2</v>
      </c>
      <c r="AH21" s="396">
        <v>1</v>
      </c>
      <c r="AI21" s="396">
        <v>10</v>
      </c>
      <c r="AJ21" s="396">
        <v>0</v>
      </c>
      <c r="AK21" s="396">
        <v>3</v>
      </c>
      <c r="AM21" s="396">
        <v>0</v>
      </c>
      <c r="AN21" s="396">
        <v>0</v>
      </c>
      <c r="AO21" s="396">
        <v>0</v>
      </c>
      <c r="AP21" s="396">
        <v>0</v>
      </c>
      <c r="AQ21" s="396">
        <v>0</v>
      </c>
      <c r="AR21" s="396">
        <v>0</v>
      </c>
      <c r="AS21" s="396">
        <v>0</v>
      </c>
      <c r="AT21" s="396">
        <v>0</v>
      </c>
      <c r="AV21" s="396">
        <v>0</v>
      </c>
      <c r="AW21" s="396">
        <v>0</v>
      </c>
      <c r="AX21" s="396">
        <v>0</v>
      </c>
      <c r="AY21" s="396">
        <v>0</v>
      </c>
      <c r="AZ21" s="396">
        <v>0</v>
      </c>
      <c r="BA21" s="396">
        <v>0</v>
      </c>
      <c r="BB21" s="396">
        <v>0</v>
      </c>
      <c r="BC21" s="396">
        <v>0</v>
      </c>
      <c r="BE21" s="21"/>
      <c r="BF21" s="21"/>
      <c r="BG21" s="21"/>
      <c r="BH21" s="21"/>
      <c r="BI21" s="21"/>
      <c r="BJ21" s="21"/>
      <c r="BK21" s="21"/>
      <c r="BL21" s="21"/>
    </row>
    <row r="22" spans="1:66">
      <c r="A22" s="13" t="s">
        <v>1057</v>
      </c>
      <c r="B22" s="1" t="s">
        <v>1073</v>
      </c>
      <c r="C22" s="396">
        <v>0</v>
      </c>
      <c r="D22" s="396">
        <v>4</v>
      </c>
      <c r="E22" s="396">
        <v>3</v>
      </c>
      <c r="F22" s="396">
        <v>31</v>
      </c>
      <c r="G22" s="396">
        <v>3</v>
      </c>
      <c r="H22" s="396">
        <v>15</v>
      </c>
      <c r="I22" s="396">
        <v>7</v>
      </c>
      <c r="J22" s="396">
        <v>12</v>
      </c>
      <c r="L22" s="396">
        <v>0</v>
      </c>
      <c r="M22" s="396">
        <v>0</v>
      </c>
      <c r="N22" s="396">
        <v>0</v>
      </c>
      <c r="O22" s="396">
        <v>0</v>
      </c>
      <c r="P22" s="396">
        <v>0</v>
      </c>
      <c r="Q22" s="396">
        <v>0</v>
      </c>
      <c r="R22" s="396">
        <v>0</v>
      </c>
      <c r="S22" s="396">
        <v>0</v>
      </c>
      <c r="U22" s="396">
        <v>0</v>
      </c>
      <c r="V22" s="396">
        <v>0</v>
      </c>
      <c r="W22" s="396">
        <v>0</v>
      </c>
      <c r="X22" s="396">
        <v>0</v>
      </c>
      <c r="Y22" s="396">
        <v>3</v>
      </c>
      <c r="Z22" s="396">
        <v>0</v>
      </c>
      <c r="AA22" s="396">
        <v>0</v>
      </c>
      <c r="AB22" s="396">
        <v>0</v>
      </c>
      <c r="AD22" s="396">
        <v>5</v>
      </c>
      <c r="AE22" s="396">
        <v>20</v>
      </c>
      <c r="AF22" s="396">
        <v>1</v>
      </c>
      <c r="AG22" s="396">
        <v>3</v>
      </c>
      <c r="AH22" s="396">
        <v>1</v>
      </c>
      <c r="AI22" s="396">
        <v>25</v>
      </c>
      <c r="AJ22" s="396">
        <v>0</v>
      </c>
      <c r="AK22" s="396">
        <v>5</v>
      </c>
      <c r="AM22" s="396">
        <v>0</v>
      </c>
      <c r="AN22" s="396">
        <v>2</v>
      </c>
      <c r="AO22" s="396">
        <v>0</v>
      </c>
      <c r="AP22" s="396">
        <v>0</v>
      </c>
      <c r="AQ22" s="396">
        <v>0</v>
      </c>
      <c r="AR22" s="396">
        <v>1</v>
      </c>
      <c r="AS22" s="396">
        <v>0</v>
      </c>
      <c r="AT22" s="396">
        <v>1</v>
      </c>
      <c r="AV22" s="396">
        <v>0</v>
      </c>
      <c r="AW22" s="396">
        <v>0</v>
      </c>
      <c r="AX22" s="396">
        <v>0</v>
      </c>
      <c r="AY22" s="396">
        <v>0</v>
      </c>
      <c r="AZ22" s="396">
        <v>0</v>
      </c>
      <c r="BA22" s="396">
        <v>0</v>
      </c>
      <c r="BB22" s="396">
        <v>0</v>
      </c>
      <c r="BC22" s="396">
        <v>0</v>
      </c>
      <c r="BE22" s="21"/>
      <c r="BF22" s="21"/>
      <c r="BG22" s="21"/>
      <c r="BH22" s="21"/>
      <c r="BI22" s="21"/>
      <c r="BJ22" s="21"/>
      <c r="BK22" s="21"/>
      <c r="BL22" s="21"/>
    </row>
    <row r="23" spans="1:66">
      <c r="A23" s="13" t="s">
        <v>1057</v>
      </c>
      <c r="B23" s="1" t="s">
        <v>1074</v>
      </c>
      <c r="C23" s="396">
        <v>1</v>
      </c>
      <c r="D23" s="396">
        <v>1</v>
      </c>
      <c r="E23" s="396">
        <v>2</v>
      </c>
      <c r="F23" s="396">
        <v>13</v>
      </c>
      <c r="G23" s="396">
        <v>1</v>
      </c>
      <c r="H23" s="396">
        <v>6</v>
      </c>
      <c r="I23" s="396">
        <v>2</v>
      </c>
      <c r="J23" s="396">
        <v>1</v>
      </c>
      <c r="L23" s="396">
        <v>0</v>
      </c>
      <c r="M23" s="396">
        <v>0</v>
      </c>
      <c r="N23" s="396">
        <v>0</v>
      </c>
      <c r="O23" s="396">
        <v>0</v>
      </c>
      <c r="P23" s="396">
        <v>0</v>
      </c>
      <c r="Q23" s="396">
        <v>0</v>
      </c>
      <c r="R23" s="396">
        <v>0</v>
      </c>
      <c r="S23" s="396">
        <v>0</v>
      </c>
      <c r="U23" s="396">
        <v>0</v>
      </c>
      <c r="V23" s="396">
        <v>0</v>
      </c>
      <c r="W23" s="396">
        <v>0</v>
      </c>
      <c r="X23" s="396">
        <v>0</v>
      </c>
      <c r="Y23" s="396">
        <v>0</v>
      </c>
      <c r="Z23" s="396">
        <v>0</v>
      </c>
      <c r="AA23" s="396">
        <v>0</v>
      </c>
      <c r="AB23" s="396">
        <v>0</v>
      </c>
      <c r="AD23" s="396">
        <v>4</v>
      </c>
      <c r="AE23" s="396">
        <v>24</v>
      </c>
      <c r="AF23" s="396">
        <v>0</v>
      </c>
      <c r="AG23" s="396">
        <v>0</v>
      </c>
      <c r="AH23" s="396">
        <v>1</v>
      </c>
      <c r="AI23" s="396">
        <v>10</v>
      </c>
      <c r="AJ23" s="396">
        <v>0</v>
      </c>
      <c r="AK23" s="396">
        <v>1</v>
      </c>
      <c r="AM23" s="396">
        <v>0</v>
      </c>
      <c r="AN23" s="396">
        <v>0</v>
      </c>
      <c r="AO23" s="396">
        <v>0</v>
      </c>
      <c r="AP23" s="396">
        <v>0</v>
      </c>
      <c r="AQ23" s="396">
        <v>0</v>
      </c>
      <c r="AR23" s="396">
        <v>0</v>
      </c>
      <c r="AS23" s="396">
        <v>0</v>
      </c>
      <c r="AT23" s="396">
        <v>0</v>
      </c>
      <c r="AV23" s="396">
        <v>0</v>
      </c>
      <c r="AW23" s="396">
        <v>0</v>
      </c>
      <c r="AX23" s="396">
        <v>0</v>
      </c>
      <c r="AY23" s="396">
        <v>0</v>
      </c>
      <c r="AZ23" s="396">
        <v>0</v>
      </c>
      <c r="BA23" s="396">
        <v>0</v>
      </c>
      <c r="BB23" s="396">
        <v>0</v>
      </c>
      <c r="BC23" s="396">
        <v>0</v>
      </c>
      <c r="BE23" s="21"/>
      <c r="BF23" s="21"/>
      <c r="BG23" s="21"/>
      <c r="BH23" s="21"/>
      <c r="BI23" s="21"/>
      <c r="BJ23" s="21"/>
      <c r="BK23" s="21"/>
      <c r="BL23" s="21"/>
    </row>
    <row r="24" spans="1:66">
      <c r="A24" s="13" t="s">
        <v>1057</v>
      </c>
      <c r="B24" s="1" t="s">
        <v>1075</v>
      </c>
      <c r="C24" s="396">
        <v>0</v>
      </c>
      <c r="D24" s="396">
        <v>4</v>
      </c>
      <c r="E24" s="396">
        <v>3</v>
      </c>
      <c r="F24" s="396">
        <v>9</v>
      </c>
      <c r="G24" s="396">
        <v>1</v>
      </c>
      <c r="H24" s="396">
        <v>8</v>
      </c>
      <c r="I24" s="396">
        <v>5</v>
      </c>
      <c r="J24" s="396">
        <v>1</v>
      </c>
      <c r="L24" s="396">
        <v>0</v>
      </c>
      <c r="M24" s="396">
        <v>0</v>
      </c>
      <c r="N24" s="396">
        <v>0</v>
      </c>
      <c r="O24" s="396">
        <v>0</v>
      </c>
      <c r="P24" s="396">
        <v>0</v>
      </c>
      <c r="Q24" s="396">
        <v>0</v>
      </c>
      <c r="R24" s="396">
        <v>0</v>
      </c>
      <c r="S24" s="396">
        <v>0</v>
      </c>
      <c r="U24" s="396">
        <v>0</v>
      </c>
      <c r="V24" s="396">
        <v>0</v>
      </c>
      <c r="W24" s="396">
        <v>0</v>
      </c>
      <c r="X24" s="396">
        <v>0</v>
      </c>
      <c r="Y24" s="396">
        <v>0</v>
      </c>
      <c r="Z24" s="396">
        <v>0</v>
      </c>
      <c r="AA24" s="396">
        <v>0</v>
      </c>
      <c r="AB24" s="396">
        <v>0</v>
      </c>
      <c r="AD24" s="396">
        <v>9</v>
      </c>
      <c r="AE24" s="396">
        <v>6</v>
      </c>
      <c r="AF24" s="396">
        <v>0</v>
      </c>
      <c r="AG24" s="396">
        <v>0</v>
      </c>
      <c r="AH24" s="396">
        <v>1</v>
      </c>
      <c r="AI24" s="396">
        <v>9</v>
      </c>
      <c r="AJ24" s="396">
        <v>0</v>
      </c>
      <c r="AK24" s="396">
        <v>2</v>
      </c>
      <c r="AM24" s="396">
        <v>0</v>
      </c>
      <c r="AN24" s="396">
        <v>0</v>
      </c>
      <c r="AO24" s="396">
        <v>0</v>
      </c>
      <c r="AP24" s="396">
        <v>0</v>
      </c>
      <c r="AQ24" s="396">
        <v>0</v>
      </c>
      <c r="AR24" s="396">
        <v>0</v>
      </c>
      <c r="AS24" s="396">
        <v>0</v>
      </c>
      <c r="AT24" s="396">
        <v>0</v>
      </c>
      <c r="AV24" s="396">
        <v>0</v>
      </c>
      <c r="AW24" s="396">
        <v>0</v>
      </c>
      <c r="AX24" s="396">
        <v>0</v>
      </c>
      <c r="AY24" s="396">
        <v>0</v>
      </c>
      <c r="AZ24" s="396">
        <v>0</v>
      </c>
      <c r="BA24" s="396">
        <v>0</v>
      </c>
      <c r="BB24" s="396">
        <v>0</v>
      </c>
      <c r="BC24" s="396">
        <v>0</v>
      </c>
      <c r="BE24" s="21"/>
      <c r="BF24" s="21"/>
      <c r="BG24" s="21"/>
      <c r="BH24" s="21"/>
      <c r="BI24" s="21"/>
      <c r="BJ24" s="21"/>
      <c r="BK24" s="21"/>
      <c r="BL24" s="21"/>
    </row>
    <row r="25" spans="1:66">
      <c r="A25" s="13" t="s">
        <v>1057</v>
      </c>
      <c r="B25" s="1" t="s">
        <v>1076</v>
      </c>
      <c r="C25" s="396">
        <v>0</v>
      </c>
      <c r="D25" s="396">
        <v>1</v>
      </c>
      <c r="E25" s="396">
        <v>5</v>
      </c>
      <c r="F25" s="396">
        <v>24</v>
      </c>
      <c r="G25" s="396">
        <v>2</v>
      </c>
      <c r="H25" s="396">
        <v>17</v>
      </c>
      <c r="I25" s="396">
        <v>9.3333333333333304</v>
      </c>
      <c r="J25" s="396">
        <v>5.6666666666666599</v>
      </c>
      <c r="L25" s="396">
        <v>0</v>
      </c>
      <c r="M25" s="396">
        <v>0</v>
      </c>
      <c r="N25" s="396">
        <v>0</v>
      </c>
      <c r="O25" s="396">
        <v>0</v>
      </c>
      <c r="P25" s="396">
        <v>0</v>
      </c>
      <c r="Q25" s="396">
        <v>0</v>
      </c>
      <c r="R25" s="396">
        <v>0</v>
      </c>
      <c r="S25" s="396">
        <v>0</v>
      </c>
      <c r="U25" s="396">
        <v>0</v>
      </c>
      <c r="V25" s="396">
        <v>0</v>
      </c>
      <c r="W25" s="396">
        <v>0</v>
      </c>
      <c r="X25" s="396">
        <v>0</v>
      </c>
      <c r="Y25" s="396">
        <v>0</v>
      </c>
      <c r="Z25" s="396">
        <v>0</v>
      </c>
      <c r="AA25" s="396">
        <v>0</v>
      </c>
      <c r="AB25" s="396">
        <v>0</v>
      </c>
      <c r="AD25" s="396">
        <v>4</v>
      </c>
      <c r="AE25" s="396">
        <v>14</v>
      </c>
      <c r="AF25" s="396">
        <v>0</v>
      </c>
      <c r="AG25" s="396">
        <v>0</v>
      </c>
      <c r="AH25" s="396">
        <v>0</v>
      </c>
      <c r="AI25" s="396">
        <v>16</v>
      </c>
      <c r="AJ25" s="396">
        <v>0</v>
      </c>
      <c r="AK25" s="396">
        <v>2</v>
      </c>
      <c r="AM25" s="396">
        <v>0</v>
      </c>
      <c r="AN25" s="396">
        <v>0</v>
      </c>
      <c r="AO25" s="396">
        <v>0</v>
      </c>
      <c r="AP25" s="396">
        <v>0</v>
      </c>
      <c r="AQ25" s="396">
        <v>0</v>
      </c>
      <c r="AR25" s="396">
        <v>0</v>
      </c>
      <c r="AS25" s="396">
        <v>0</v>
      </c>
      <c r="AT25" s="396">
        <v>0</v>
      </c>
      <c r="AV25" s="396">
        <v>0</v>
      </c>
      <c r="AW25" s="396">
        <v>0</v>
      </c>
      <c r="AX25" s="396">
        <v>0</v>
      </c>
      <c r="AY25" s="396">
        <v>0</v>
      </c>
      <c r="AZ25" s="396">
        <v>0</v>
      </c>
      <c r="BA25" s="396">
        <v>0</v>
      </c>
      <c r="BB25" s="396">
        <v>0</v>
      </c>
      <c r="BC25" s="396">
        <v>0</v>
      </c>
      <c r="BE25" s="21">
        <v>22.6</v>
      </c>
      <c r="BF25" s="21"/>
      <c r="BG25" s="21"/>
      <c r="BH25" s="21"/>
      <c r="BI25" s="21"/>
      <c r="BJ25" s="21"/>
      <c r="BK25" s="21"/>
      <c r="BL25" s="21"/>
    </row>
    <row r="26" spans="1:66">
      <c r="A26" s="13" t="s">
        <v>1077</v>
      </c>
      <c r="B26" s="1" t="s">
        <v>1078</v>
      </c>
      <c r="F26">
        <v>1</v>
      </c>
      <c r="L26" s="21"/>
      <c r="M26" s="21"/>
      <c r="N26" s="21"/>
      <c r="O26" s="21">
        <v>1</v>
      </c>
      <c r="P26" s="21"/>
      <c r="Q26" s="21"/>
      <c r="R26" s="21"/>
      <c r="S26" s="21"/>
      <c r="U26" s="21"/>
      <c r="V26" s="21"/>
      <c r="W26" s="21"/>
      <c r="X26" s="21">
        <v>1</v>
      </c>
      <c r="Y26" s="21"/>
      <c r="Z26" s="21"/>
      <c r="AA26" s="21"/>
      <c r="AB26" s="21"/>
      <c r="AD26" s="21"/>
      <c r="AE26" s="21"/>
      <c r="AF26" s="21"/>
      <c r="AG26" s="21">
        <v>1</v>
      </c>
      <c r="AH26" s="21"/>
      <c r="AI26" s="21"/>
      <c r="AJ26" s="21"/>
      <c r="AK26" s="21"/>
      <c r="AM26" s="21"/>
      <c r="AN26" s="21"/>
      <c r="AO26" s="21"/>
      <c r="AP26" s="21">
        <v>1</v>
      </c>
      <c r="AQ26" s="21"/>
      <c r="AR26" s="21"/>
      <c r="AS26" s="21"/>
      <c r="AT26" s="21"/>
      <c r="AV26" s="21"/>
      <c r="AW26" s="21"/>
      <c r="AX26" s="21"/>
      <c r="AY26" s="21">
        <v>1</v>
      </c>
      <c r="AZ26" s="21"/>
      <c r="BA26" s="21"/>
      <c r="BB26" s="21"/>
      <c r="BC26" s="21"/>
      <c r="BE26" s="21"/>
      <c r="BF26" s="21"/>
      <c r="BG26" s="21"/>
      <c r="BH26" s="21">
        <v>1</v>
      </c>
      <c r="BI26" s="21"/>
      <c r="BJ26" s="21"/>
      <c r="BK26" s="21"/>
      <c r="BL26" s="21"/>
      <c r="BN26" t="s">
        <v>1079</v>
      </c>
    </row>
    <row r="27" spans="1:66">
      <c r="A27" s="13" t="s">
        <v>1077</v>
      </c>
      <c r="B27" s="1" t="s">
        <v>1080</v>
      </c>
      <c r="F27">
        <v>1</v>
      </c>
      <c r="L27" s="21">
        <v>1</v>
      </c>
      <c r="M27" s="21"/>
      <c r="N27" s="21"/>
      <c r="O27" s="21"/>
      <c r="P27" s="21"/>
      <c r="Q27" s="21"/>
      <c r="R27" s="21"/>
      <c r="S27" s="21"/>
      <c r="U27" s="21">
        <v>1</v>
      </c>
      <c r="V27" s="21"/>
      <c r="W27" s="21"/>
      <c r="X27" s="21"/>
      <c r="Y27" s="21"/>
      <c r="Z27" s="21"/>
      <c r="AA27" s="21"/>
      <c r="AB27" s="21"/>
      <c r="AD27" s="21">
        <v>1</v>
      </c>
      <c r="AE27" s="21"/>
      <c r="AF27" s="21"/>
      <c r="AG27" s="21"/>
      <c r="AH27" s="21"/>
      <c r="AI27" s="21"/>
      <c r="AJ27" s="21"/>
      <c r="AK27" s="21"/>
      <c r="AM27" s="21">
        <v>1</v>
      </c>
      <c r="AN27" s="21"/>
      <c r="AO27" s="21"/>
      <c r="AP27" s="21"/>
      <c r="AQ27" s="21"/>
      <c r="AR27" s="21"/>
      <c r="AS27" s="21"/>
      <c r="AT27" s="21"/>
      <c r="AV27" s="21">
        <v>1</v>
      </c>
      <c r="AW27" s="21"/>
      <c r="AX27" s="21"/>
      <c r="AY27" s="21"/>
      <c r="AZ27" s="21"/>
      <c r="BA27" s="21"/>
      <c r="BB27" s="21"/>
      <c r="BC27" s="21"/>
      <c r="BE27" s="21">
        <v>1</v>
      </c>
      <c r="BF27" s="21"/>
      <c r="BG27" s="21"/>
      <c r="BH27" s="21"/>
      <c r="BI27" s="21"/>
      <c r="BJ27" s="21"/>
      <c r="BK27" s="21"/>
      <c r="BL27" s="21"/>
      <c r="BN27" t="s">
        <v>1081</v>
      </c>
    </row>
    <row r="28" spans="1:66">
      <c r="A28" s="13" t="s">
        <v>1049</v>
      </c>
      <c r="B28" s="1" t="s">
        <v>1082</v>
      </c>
      <c r="F28" s="21">
        <v>156.19919999999999</v>
      </c>
      <c r="H28" s="21">
        <v>52.066400000000002</v>
      </c>
      <c r="I28" s="21">
        <v>52.066400000000002</v>
      </c>
      <c r="L28" s="21"/>
      <c r="M28" s="21"/>
      <c r="N28" s="21"/>
      <c r="O28" s="21"/>
      <c r="P28" s="21"/>
      <c r="Q28" s="21"/>
      <c r="R28" s="21"/>
      <c r="S28" s="21"/>
      <c r="U28" s="21"/>
      <c r="V28" s="21"/>
      <c r="W28" s="21"/>
      <c r="X28" s="21"/>
      <c r="Y28" s="21"/>
      <c r="AA28" s="21"/>
      <c r="AB28" s="395">
        <v>591.68500000000006</v>
      </c>
      <c r="AD28" s="21"/>
      <c r="AE28" s="21">
        <v>217.392</v>
      </c>
      <c r="AF28" s="21"/>
      <c r="AG28" s="21"/>
      <c r="AH28" s="21"/>
      <c r="AI28" s="21"/>
      <c r="AJ28" s="21"/>
      <c r="AK28" s="21"/>
      <c r="AM28" s="21"/>
      <c r="AN28" s="21"/>
      <c r="AO28" s="21"/>
      <c r="AQ28" s="21"/>
      <c r="AR28" s="21"/>
      <c r="AS28" s="21"/>
      <c r="AT28" s="21">
        <v>20.681999999999999</v>
      </c>
      <c r="AV28" s="21"/>
      <c r="AW28" s="21"/>
      <c r="AX28" s="21"/>
      <c r="AY28" s="21"/>
      <c r="AZ28" s="21"/>
      <c r="BA28" s="21"/>
      <c r="BB28" s="21"/>
      <c r="BC28" s="21"/>
      <c r="BE28" s="21"/>
      <c r="BF28" s="21"/>
      <c r="BG28" s="21"/>
      <c r="BH28" s="21"/>
      <c r="BI28" s="21"/>
      <c r="BJ28" s="21"/>
      <c r="BK28" s="21"/>
      <c r="BL28" s="21"/>
      <c r="BN28" t="s">
        <v>1083</v>
      </c>
    </row>
    <row r="30" spans="1:66">
      <c r="A30" s="397" t="s">
        <v>1084</v>
      </c>
    </row>
    <row r="31" spans="1:66">
      <c r="A31" s="398" t="s">
        <v>1085</v>
      </c>
      <c r="AB31" s="399" t="s">
        <v>1086</v>
      </c>
    </row>
    <row r="32" spans="1:66">
      <c r="A32" s="398" t="s">
        <v>1087</v>
      </c>
      <c r="AB32" s="399" t="s">
        <v>1088</v>
      </c>
    </row>
    <row r="33" spans="1:28">
      <c r="A33" s="398" t="s">
        <v>1089</v>
      </c>
      <c r="AB33" s="400"/>
    </row>
    <row r="34" spans="1:28">
      <c r="AB34" s="399" t="s">
        <v>1090</v>
      </c>
    </row>
    <row r="35" spans="1:28">
      <c r="A35" s="397" t="s">
        <v>1091</v>
      </c>
      <c r="AB35" s="399" t="s">
        <v>1092</v>
      </c>
    </row>
    <row r="36" spans="1:28">
      <c r="A36" s="13" t="s">
        <v>1093</v>
      </c>
      <c r="AB36" s="399" t="s">
        <v>1094</v>
      </c>
    </row>
    <row r="37" spans="1:28">
      <c r="A37" s="13" t="s">
        <v>1095</v>
      </c>
      <c r="AB37" s="399" t="s">
        <v>1096</v>
      </c>
    </row>
    <row r="38" spans="1:28">
      <c r="AB38" s="399" t="s">
        <v>1097</v>
      </c>
    </row>
    <row r="39" spans="1:28">
      <c r="A39" s="397" t="s">
        <v>1098</v>
      </c>
      <c r="AB39" s="24"/>
    </row>
    <row r="40" spans="1:28">
      <c r="A40" s="13" t="s">
        <v>1099</v>
      </c>
    </row>
    <row r="41" spans="1:28">
      <c r="A41" s="13" t="s">
        <v>1100</v>
      </c>
    </row>
    <row r="42" spans="1:28">
      <c r="A42" s="13" t="s">
        <v>1101</v>
      </c>
    </row>
    <row r="43" spans="1:28">
      <c r="A43" s="13" t="s">
        <v>1102</v>
      </c>
    </row>
    <row r="44" spans="1:28">
      <c r="A44" s="13" t="s">
        <v>1103</v>
      </c>
    </row>
    <row r="45" spans="1:28">
      <c r="A45" s="401" t="s">
        <v>1104</v>
      </c>
    </row>
    <row r="46" spans="1:28">
      <c r="A46" s="13" t="s">
        <v>1105</v>
      </c>
    </row>
    <row r="47" spans="1:28">
      <c r="A47" s="13" t="s">
        <v>1106</v>
      </c>
    </row>
  </sheetData>
  <hyperlinks>
    <hyperlink ref="A45" r:id="rId1" xr:uid="{881CC4B4-C9A7-4D40-8A82-BF3F61E265DB}"/>
  </hyperlinks>
  <pageMargins left="0.7" right="0.7" top="0.75" bottom="0.75" header="0.3" footer="0.3"/>
  <pageSetup orientation="portrait"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28EC-8569-44B8-AEB4-3ECB4B1D6568}">
  <dimension ref="B1:N29"/>
  <sheetViews>
    <sheetView zoomScale="85" zoomScaleNormal="85" workbookViewId="0">
      <selection activeCell="I4" sqref="I4"/>
    </sheetView>
  </sheetViews>
  <sheetFormatPr defaultRowHeight="15"/>
  <cols>
    <col min="2" max="2" width="42.85546875" bestFit="1" customWidth="1"/>
    <col min="3" max="3" width="21.42578125" customWidth="1"/>
  </cols>
  <sheetData>
    <row r="1" spans="2:14" ht="15.75" thickBot="1"/>
    <row r="2" spans="2:14" ht="30.95" customHeight="1">
      <c r="D2" s="402" t="s">
        <v>1107</v>
      </c>
      <c r="E2" s="402"/>
      <c r="F2" s="402"/>
      <c r="G2" s="402"/>
      <c r="H2" s="402"/>
      <c r="I2" s="439" t="s">
        <v>1108</v>
      </c>
      <c r="J2" s="440"/>
      <c r="K2" s="440"/>
      <c r="L2" s="440"/>
      <c r="M2" s="441"/>
    </row>
    <row r="3" spans="2:14" ht="60">
      <c r="B3" t="s">
        <v>1040</v>
      </c>
      <c r="C3" s="3" t="s">
        <v>1109</v>
      </c>
      <c r="D3" s="403" t="s">
        <v>1110</v>
      </c>
      <c r="E3" s="403" t="s">
        <v>1111</v>
      </c>
      <c r="F3" s="403" t="s">
        <v>1112</v>
      </c>
      <c r="G3" s="403" t="s">
        <v>1113</v>
      </c>
      <c r="H3" s="404" t="s">
        <v>1114</v>
      </c>
      <c r="I3" s="405" t="s">
        <v>1110</v>
      </c>
      <c r="J3" s="3" t="s">
        <v>1111</v>
      </c>
      <c r="K3" s="3" t="s">
        <v>1112</v>
      </c>
      <c r="L3" s="3" t="s">
        <v>1113</v>
      </c>
      <c r="M3" s="406" t="s">
        <v>1114</v>
      </c>
      <c r="N3" s="407" t="s">
        <v>1115</v>
      </c>
    </row>
    <row r="4" spans="2:14">
      <c r="B4" t="s">
        <v>1050</v>
      </c>
      <c r="C4" s="408">
        <v>4.1094089371344421E-2</v>
      </c>
      <c r="D4" s="409">
        <v>1</v>
      </c>
      <c r="E4" s="409">
        <v>0</v>
      </c>
      <c r="F4" s="409">
        <v>0</v>
      </c>
      <c r="G4" s="409">
        <v>0</v>
      </c>
      <c r="H4" s="409">
        <v>0</v>
      </c>
      <c r="I4" s="410">
        <f>$C4*D4/SUMPRODUCT($C$4:$C$28,D$4:D$28)</f>
        <v>0.18630249015246081</v>
      </c>
      <c r="J4" s="411">
        <f t="shared" ref="J4:M28" si="0">$C4*E4/SUMPRODUCT($C$4:$C$28,E$4:E$28)</f>
        <v>0</v>
      </c>
      <c r="K4" s="411">
        <f t="shared" si="0"/>
        <v>0</v>
      </c>
      <c r="L4" s="411">
        <f t="shared" si="0"/>
        <v>0</v>
      </c>
      <c r="M4" s="412">
        <f t="shared" si="0"/>
        <v>0</v>
      </c>
      <c r="N4" s="76">
        <v>0.39</v>
      </c>
    </row>
    <row r="5" spans="2:14">
      <c r="B5" t="s">
        <v>1052</v>
      </c>
      <c r="C5" s="408">
        <v>0</v>
      </c>
      <c r="D5" s="409">
        <v>1</v>
      </c>
      <c r="E5" s="409">
        <v>0</v>
      </c>
      <c r="F5" s="409">
        <v>0</v>
      </c>
      <c r="G5" s="409">
        <v>0</v>
      </c>
      <c r="H5" s="409">
        <v>0</v>
      </c>
      <c r="I5" s="410">
        <f t="shared" ref="I5:I28" si="1">$C5*D5/SUMPRODUCT($C$4:$C$28,D$4:D$28)</f>
        <v>0</v>
      </c>
      <c r="J5" s="411">
        <f t="shared" si="0"/>
        <v>0</v>
      </c>
      <c r="K5" s="411">
        <f t="shared" si="0"/>
        <v>0</v>
      </c>
      <c r="L5" s="411">
        <f t="shared" si="0"/>
        <v>0</v>
      </c>
      <c r="M5" s="412">
        <f t="shared" si="0"/>
        <v>0</v>
      </c>
      <c r="N5" s="76">
        <v>0.39</v>
      </c>
    </row>
    <row r="6" spans="2:14">
      <c r="B6" t="s">
        <v>1054</v>
      </c>
      <c r="C6" s="408">
        <v>4.0805825486475107E-2</v>
      </c>
      <c r="D6" s="413">
        <v>7.6923076923076913E-2</v>
      </c>
      <c r="E6" s="413">
        <v>0.25213675213675213</v>
      </c>
      <c r="F6" s="413">
        <v>0.53205128205128205</v>
      </c>
      <c r="G6" s="413">
        <v>0.1388888888888889</v>
      </c>
      <c r="H6" s="413">
        <v>0</v>
      </c>
      <c r="I6" s="410">
        <f t="shared" si="1"/>
        <v>1.4230432980201132E-2</v>
      </c>
      <c r="J6" s="411">
        <f t="shared" si="0"/>
        <v>5.4733820804804316E-2</v>
      </c>
      <c r="K6" s="411">
        <f t="shared" si="0"/>
        <v>5.5371220194986928E-2</v>
      </c>
      <c r="L6" s="411">
        <f t="shared" si="0"/>
        <v>7.0215430180409155E-2</v>
      </c>
      <c r="M6" s="412">
        <f t="shared" si="0"/>
        <v>0</v>
      </c>
      <c r="N6" s="76">
        <v>0.18</v>
      </c>
    </row>
    <row r="7" spans="2:14">
      <c r="B7" t="s">
        <v>1056</v>
      </c>
      <c r="C7" s="408">
        <v>2.3082653003295327E-2</v>
      </c>
      <c r="D7" s="409">
        <v>1</v>
      </c>
      <c r="E7" s="409">
        <v>0</v>
      </c>
      <c r="F7" s="409">
        <v>0</v>
      </c>
      <c r="G7" s="409">
        <v>0</v>
      </c>
      <c r="H7" s="409">
        <v>0</v>
      </c>
      <c r="I7" s="410">
        <f t="shared" si="1"/>
        <v>0.10464657569070762</v>
      </c>
      <c r="J7" s="411">
        <f t="shared" si="0"/>
        <v>0</v>
      </c>
      <c r="K7" s="411">
        <f t="shared" si="0"/>
        <v>0</v>
      </c>
      <c r="L7" s="411">
        <f t="shared" si="0"/>
        <v>0</v>
      </c>
      <c r="M7" s="412">
        <f t="shared" si="0"/>
        <v>0</v>
      </c>
      <c r="N7" s="76">
        <v>0.39</v>
      </c>
    </row>
    <row r="8" spans="2:14">
      <c r="B8" t="s">
        <v>1058</v>
      </c>
      <c r="C8" s="408">
        <v>9.7591784811817753E-2</v>
      </c>
      <c r="D8" s="413">
        <v>0.23333333333333336</v>
      </c>
      <c r="E8" s="413">
        <v>0.25555555555555554</v>
      </c>
      <c r="F8" s="413">
        <v>0.51111111111111107</v>
      </c>
      <c r="G8" s="413">
        <v>0</v>
      </c>
      <c r="H8" s="413">
        <v>0</v>
      </c>
      <c r="I8" s="410">
        <f t="shared" si="1"/>
        <v>0.10323556635438472</v>
      </c>
      <c r="J8" s="411">
        <f t="shared" si="0"/>
        <v>0.13267711857986475</v>
      </c>
      <c r="K8" s="411">
        <f t="shared" si="0"/>
        <v>0.12721461707745318</v>
      </c>
      <c r="L8" s="411">
        <f t="shared" si="0"/>
        <v>0</v>
      </c>
      <c r="M8" s="412">
        <f t="shared" si="0"/>
        <v>0</v>
      </c>
      <c r="N8" s="76">
        <v>0.56000000000000005</v>
      </c>
    </row>
    <row r="9" spans="2:14">
      <c r="B9" t="s">
        <v>1059</v>
      </c>
      <c r="C9" s="408">
        <v>3.2056865699710202E-3</v>
      </c>
      <c r="D9" s="413">
        <v>0.47272727272727272</v>
      </c>
      <c r="E9" s="413">
        <v>0.17575757575757572</v>
      </c>
      <c r="F9" s="413">
        <v>0.35151515151515145</v>
      </c>
      <c r="G9" s="413">
        <v>0</v>
      </c>
      <c r="H9" s="413">
        <v>0</v>
      </c>
      <c r="I9" s="410">
        <f t="shared" si="1"/>
        <v>6.8702258619523088E-3</v>
      </c>
      <c r="J9" s="411">
        <f t="shared" si="0"/>
        <v>2.9973161609006555E-3</v>
      </c>
      <c r="K9" s="411">
        <f t="shared" si="0"/>
        <v>2.8739124858180773E-3</v>
      </c>
      <c r="L9" s="411">
        <f t="shared" si="0"/>
        <v>0</v>
      </c>
      <c r="M9" s="412">
        <f t="shared" si="0"/>
        <v>0</v>
      </c>
      <c r="N9" s="76">
        <v>0.56000000000000005</v>
      </c>
    </row>
    <row r="10" spans="2:14">
      <c r="B10" t="s">
        <v>1060</v>
      </c>
      <c r="C10" s="408">
        <v>5.8503779901971122E-2</v>
      </c>
      <c r="D10" s="413">
        <v>0.11764705882352942</v>
      </c>
      <c r="E10" s="413">
        <v>0.29411764705882354</v>
      </c>
      <c r="F10" s="413">
        <v>0.58823529411764708</v>
      </c>
      <c r="G10" s="413">
        <v>0</v>
      </c>
      <c r="H10" s="413">
        <v>0</v>
      </c>
      <c r="I10" s="410">
        <f t="shared" si="1"/>
        <v>3.1203571081152182E-2</v>
      </c>
      <c r="J10" s="411">
        <f t="shared" si="0"/>
        <v>9.1538217946370196E-2</v>
      </c>
      <c r="K10" s="411">
        <f t="shared" si="0"/>
        <v>8.7769462199996831E-2</v>
      </c>
      <c r="L10" s="411">
        <f t="shared" si="0"/>
        <v>0</v>
      </c>
      <c r="M10" s="412">
        <f t="shared" si="0"/>
        <v>0</v>
      </c>
      <c r="N10" s="76">
        <v>0.72</v>
      </c>
    </row>
    <row r="11" spans="2:14">
      <c r="B11" t="s">
        <v>1061</v>
      </c>
      <c r="C11" s="408">
        <v>0.17093361928399475</v>
      </c>
      <c r="D11" s="413">
        <v>0.34666666666666668</v>
      </c>
      <c r="E11" s="413">
        <v>0.20444444444444443</v>
      </c>
      <c r="F11" s="413">
        <v>0.41555555555555551</v>
      </c>
      <c r="G11" s="413">
        <v>3.3333333333333333E-2</v>
      </c>
      <c r="H11" s="413">
        <v>0</v>
      </c>
      <c r="I11" s="410">
        <f t="shared" si="1"/>
        <v>0.26864506783474879</v>
      </c>
      <c r="J11" s="411">
        <f t="shared" si="0"/>
        <v>0.18590892763163602</v>
      </c>
      <c r="K11" s="411">
        <f t="shared" si="0"/>
        <v>0.18116112675115184</v>
      </c>
      <c r="L11" s="411">
        <f t="shared" si="0"/>
        <v>7.0590965680415618E-2</v>
      </c>
      <c r="M11" s="412">
        <f t="shared" si="0"/>
        <v>0</v>
      </c>
      <c r="N11" s="76">
        <v>0.72</v>
      </c>
    </row>
    <row r="12" spans="2:14">
      <c r="B12" t="s">
        <v>1063</v>
      </c>
      <c r="C12" s="408">
        <v>0.10696307521803304</v>
      </c>
      <c r="D12" s="413">
        <v>7.6923076923076913E-2</v>
      </c>
      <c r="E12" s="413">
        <v>0.25213675213675213</v>
      </c>
      <c r="F12" s="413">
        <v>0.53205128205128205</v>
      </c>
      <c r="G12" s="413">
        <v>0.1388888888888889</v>
      </c>
      <c r="H12" s="413">
        <v>0</v>
      </c>
      <c r="I12" s="410">
        <f t="shared" si="1"/>
        <v>3.7301803237651317E-2</v>
      </c>
      <c r="J12" s="411">
        <f t="shared" si="0"/>
        <v>0.143472107766943</v>
      </c>
      <c r="K12" s="411">
        <f t="shared" si="0"/>
        <v>0.1451429034953281</v>
      </c>
      <c r="L12" s="411">
        <f t="shared" si="0"/>
        <v>0.1840535818186782</v>
      </c>
      <c r="M12" s="412">
        <f t="shared" si="0"/>
        <v>0</v>
      </c>
      <c r="N12" s="76">
        <v>0.18</v>
      </c>
    </row>
    <row r="13" spans="2:14">
      <c r="B13" t="s">
        <v>1064</v>
      </c>
      <c r="C13" s="408">
        <v>0.24341846687979948</v>
      </c>
      <c r="D13" s="413">
        <v>7.6923076923076913E-2</v>
      </c>
      <c r="E13" s="413">
        <v>0.25213675213675213</v>
      </c>
      <c r="F13" s="413">
        <v>0.53205128205128205</v>
      </c>
      <c r="G13" s="413">
        <v>0.1388888888888889</v>
      </c>
      <c r="H13" s="413">
        <v>0</v>
      </c>
      <c r="I13" s="410">
        <f t="shared" si="1"/>
        <v>8.4888619156213499E-2</v>
      </c>
      <c r="J13" s="411">
        <f t="shared" si="0"/>
        <v>0.32650295853456163</v>
      </c>
      <c r="K13" s="411">
        <f t="shared" si="0"/>
        <v>0.33030522893342401</v>
      </c>
      <c r="L13" s="411">
        <f t="shared" si="0"/>
        <v>0.4188552041787702</v>
      </c>
      <c r="M13" s="412">
        <f t="shared" si="0"/>
        <v>0</v>
      </c>
      <c r="N13" s="76">
        <v>0.23</v>
      </c>
    </row>
    <row r="14" spans="2:14">
      <c r="B14" t="s">
        <v>1065</v>
      </c>
      <c r="C14" s="408">
        <v>1.0578765680904366E-2</v>
      </c>
      <c r="D14" s="413">
        <v>7.6923076923076913E-2</v>
      </c>
      <c r="E14" s="413">
        <v>0.25213675213675213</v>
      </c>
      <c r="F14" s="413">
        <v>0.53205128205128205</v>
      </c>
      <c r="G14" s="413">
        <v>0.1388888888888889</v>
      </c>
      <c r="H14" s="413">
        <v>0</v>
      </c>
      <c r="I14" s="410">
        <f t="shared" si="1"/>
        <v>3.6891893311962842E-3</v>
      </c>
      <c r="J14" s="411">
        <f t="shared" si="0"/>
        <v>1.4189549119807549E-2</v>
      </c>
      <c r="K14" s="411">
        <f t="shared" si="0"/>
        <v>1.4354792653384097E-2</v>
      </c>
      <c r="L14" s="411">
        <f t="shared" si="0"/>
        <v>1.8203101498550592E-2</v>
      </c>
      <c r="M14" s="412">
        <f t="shared" si="0"/>
        <v>0</v>
      </c>
      <c r="N14" s="76">
        <v>0.23</v>
      </c>
    </row>
    <row r="15" spans="2:14">
      <c r="B15" t="s">
        <v>1066</v>
      </c>
      <c r="C15" s="408">
        <v>1.4853014440865727E-2</v>
      </c>
      <c r="D15" s="413">
        <v>0</v>
      </c>
      <c r="E15" s="413">
        <v>0</v>
      </c>
      <c r="F15" s="413">
        <v>1.282051282051282E-2</v>
      </c>
      <c r="G15" s="413">
        <v>6.4102564102564111E-2</v>
      </c>
      <c r="H15" s="413">
        <v>0.92307692307692302</v>
      </c>
      <c r="I15" s="410">
        <f t="shared" si="1"/>
        <v>0</v>
      </c>
      <c r="J15" s="411">
        <f t="shared" si="0"/>
        <v>0</v>
      </c>
      <c r="K15" s="411">
        <f t="shared" si="0"/>
        <v>4.8565563558972607E-4</v>
      </c>
      <c r="L15" s="411">
        <f t="shared" si="0"/>
        <v>1.1795949222836982E-2</v>
      </c>
      <c r="M15" s="412">
        <f t="shared" si="0"/>
        <v>0.11556765031642216</v>
      </c>
      <c r="N15" s="76">
        <v>0.55000000000000004</v>
      </c>
    </row>
    <row r="16" spans="2:14">
      <c r="B16" t="s">
        <v>1067</v>
      </c>
      <c r="C16" s="408">
        <v>4.5141623428579913E-2</v>
      </c>
      <c r="D16" s="413">
        <v>4.3956043956043953E-2</v>
      </c>
      <c r="E16" s="413">
        <v>0</v>
      </c>
      <c r="F16" s="413">
        <v>4.2124542124542121E-2</v>
      </c>
      <c r="G16" s="413">
        <v>0.21062271062271062</v>
      </c>
      <c r="H16" s="413">
        <v>0.70329670329670324</v>
      </c>
      <c r="I16" s="410">
        <f t="shared" si="1"/>
        <v>8.9957022299713297E-3</v>
      </c>
      <c r="J16" s="411">
        <f t="shared" si="0"/>
        <v>0</v>
      </c>
      <c r="K16" s="411">
        <f t="shared" si="0"/>
        <v>4.8497661613786961E-3</v>
      </c>
      <c r="L16" s="411">
        <f t="shared" si="0"/>
        <v>0.11779456715824907</v>
      </c>
      <c r="M16" s="412">
        <f t="shared" si="0"/>
        <v>0.26760827687001398</v>
      </c>
      <c r="N16" s="76">
        <v>0.39</v>
      </c>
    </row>
    <row r="17" spans="2:14">
      <c r="B17" t="s">
        <v>1068</v>
      </c>
      <c r="C17" s="408">
        <v>4.7764729892568206E-2</v>
      </c>
      <c r="D17" s="413">
        <v>5.6497175141242938E-3</v>
      </c>
      <c r="E17" s="413">
        <v>3.766478342749529E-3</v>
      </c>
      <c r="F17" s="413">
        <v>1.1299435028248586E-2</v>
      </c>
      <c r="G17" s="413">
        <v>1.8832391713747645E-2</v>
      </c>
      <c r="H17" s="413">
        <v>0.96045197740112986</v>
      </c>
      <c r="I17" s="410">
        <f t="shared" si="1"/>
        <v>1.2234137535571314E-3</v>
      </c>
      <c r="J17" s="411">
        <f t="shared" si="0"/>
        <v>9.5706237828096152E-4</v>
      </c>
      <c r="K17" s="411">
        <f t="shared" si="0"/>
        <v>1.3764881835931705E-3</v>
      </c>
      <c r="L17" s="411">
        <f t="shared" si="0"/>
        <v>1.1144374415137291E-2</v>
      </c>
      <c r="M17" s="412">
        <f t="shared" si="0"/>
        <v>0.38669340703059241</v>
      </c>
      <c r="N17" s="76">
        <v>0.46</v>
      </c>
    </row>
    <row r="18" spans="2:14">
      <c r="B18" t="s">
        <v>1069</v>
      </c>
      <c r="C18" s="408">
        <v>2.7782616939748844E-2</v>
      </c>
      <c r="D18" s="413">
        <v>0</v>
      </c>
      <c r="E18" s="413">
        <v>0.19791666666666666</v>
      </c>
      <c r="F18" s="413">
        <v>0.41666666666666663</v>
      </c>
      <c r="G18" s="413">
        <v>0.10416666666666669</v>
      </c>
      <c r="H18" s="413">
        <v>0.28125000000000006</v>
      </c>
      <c r="I18" s="410">
        <f t="shared" si="1"/>
        <v>0</v>
      </c>
      <c r="J18" s="411">
        <f t="shared" si="0"/>
        <v>2.925182474557142E-2</v>
      </c>
      <c r="K18" s="411">
        <f t="shared" si="0"/>
        <v>2.9523669933332271E-2</v>
      </c>
      <c r="L18" s="411">
        <f t="shared" si="0"/>
        <v>3.5854593860781478E-2</v>
      </c>
      <c r="M18" s="412">
        <f t="shared" si="0"/>
        <v>6.5864207183482529E-2</v>
      </c>
      <c r="N18" s="76">
        <v>0.45</v>
      </c>
    </row>
    <row r="19" spans="2:14">
      <c r="B19" t="s">
        <v>1070</v>
      </c>
      <c r="C19" s="408">
        <v>2.660719853075947E-2</v>
      </c>
      <c r="D19" s="413">
        <v>9.9999999999999992E-2</v>
      </c>
      <c r="E19" s="413">
        <v>6.6666666666666652E-2</v>
      </c>
      <c r="F19" s="413">
        <v>0.15416666666666665</v>
      </c>
      <c r="G19" s="413">
        <v>0.10416666666666667</v>
      </c>
      <c r="H19" s="413">
        <v>0.57499999999999996</v>
      </c>
      <c r="I19" s="410">
        <f t="shared" si="1"/>
        <v>1.2062531176850882E-2</v>
      </c>
      <c r="J19" s="411">
        <f t="shared" si="0"/>
        <v>9.4363781203527543E-3</v>
      </c>
      <c r="K19" s="411">
        <f t="shared" si="0"/>
        <v>1.0461598888299622E-2</v>
      </c>
      <c r="L19" s="411">
        <f t="shared" si="0"/>
        <v>3.4337668735902258E-2</v>
      </c>
      <c r="M19" s="412">
        <f t="shared" si="0"/>
        <v>0.12895874001360833</v>
      </c>
      <c r="N19" s="76">
        <v>0.36</v>
      </c>
    </row>
    <row r="20" spans="2:14">
      <c r="B20" t="s">
        <v>1071</v>
      </c>
      <c r="C20" s="408">
        <v>2.030268160981646E-3</v>
      </c>
      <c r="D20" s="413">
        <v>0.32558139534883723</v>
      </c>
      <c r="E20" s="413">
        <v>6.9767441860465115E-2</v>
      </c>
      <c r="F20" s="413">
        <v>0.1744186046511628</v>
      </c>
      <c r="G20" s="413">
        <v>0.1744186046511628</v>
      </c>
      <c r="H20" s="413">
        <v>0.2558139534883721</v>
      </c>
      <c r="I20" s="410">
        <f t="shared" si="1"/>
        <v>2.9967622051390069E-3</v>
      </c>
      <c r="J20" s="411">
        <f t="shared" si="0"/>
        <v>7.5353537806123146E-4</v>
      </c>
      <c r="K20" s="411">
        <f t="shared" si="0"/>
        <v>9.0313909813950234E-4</v>
      </c>
      <c r="L20" s="411">
        <f t="shared" si="0"/>
        <v>4.387216851659128E-3</v>
      </c>
      <c r="M20" s="412">
        <f t="shared" si="0"/>
        <v>4.3778554725017989E-3</v>
      </c>
      <c r="N20" s="76">
        <v>0.35</v>
      </c>
    </row>
    <row r="21" spans="2:14">
      <c r="B21" t="s">
        <v>1072</v>
      </c>
      <c r="C21" s="408">
        <v>2.7782616939748843E-3</v>
      </c>
      <c r="D21" s="413">
        <v>0.32558139534883723</v>
      </c>
      <c r="E21" s="413">
        <v>6.9767441860465115E-2</v>
      </c>
      <c r="F21" s="413">
        <v>0.1744186046511628</v>
      </c>
      <c r="G21" s="413">
        <v>0.1744186046511628</v>
      </c>
      <c r="H21" s="413">
        <v>0.2558139534883721</v>
      </c>
      <c r="I21" s="410">
        <f t="shared" si="1"/>
        <v>4.1008324912428515E-3</v>
      </c>
      <c r="J21" s="411">
        <f t="shared" si="0"/>
        <v>1.0311536752416852E-3</v>
      </c>
      <c r="K21" s="411">
        <f t="shared" si="0"/>
        <v>1.2358745553487926E-3</v>
      </c>
      <c r="L21" s="411">
        <f t="shared" si="0"/>
        <v>6.0035599022703855E-3</v>
      </c>
      <c r="M21" s="412">
        <f t="shared" si="0"/>
        <v>5.9907495939498312E-3</v>
      </c>
      <c r="N21" s="76">
        <v>0.35</v>
      </c>
    </row>
    <row r="22" spans="2:14">
      <c r="B22" t="s">
        <v>1073</v>
      </c>
      <c r="C22" s="408">
        <v>3.3125427889700541E-3</v>
      </c>
      <c r="D22" s="413">
        <v>0.32558139534883723</v>
      </c>
      <c r="E22" s="413">
        <v>6.9767441860465115E-2</v>
      </c>
      <c r="F22" s="413">
        <v>0.1744186046511628</v>
      </c>
      <c r="G22" s="413">
        <v>0.1744186046511628</v>
      </c>
      <c r="H22" s="413">
        <v>0.2558139534883721</v>
      </c>
      <c r="I22" s="410">
        <f t="shared" si="1"/>
        <v>4.8894541241741689E-3</v>
      </c>
      <c r="J22" s="411">
        <f t="shared" si="0"/>
        <v>1.2294524589420094E-3</v>
      </c>
      <c r="K22" s="411">
        <f t="shared" si="0"/>
        <v>1.4735427390697143E-3</v>
      </c>
      <c r="L22" s="411">
        <f t="shared" si="0"/>
        <v>7.1580906527069976E-3</v>
      </c>
      <c r="M22" s="412">
        <f t="shared" si="0"/>
        <v>7.1428168235555664E-3</v>
      </c>
      <c r="N22" s="76">
        <v>0.34</v>
      </c>
    </row>
    <row r="23" spans="2:14">
      <c r="B23" t="s">
        <v>1074</v>
      </c>
      <c r="C23" s="408">
        <v>3.2056865699710202E-3</v>
      </c>
      <c r="D23" s="413">
        <v>0.41860465116279066</v>
      </c>
      <c r="E23" s="413">
        <v>0.13178294573643412</v>
      </c>
      <c r="F23" s="413">
        <v>0.26356589147286824</v>
      </c>
      <c r="G23" s="413">
        <v>0</v>
      </c>
      <c r="H23" s="413">
        <v>0.18604651162790697</v>
      </c>
      <c r="I23" s="410">
        <f t="shared" si="1"/>
        <v>6.0836525968987355E-3</v>
      </c>
      <c r="J23" s="411">
        <f t="shared" si="0"/>
        <v>2.2473862152703398E-3</v>
      </c>
      <c r="K23" s="411">
        <f t="shared" si="0"/>
        <v>2.1548581990696899E-3</v>
      </c>
      <c r="L23" s="411">
        <f t="shared" si="0"/>
        <v>0</v>
      </c>
      <c r="M23" s="412">
        <f t="shared" si="0"/>
        <v>5.0272024564613962E-3</v>
      </c>
      <c r="N23" s="76">
        <v>0.35</v>
      </c>
    </row>
    <row r="24" spans="2:14">
      <c r="B24" t="s">
        <v>1075</v>
      </c>
      <c r="C24" s="408">
        <v>2.030268160981646E-3</v>
      </c>
      <c r="D24" s="413">
        <v>0.41860465116279066</v>
      </c>
      <c r="E24" s="413">
        <v>0.13178294573643412</v>
      </c>
      <c r="F24" s="413">
        <v>0.26356589147286824</v>
      </c>
      <c r="G24" s="413">
        <v>0</v>
      </c>
      <c r="H24" s="413">
        <v>0.18604651162790697</v>
      </c>
      <c r="I24" s="410">
        <f t="shared" si="1"/>
        <v>3.8529799780358653E-3</v>
      </c>
      <c r="J24" s="411">
        <f t="shared" si="0"/>
        <v>1.4233446030045486E-3</v>
      </c>
      <c r="K24" s="411">
        <f t="shared" si="0"/>
        <v>1.3647435260774703E-3</v>
      </c>
      <c r="L24" s="411">
        <f t="shared" si="0"/>
        <v>0</v>
      </c>
      <c r="M24" s="412">
        <f t="shared" si="0"/>
        <v>3.183894889092217E-3</v>
      </c>
      <c r="N24" s="76">
        <v>0.35</v>
      </c>
    </row>
    <row r="25" spans="2:14">
      <c r="B25" t="s">
        <v>1076</v>
      </c>
      <c r="C25" s="408">
        <v>4.4452187103598152E-3</v>
      </c>
      <c r="D25" s="413">
        <v>0.32558139534883723</v>
      </c>
      <c r="E25" s="413">
        <v>6.9767441860465115E-2</v>
      </c>
      <c r="F25" s="413">
        <v>0.1744186046511628</v>
      </c>
      <c r="G25" s="413">
        <v>0.1744186046511628</v>
      </c>
      <c r="H25" s="413">
        <v>0.2558139534883721</v>
      </c>
      <c r="I25" s="410">
        <f t="shared" si="1"/>
        <v>6.5613319859885635E-3</v>
      </c>
      <c r="J25" s="411">
        <f t="shared" si="0"/>
        <v>1.6498458803866965E-3</v>
      </c>
      <c r="K25" s="411">
        <f t="shared" si="0"/>
        <v>1.9773992885580684E-3</v>
      </c>
      <c r="L25" s="411">
        <f t="shared" si="0"/>
        <v>9.6056958436326178E-3</v>
      </c>
      <c r="M25" s="412">
        <f t="shared" si="0"/>
        <v>9.5851993503197307E-3</v>
      </c>
      <c r="N25" s="76">
        <v>0.39</v>
      </c>
    </row>
    <row r="26" spans="2:14">
      <c r="B26" t="s">
        <v>1078</v>
      </c>
      <c r="C26" s="408">
        <v>0</v>
      </c>
      <c r="D26" s="409">
        <v>1</v>
      </c>
      <c r="E26" s="409">
        <v>0</v>
      </c>
      <c r="F26" s="409">
        <v>0</v>
      </c>
      <c r="G26" s="409">
        <v>0</v>
      </c>
      <c r="H26" s="409">
        <v>0</v>
      </c>
      <c r="I26" s="410">
        <f t="shared" si="1"/>
        <v>0</v>
      </c>
      <c r="J26" s="411">
        <f t="shared" si="0"/>
        <v>0</v>
      </c>
      <c r="K26" s="411">
        <f t="shared" si="0"/>
        <v>0</v>
      </c>
      <c r="L26" s="411">
        <f t="shared" si="0"/>
        <v>0</v>
      </c>
      <c r="M26" s="412">
        <f t="shared" si="0"/>
        <v>0</v>
      </c>
      <c r="N26" s="76">
        <v>0.39</v>
      </c>
    </row>
    <row r="27" spans="2:14">
      <c r="B27" t="s">
        <v>1080</v>
      </c>
      <c r="C27" s="408">
        <v>6.4113731399420408E-4</v>
      </c>
      <c r="D27" s="409">
        <v>1</v>
      </c>
      <c r="E27" s="409">
        <v>0</v>
      </c>
      <c r="F27" s="409">
        <v>0</v>
      </c>
      <c r="G27" s="409">
        <v>0</v>
      </c>
      <c r="H27" s="409">
        <v>0</v>
      </c>
      <c r="I27" s="410">
        <f t="shared" si="1"/>
        <v>2.9066340185182849E-3</v>
      </c>
      <c r="J27" s="411">
        <f t="shared" si="0"/>
        <v>0</v>
      </c>
      <c r="K27" s="411">
        <f t="shared" si="0"/>
        <v>0</v>
      </c>
      <c r="L27" s="411">
        <f t="shared" si="0"/>
        <v>0</v>
      </c>
      <c r="M27" s="412">
        <f t="shared" si="0"/>
        <v>0</v>
      </c>
      <c r="N27" s="76">
        <v>0.39</v>
      </c>
    </row>
    <row r="28" spans="2:14" ht="15.75" thickBot="1">
      <c r="B28" t="s">
        <v>1082</v>
      </c>
      <c r="C28" s="408">
        <v>2.3229687160638002E-2</v>
      </c>
      <c r="D28" s="409">
        <v>1</v>
      </c>
      <c r="E28" s="409">
        <v>0</v>
      </c>
      <c r="F28" s="409">
        <v>0</v>
      </c>
      <c r="G28" s="409">
        <v>0</v>
      </c>
      <c r="H28" s="409">
        <v>0</v>
      </c>
      <c r="I28" s="414">
        <f t="shared" si="1"/>
        <v>0.1053131637589545</v>
      </c>
      <c r="J28" s="415">
        <f t="shared" si="0"/>
        <v>0</v>
      </c>
      <c r="K28" s="415">
        <f t="shared" si="0"/>
        <v>0</v>
      </c>
      <c r="L28" s="415">
        <f t="shared" si="0"/>
        <v>0</v>
      </c>
      <c r="M28" s="416">
        <f t="shared" si="0"/>
        <v>0</v>
      </c>
      <c r="N28" s="76">
        <v>0.39</v>
      </c>
    </row>
    <row r="29" spans="2:14">
      <c r="C29" s="24" t="s">
        <v>1116</v>
      </c>
    </row>
  </sheetData>
  <mergeCells count="1">
    <mergeCell ref="I2:M2"/>
  </mergeCells>
  <conditionalFormatting sqref="I4:M28">
    <cfRule type="colorScale" priority="1">
      <colorScale>
        <cfvo type="min"/>
        <cfvo type="max"/>
        <color rgb="FFFCFCFF"/>
        <color rgb="FFF8696B"/>
      </colorScale>
    </cfRule>
    <cfRule type="colorScale" priority="2">
      <colorScale>
        <cfvo type="min"/>
        <cfvo type="percentile" val="50"/>
        <cfvo type="max"/>
        <color rgb="FFF8696B"/>
        <color rgb="FFFFEB84"/>
        <color rgb="FF63BE7B"/>
      </colorScale>
    </cfRule>
  </conditionalFormatting>
  <pageMargins left="0.7" right="0.7" top="0.75" bottom="0.75" header="0.3" footer="0.3"/>
  <legacyDrawing r:id="rId1"/>
</worksheet>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20</vt:i4>
      </vt:variant>
    </vt:vector>
  </HeadingPairs>
  <TitlesOfParts>
    <vt:vector size="53" baseType="lpstr">
      <vt:lpstr>About</vt:lpstr>
      <vt:lpstr>cpi</vt:lpstr>
      <vt:lpstr>Boilers &amp; Heat Pumps</vt:lpstr>
      <vt:lpstr>Cooling</vt:lpstr>
      <vt:lpstr>NB Medium Temp</vt:lpstr>
      <vt:lpstr>NB High Temp</vt:lpstr>
      <vt:lpstr>Machine Drive</vt:lpstr>
      <vt:lpstr>Electrochemical</vt:lpstr>
      <vt:lpstr>Lighting</vt:lpstr>
      <vt:lpstr>Other</vt:lpstr>
      <vt:lpstr>Other (mobile)</vt:lpstr>
      <vt:lpstr>Summary</vt:lpstr>
      <vt:lpstr>IECCpUAEU</vt:lpstr>
      <vt:lpstr>IECCpUAEU-mobile</vt:lpstr>
      <vt:lpstr>1.1 Traditional heat pump</vt:lpstr>
      <vt:lpstr>1.2 heat_cool hp 80 C 75 K </vt:lpstr>
      <vt:lpstr>2.a High temp. hp Up to 125C</vt:lpstr>
      <vt:lpstr>2.b High temp. hp Up to 150</vt:lpstr>
      <vt:lpstr>4 MVR 5 K</vt:lpstr>
      <vt:lpstr>5.1a Electric boiler steam</vt:lpstr>
      <vt:lpstr>5.1b Electric boiler steam</vt:lpstr>
      <vt:lpstr>5.2a Electric boiler hot wate</vt:lpstr>
      <vt:lpstr>5.2b Electric boiler hot wate</vt:lpstr>
      <vt:lpstr>6.1 Boiler, gas and oil</vt:lpstr>
      <vt:lpstr>6.2 Boiler, biomass</vt:lpstr>
      <vt:lpstr>6.3 Boiler, coal</vt:lpstr>
      <vt:lpstr>7.1 Direct firing Natural Gas</vt:lpstr>
      <vt:lpstr>Agora</vt:lpstr>
      <vt:lpstr>Turton</vt:lpstr>
      <vt:lpstr>7.2 Direct firing Solid Fuels</vt:lpstr>
      <vt:lpstr>7.3 Direct electric firing</vt:lpstr>
      <vt:lpstr>indst-BPFUbIP</vt:lpstr>
      <vt:lpstr>indst heat consumption</vt:lpstr>
      <vt:lpstr>sheet10</vt:lpstr>
      <vt:lpstr>sheet11</vt:lpstr>
      <vt:lpstr>sheet12</vt:lpstr>
      <vt:lpstr>sheet13</vt:lpstr>
      <vt:lpstr>sheet14</vt:lpstr>
      <vt:lpstr>sheet15</vt:lpstr>
      <vt:lpstr>'5.1b Electric boiler steam'!sheet16</vt:lpstr>
      <vt:lpstr>sheet16</vt:lpstr>
      <vt:lpstr>'5.2b Electric boiler hot wate'!sheet17</vt:lpstr>
      <vt:lpstr>sheet2</vt:lpstr>
      <vt:lpstr>'1.2 heat_cool hp 80 C 75 K '!sheet3</vt:lpstr>
      <vt:lpstr>sheet3</vt:lpstr>
      <vt:lpstr>sheet30</vt:lpstr>
      <vt:lpstr>sheet31</vt:lpstr>
      <vt:lpstr>sheet4</vt:lpstr>
      <vt:lpstr>sheet5</vt:lpstr>
      <vt:lpstr>sheet6</vt:lpstr>
      <vt:lpstr>sheet7</vt:lpstr>
      <vt:lpstr>sheet8</vt:lpstr>
      <vt:lpstr>sheet9</vt:lpstr>
    </vt:vector>
  </TitlesOfParts>
  <Company>BloombergNEF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Energy Outlook 2025 - Data Viewer</dc:title>
  <dc:creator>Kimmel, Matthias</dc:creator>
  <cp:lastModifiedBy>Dan O'Brien</cp:lastModifiedBy>
  <dcterms:created xsi:type="dcterms:W3CDTF">2022-11-18T12:06:12Z</dcterms:created>
  <dcterms:modified xsi:type="dcterms:W3CDTF">2026-10-20T19:24:23Z</dcterms:modified>
  <cp:category>Energy</cp:category>
</cp:coreProperties>
</file>