
<file path=[Content_Types].xml><?xml version="1.0" encoding="utf-8"?>
<Types xmlns="http://schemas.openxmlformats.org/package/2006/content-type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ersons/person.xml" ContentType="application/vnd.ms-excel.person+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202300"/>
  <mc:AlternateContent xmlns:mc="http://schemas.openxmlformats.org/markup-compatibility/2006">
    <mc:Choice Requires="x15">
      <x15ac:absPath xmlns:x15ac="http://schemas.microsoft.com/office/spreadsheetml/2010/11/ac" url="C:\Modeling\EPS\US\eps-us\InputData\indst\IECCpUAEU\"/>
    </mc:Choice>
  </mc:AlternateContent>
  <xr:revisionPtr revIDLastSave="0" documentId="13_ncr:1_{81A542C6-27E1-4418-B8E4-1EA209F7A70D}" xr6:coauthVersionLast="47" xr6:coauthVersionMax="47" xr10:uidLastSave="{00000000-0000-0000-0000-000000000000}"/>
  <bookViews>
    <workbookView xWindow="61260" yWindow="1725" windowWidth="24900" windowHeight="14490" firstSheet="3" activeTab="9" xr2:uid="{6A73F6BA-E2AF-4EFC-B7D0-AD586970A910}"/>
  </bookViews>
  <sheets>
    <sheet name="About" sheetId="1" r:id="rId1"/>
    <sheet name="Boilers" sheetId="3" r:id="rId2"/>
    <sheet name="Cooling" sheetId="4" r:id="rId3"/>
    <sheet name="NB Medium Temp" sheetId="9" r:id="rId4"/>
    <sheet name="NB High Temp" sheetId="7" r:id="rId5"/>
    <sheet name="Machine Drive" sheetId="5" r:id="rId6"/>
    <sheet name="Electrochemical" sheetId="6" r:id="rId7"/>
    <sheet name="Other" sheetId="10" r:id="rId8"/>
    <sheet name="Aggregation" sheetId="11" r:id="rId9"/>
    <sheet name="IECCpUAEU" sheetId="2" r:id="rId1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9" i="11" l="1"/>
  <c r="M9" i="11" s="1"/>
  <c r="M9" i="2" s="1"/>
  <c r="L8" i="11"/>
  <c r="M8" i="11" s="1"/>
  <c r="M8" i="2" s="1"/>
  <c r="M7" i="11"/>
  <c r="M7" i="2" s="1"/>
  <c r="L7" i="11"/>
  <c r="L7" i="2" s="1"/>
  <c r="L6" i="11"/>
  <c r="M6" i="11" s="1"/>
  <c r="M6" i="2" s="1"/>
  <c r="L5" i="11"/>
  <c r="M5" i="11" s="1"/>
  <c r="M5" i="2" s="1"/>
  <c r="L4" i="11"/>
  <c r="M4" i="11" s="1"/>
  <c r="M4" i="2" s="1"/>
  <c r="L3" i="11"/>
  <c r="M3" i="11" s="1"/>
  <c r="M3" i="2" s="1"/>
  <c r="M2" i="11"/>
  <c r="M2" i="2" s="1"/>
  <c r="L2" i="11"/>
  <c r="L8" i="2"/>
  <c r="L4" i="2"/>
  <c r="M1" i="2"/>
  <c r="L1" i="2"/>
  <c r="K9" i="2"/>
  <c r="J9" i="2"/>
  <c r="I9" i="2"/>
  <c r="H9" i="2"/>
  <c r="G9" i="2"/>
  <c r="F9" i="2"/>
  <c r="E9" i="2"/>
  <c r="D9" i="2"/>
  <c r="C9" i="2"/>
  <c r="B9" i="2"/>
  <c r="A9" i="2"/>
  <c r="K8" i="2"/>
  <c r="J8" i="2"/>
  <c r="I8" i="2"/>
  <c r="H8" i="2"/>
  <c r="G8" i="2"/>
  <c r="F8" i="2"/>
  <c r="E8" i="2"/>
  <c r="D8" i="2"/>
  <c r="C8" i="2"/>
  <c r="B8" i="2"/>
  <c r="A8" i="2"/>
  <c r="K7" i="2"/>
  <c r="J7" i="2"/>
  <c r="I7" i="2"/>
  <c r="H7" i="2"/>
  <c r="G7" i="2"/>
  <c r="F7" i="2"/>
  <c r="E7" i="2"/>
  <c r="D7" i="2"/>
  <c r="C7" i="2"/>
  <c r="B7" i="2"/>
  <c r="A7" i="2"/>
  <c r="K6" i="2"/>
  <c r="J6" i="2"/>
  <c r="I6" i="2"/>
  <c r="H6" i="2"/>
  <c r="G6" i="2"/>
  <c r="F6" i="2"/>
  <c r="E6" i="2"/>
  <c r="D6" i="2"/>
  <c r="C6" i="2"/>
  <c r="B6" i="2"/>
  <c r="A6" i="2"/>
  <c r="K5" i="2"/>
  <c r="J5" i="2"/>
  <c r="I5" i="2"/>
  <c r="H5" i="2"/>
  <c r="G5" i="2"/>
  <c r="F5" i="2"/>
  <c r="E5" i="2"/>
  <c r="D5" i="2"/>
  <c r="C5" i="2"/>
  <c r="B5" i="2"/>
  <c r="A5" i="2"/>
  <c r="K4" i="2"/>
  <c r="J4" i="2"/>
  <c r="I4" i="2"/>
  <c r="H4" i="2"/>
  <c r="G4" i="2"/>
  <c r="F4" i="2"/>
  <c r="E4" i="2"/>
  <c r="D4" i="2"/>
  <c r="C4" i="2"/>
  <c r="B4" i="2"/>
  <c r="A4" i="2"/>
  <c r="K3" i="2"/>
  <c r="J3" i="2"/>
  <c r="I3" i="2"/>
  <c r="H3" i="2"/>
  <c r="G3" i="2"/>
  <c r="F3" i="2"/>
  <c r="E3" i="2"/>
  <c r="D3" i="2"/>
  <c r="C3" i="2"/>
  <c r="B3" i="2"/>
  <c r="A3" i="2"/>
  <c r="K2" i="2"/>
  <c r="J2" i="2"/>
  <c r="I2" i="2"/>
  <c r="H2" i="2"/>
  <c r="G2" i="2"/>
  <c r="F2" i="2"/>
  <c r="E2" i="2"/>
  <c r="D2" i="2"/>
  <c r="C2" i="2"/>
  <c r="B2" i="2"/>
  <c r="A2" i="2"/>
  <c r="K1" i="2"/>
  <c r="J1" i="2"/>
  <c r="I1" i="2"/>
  <c r="H1" i="2"/>
  <c r="G1" i="2"/>
  <c r="F1" i="2"/>
  <c r="E1" i="2"/>
  <c r="D1" i="2"/>
  <c r="C1" i="2"/>
  <c r="B1" i="2"/>
  <c r="A1" i="2"/>
  <c r="B2" i="11"/>
  <c r="C2" i="11"/>
  <c r="E2" i="11" s="1"/>
  <c r="E3" i="11" s="1"/>
  <c r="D2" i="11"/>
  <c r="D3" i="11" s="1"/>
  <c r="F2" i="11"/>
  <c r="I2" i="11" s="1"/>
  <c r="I3" i="11" s="1"/>
  <c r="H2" i="11"/>
  <c r="H3" i="11" s="1"/>
  <c r="J2" i="11"/>
  <c r="K2" i="11"/>
  <c r="K6" i="11" s="1"/>
  <c r="B3" i="11"/>
  <c r="C3" i="11"/>
  <c r="F3" i="11"/>
  <c r="G3" i="11"/>
  <c r="J3" i="11"/>
  <c r="K3" i="11"/>
  <c r="B4" i="11"/>
  <c r="D4" i="11"/>
  <c r="K4" i="11" s="1"/>
  <c r="B5" i="11"/>
  <c r="C5" i="11"/>
  <c r="E5" i="11" s="1"/>
  <c r="D5" i="11"/>
  <c r="K5" i="11"/>
  <c r="B6" i="11"/>
  <c r="D6" i="11"/>
  <c r="I6" i="11" s="1"/>
  <c r="E6" i="11"/>
  <c r="F6" i="11"/>
  <c r="H6" i="11"/>
  <c r="B7" i="11"/>
  <c r="F7" i="11"/>
  <c r="H7" i="11" s="1"/>
  <c r="B8" i="11"/>
  <c r="B9" i="11"/>
  <c r="D9" i="11"/>
  <c r="F9" i="11" s="1"/>
  <c r="F17" i="7"/>
  <c r="F18" i="7" s="1"/>
  <c r="F19" i="7" s="1"/>
  <c r="B41" i="9"/>
  <c r="B40" i="9"/>
  <c r="B33" i="9"/>
  <c r="C53" i="9"/>
  <c r="C54" i="9"/>
  <c r="C41" i="9"/>
  <c r="C40" i="9"/>
  <c r="F36" i="7"/>
  <c r="F38" i="7" s="1"/>
  <c r="F40" i="7" s="1"/>
  <c r="F22" i="7"/>
  <c r="B30" i="3"/>
  <c r="B34" i="3" s="1"/>
  <c r="B36" i="3" s="1"/>
  <c r="B26" i="3"/>
  <c r="B23" i="10"/>
  <c r="B18" i="10"/>
  <c r="B24" i="10" s="1"/>
  <c r="D29" i="5"/>
  <c r="L5" i="2" l="1"/>
  <c r="L9" i="2"/>
  <c r="L3" i="2"/>
  <c r="L2" i="2"/>
  <c r="L6" i="2"/>
  <c r="H9" i="11"/>
  <c r="J9" i="11"/>
  <c r="I9" i="11"/>
  <c r="C7" i="11"/>
  <c r="F4" i="11"/>
  <c r="K7" i="11"/>
  <c r="C6" i="11"/>
  <c r="C9" i="11"/>
  <c r="E9" i="11" s="1"/>
  <c r="K9" i="11"/>
  <c r="F5" i="11"/>
  <c r="C4" i="11"/>
  <c r="E4" i="11" s="1"/>
  <c r="E7" i="11"/>
  <c r="D7" i="11"/>
  <c r="J7" i="11"/>
  <c r="I7" i="11"/>
  <c r="J6" i="11"/>
  <c r="D41" i="9"/>
  <c r="D40" i="9"/>
  <c r="A39" i="3"/>
  <c r="D31" i="5"/>
  <c r="D32" i="5" s="1"/>
  <c r="I4" i="11" l="1"/>
  <c r="J4" i="11"/>
  <c r="H4" i="11"/>
  <c r="J5" i="11"/>
  <c r="H5" i="11"/>
  <c r="I5" i="11"/>
  <c r="F7" i="7"/>
  <c r="F8" i="7" s="1"/>
  <c r="B38" i="4"/>
  <c r="E7" i="10"/>
  <c r="E8" i="10" s="1"/>
  <c r="E9" i="10" s="1"/>
  <c r="E5" i="10"/>
  <c r="E3" i="10"/>
  <c r="F23" i="7" l="1"/>
  <c r="F41" i="7" s="1"/>
  <c r="F43" i="7" s="1"/>
  <c r="F45" i="7" s="1"/>
  <c r="F64" i="7"/>
  <c r="F65" i="7" s="1"/>
  <c r="F60" i="7"/>
  <c r="F66" i="7" s="1"/>
  <c r="F3" i="7"/>
  <c r="F9" i="7" s="1"/>
  <c r="E12" i="7"/>
  <c r="G25" i="6"/>
  <c r="G26" i="6" s="1"/>
  <c r="D7" i="6"/>
  <c r="D12" i="6"/>
  <c r="G28" i="6" s="1"/>
  <c r="G19" i="6"/>
  <c r="G20" i="6" s="1"/>
  <c r="D11" i="6"/>
  <c r="G24" i="6" s="1"/>
  <c r="D6" i="6"/>
  <c r="G18" i="6" s="1"/>
  <c r="P22" i="5"/>
  <c r="P21" i="5"/>
  <c r="J19" i="5"/>
  <c r="L19" i="5" s="1"/>
  <c r="J18" i="5"/>
  <c r="L18" i="5" s="1"/>
  <c r="J17" i="5"/>
  <c r="R17" i="5" s="1"/>
  <c r="J16" i="5"/>
  <c r="L16" i="5" s="1"/>
  <c r="J14" i="5"/>
  <c r="R14" i="5" s="1"/>
  <c r="U14" i="5" s="1"/>
  <c r="J13" i="5"/>
  <c r="L13" i="5" s="1"/>
  <c r="J12" i="5"/>
  <c r="R12" i="5" s="1"/>
  <c r="J11" i="5"/>
  <c r="R11" i="5" s="1"/>
  <c r="J10" i="5"/>
  <c r="R10" i="5" s="1"/>
  <c r="J9" i="5"/>
  <c r="R9" i="5" s="1"/>
  <c r="J15" i="5"/>
  <c r="L15" i="5" s="1"/>
  <c r="N19" i="5"/>
  <c r="N18" i="5"/>
  <c r="N17" i="5"/>
  <c r="N16" i="5"/>
  <c r="N15" i="5"/>
  <c r="N14" i="5"/>
  <c r="N13" i="5"/>
  <c r="N12" i="5"/>
  <c r="N11" i="5"/>
  <c r="N10" i="5"/>
  <c r="N9" i="5"/>
  <c r="B44" i="4"/>
  <c r="B42" i="4"/>
  <c r="B34" i="4"/>
  <c r="B15" i="4"/>
  <c r="B21" i="4" s="1"/>
  <c r="B14" i="4"/>
  <c r="B20" i="4" s="1"/>
  <c r="D44" i="3"/>
  <c r="D45" i="3"/>
  <c r="D43" i="3"/>
  <c r="B48" i="3"/>
  <c r="B50" i="3" s="1"/>
  <c r="F44" i="3" s="1"/>
  <c r="G44" i="3" s="1"/>
  <c r="F26" i="7" l="1"/>
  <c r="F27" i="7" s="1"/>
  <c r="F28" i="7" s="1"/>
  <c r="F29" i="7" s="1"/>
  <c r="F30" i="7" s="1"/>
  <c r="L11" i="5"/>
  <c r="L17" i="5"/>
  <c r="F67" i="7"/>
  <c r="F54" i="7"/>
  <c r="F55" i="7" s="1"/>
  <c r="F56" i="7" s="1"/>
  <c r="F10" i="7"/>
  <c r="G22" i="6"/>
  <c r="G35" i="6" s="1"/>
  <c r="G21" i="6"/>
  <c r="G27" i="6"/>
  <c r="L14" i="5"/>
  <c r="L12" i="5"/>
  <c r="R13" i="5"/>
  <c r="U13" i="5" s="1"/>
  <c r="R16" i="5"/>
  <c r="U16" i="5" s="1"/>
  <c r="R18" i="5"/>
  <c r="U18" i="5" s="1"/>
  <c r="R15" i="5"/>
  <c r="U15" i="5" s="1"/>
  <c r="N22" i="5"/>
  <c r="L9" i="5"/>
  <c r="L10" i="5"/>
  <c r="R19" i="5"/>
  <c r="N21" i="5"/>
  <c r="U10" i="5"/>
  <c r="U17" i="5"/>
  <c r="U12" i="5"/>
  <c r="U11" i="5"/>
  <c r="U9" i="5"/>
  <c r="B46" i="4"/>
  <c r="B47" i="4" s="1"/>
  <c r="B49" i="4" s="1"/>
  <c r="B26" i="4"/>
  <c r="B27" i="4" s="1"/>
  <c r="F43" i="3"/>
  <c r="G43" i="3" s="1"/>
  <c r="F45" i="3"/>
  <c r="G45" i="3" s="1"/>
  <c r="C9" i="3"/>
  <c r="B9" i="3"/>
  <c r="D8" i="3"/>
  <c r="D7" i="3"/>
  <c r="D6" i="3"/>
  <c r="R22" i="5" l="1"/>
  <c r="R21" i="5"/>
  <c r="G32" i="6"/>
  <c r="G33" i="6" s="1"/>
  <c r="U19" i="5"/>
  <c r="U21" i="5" s="1"/>
  <c r="A60" i="3"/>
  <c r="D9" i="3"/>
  <c r="A18" i="3" s="1"/>
  <c r="U22" i="5"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tc={D998E602-6977-404A-8516-5F3163F500FA}</author>
  </authors>
  <commentList>
    <comment ref="B18" authorId="0" shapeId="0" xr:uid="{D998E602-6977-404A-8516-5F3163F500FA}">
      <text>
        <t>[Threaded comment]
Your version of Excel allows you to read this threaded comment; however, any edits to it will get removed if the file is opened in a newer version of Excel. Learn more: https://go.microsoft.com/fwlink/?linkid=870924
Comment:
    Left as original database, but I think it should be (small) not large, otherwise no difference in this and the next</t>
      </text>
    </comment>
  </commentList>
</comments>
</file>

<file path=xl/sharedStrings.xml><?xml version="1.0" encoding="utf-8"?>
<sst xmlns="http://schemas.openxmlformats.org/spreadsheetml/2006/main" count="518" uniqueCount="393">
  <si>
    <t>IECCpUAEU Industrial Equipment Capital Cost per Unit Annual Energy Use</t>
  </si>
  <si>
    <t>Sources:</t>
  </si>
  <si>
    <t>electricity if</t>
  </si>
  <si>
    <t>hard coal if</t>
  </si>
  <si>
    <t>natural gas if</t>
  </si>
  <si>
    <t>biomass if</t>
  </si>
  <si>
    <t>petroleum diesel if</t>
  </si>
  <si>
    <t>heat if</t>
  </si>
  <si>
    <t>crude oil if</t>
  </si>
  <si>
    <t>heavy or residual fuel oil if</t>
  </si>
  <si>
    <t>LPG propane or butane if</t>
  </si>
  <si>
    <t>hydrogen if</t>
  </si>
  <si>
    <t>boilers</t>
  </si>
  <si>
    <t>nonboiler low temp</t>
  </si>
  <si>
    <t>nonboiler med temp</t>
  </si>
  <si>
    <t>nonboiler high temp</t>
  </si>
  <si>
    <t>cooling</t>
  </si>
  <si>
    <t>machine drive</t>
  </si>
  <si>
    <t>electrochemical</t>
  </si>
  <si>
    <t>other processes</t>
  </si>
  <si>
    <t>Annual heat delivered (MMbtu)</t>
  </si>
  <si>
    <t>Capital Cost (USD)</t>
  </si>
  <si>
    <t>$/annual BTU</t>
  </si>
  <si>
    <t>Case Study 1</t>
  </si>
  <si>
    <t>Case Study 2</t>
  </si>
  <si>
    <t>Case Study 3</t>
  </si>
  <si>
    <t>Simple average</t>
  </si>
  <si>
    <t>Therefore, we need to take into account the efficiency of heat use.</t>
  </si>
  <si>
    <t>Industrial heat pumps</t>
  </si>
  <si>
    <t>Emerson</t>
  </si>
  <si>
    <t>Industrial Heat Pumps</t>
  </si>
  <si>
    <t>https://climate.emerson.com/documents/vilter-heat-pump-white-paper-en-us-5411194.pdf</t>
  </si>
  <si>
    <t>Industrial heat pumps cost per unit heat delivered</t>
  </si>
  <si>
    <t>Industrial heat pump efficiency</t>
  </si>
  <si>
    <t>Efficiency of industrial heat pump</t>
  </si>
  <si>
    <t>COP</t>
  </si>
  <si>
    <t>Arpagaus et al.</t>
  </si>
  <si>
    <t>High temperature heat pumps: Market overview, state of the art, research status, refrigerants, and application potentials</t>
  </si>
  <si>
    <t>https://www.sciencedirect.com/science/article/pii/S0360544218305759</t>
  </si>
  <si>
    <t>Figure 8</t>
  </si>
  <si>
    <t>Cost per unit of electricity consumed annually:</t>
  </si>
  <si>
    <t>This is the cost per unit heat delivered via heat pump.  We want the cost per unit energy consumed.</t>
  </si>
  <si>
    <t>Based on Arpagaus et al. curve, assuming a temperature lift of around 55 C (e.g., industries using waste heat as the heat source, boosting 45 C to 100 C or similar)</t>
  </si>
  <si>
    <t>Natural gas boilers</t>
  </si>
  <si>
    <t>BTU</t>
  </si>
  <si>
    <t>Capital cost per BTU</t>
  </si>
  <si>
    <t>$/(BTU/yr)</t>
  </si>
  <si>
    <t>Unit:  $/(BTU/yr) - dollars of capital cost for equipment per BTU consumed annually by that equipment</t>
  </si>
  <si>
    <t>Natural gas boiler costs</t>
  </si>
  <si>
    <t>Industrial fossil fuel boilers</t>
  </si>
  <si>
    <t>coal (steam boiler)</t>
  </si>
  <si>
    <t>petroleum products (steam boiler)</t>
  </si>
  <si>
    <t>natural gas (steam boiler)</t>
  </si>
  <si>
    <t>Overnight capital cost (USD/kW)</t>
  </si>
  <si>
    <t>Reference capacity (kW)</t>
  </si>
  <si>
    <t>Conversion factor</t>
  </si>
  <si>
    <t>Annual operating hours:</t>
  </si>
  <si>
    <t>kWh</t>
  </si>
  <si>
    <t>Unit</t>
  </si>
  <si>
    <t>BTU/kWh</t>
  </si>
  <si>
    <t>Value</t>
  </si>
  <si>
    <t>Boiler cost ($)</t>
  </si>
  <si>
    <t>Three fuel type industrial boiler costs</t>
  </si>
  <si>
    <t>IRENA</t>
  </si>
  <si>
    <t>https://www.irena.org/-/media/Irena/Files/REmap/IRENA_REmap_2030_technology_cost.xlsx</t>
  </si>
  <si>
    <t>Remap Technology and Performance Assumptions (for year 2030)</t>
  </si>
  <si>
    <t>We use NREL's natural gas boiler cost rather than IRENA's cost because it is based on precise figures, while IRENA used round numbers</t>
  </si>
  <si>
    <t>for their assumptions.</t>
  </si>
  <si>
    <t>Annual heat output</t>
  </si>
  <si>
    <t>Conversion efficiency</t>
  </si>
  <si>
    <t>Annual Energy Input (BTU)</t>
  </si>
  <si>
    <t>Hydrogen boiler capital cost price ratio</t>
  </si>
  <si>
    <t>E3</t>
  </si>
  <si>
    <t>"Achieving Carbon Neutrality in California (Revised Report): 2045 Abatement Cost Estimates"</t>
  </si>
  <si>
    <t>https://ww2.arb.ca.gov/sites/default/files/2020-09/e3_cn_draft_report_supp_data_aug2020.xlsx</t>
  </si>
  <si>
    <t>Hydrogen boiler</t>
  </si>
  <si>
    <t>The ARB document suggests that a hydrogen boiler under a "conservative" scenario would cost</t>
  </si>
  <si>
    <t>50% more than a natural gas boiler.</t>
  </si>
  <si>
    <t>Cost per annual energy ($/(BTU/yr))</t>
  </si>
  <si>
    <t>For electricity in the "boilers" end use, we use industrial heat pumps rather than electric boilers because industrial heat pumps</t>
  </si>
  <si>
    <t>are more efficient and are therefore recommended over electrical boilers wherever practical.</t>
  </si>
  <si>
    <t>Green cells are known explicitly.  Orange cells are assumptions based on similar fuel types.</t>
  </si>
  <si>
    <t>Natural Gas-Fired Chillers</t>
  </si>
  <si>
    <t>Capital cost</t>
  </si>
  <si>
    <t>Operating hours</t>
  </si>
  <si>
    <t>Natural gas charges</t>
  </si>
  <si>
    <t>Electricity charges (for pumps)</t>
  </si>
  <si>
    <t>$</t>
  </si>
  <si>
    <t>hours/yr</t>
  </si>
  <si>
    <t>Natural gas rate</t>
  </si>
  <si>
    <t>$/therm</t>
  </si>
  <si>
    <t>Electricity rate</t>
  </si>
  <si>
    <t>$/kWh</t>
  </si>
  <si>
    <t>NG use</t>
  </si>
  <si>
    <t>therms</t>
  </si>
  <si>
    <t>Electricity use</t>
  </si>
  <si>
    <t>BTU/therm</t>
  </si>
  <si>
    <t>The vast majority of the energy use is natural gas.  But we don't want to disregard the</t>
  </si>
  <si>
    <t>cost of the electricity used to power the pumps.  So we sum it with natural gas.</t>
  </si>
  <si>
    <t>Energy use (over 99% natural gas)</t>
  </si>
  <si>
    <t>Cost per BTU consumed</t>
  </si>
  <si>
    <t>Natural gas-fired chillers</t>
  </si>
  <si>
    <t>EnergistX</t>
  </si>
  <si>
    <t>undated</t>
  </si>
  <si>
    <t>https://enrgistx.com/natural-gas-fired-chillers/</t>
  </si>
  <si>
    <t>500 Ton Natural Gas-Fired Absorption Chiller replacement of Aged Centrifugal Electric Chiller</t>
  </si>
  <si>
    <t>Based on a 500-ton natural gas-fired absorption chiller</t>
  </si>
  <si>
    <t>Electric Chiller</t>
  </si>
  <si>
    <t>Centrifugal chillers &gt;400 tons</t>
  </si>
  <si>
    <t>$/ton</t>
  </si>
  <si>
    <t>Low-end capital cost</t>
  </si>
  <si>
    <t>High-end capital cost</t>
  </si>
  <si>
    <t>Average capital cost</t>
  </si>
  <si>
    <t>Capacity of reference chiller</t>
  </si>
  <si>
    <t>tons</t>
  </si>
  <si>
    <t>Capital cost of electric chiller</t>
  </si>
  <si>
    <t>Energy intensity of centrifugal chiller 300 - 600 tons capacity</t>
  </si>
  <si>
    <t>kW/ton</t>
  </si>
  <si>
    <t>kW</t>
  </si>
  <si>
    <t>Assumed to be the same as the NG-fired chiller above</t>
  </si>
  <si>
    <t>Power of centrifugal chiller 300 - 600 tons capacity</t>
  </si>
  <si>
    <t>Electric chillers</t>
  </si>
  <si>
    <t>Water-Cooled Chillers</t>
  </si>
  <si>
    <t>https://www.fpl.com/content/dam/fplgp/us/en/business/save/programs/pdf/water-cooled-chillers-primer.pdf</t>
  </si>
  <si>
    <t>Florida Power &amp; Light</t>
  </si>
  <si>
    <t>Electric motor: induction, squirrel cage, 3 phase, AC, TEFC, 1800 rpm excluding starter, gearing</t>
  </si>
  <si>
    <t>Electric motor: induction, wound rotor, 3 phase, AC, open drip proof, 1800 rpm, excluding starter</t>
  </si>
  <si>
    <t>Electric motor: synchronous, AC open drip proof, 1800 rpm excluding gears</t>
  </si>
  <si>
    <t>Electric motor: synchronous, open drip proof, AC, 1200 rpm excluding gears</t>
  </si>
  <si>
    <t>Electric motor: gear reduced TEFC, 1800 rpm plus gear reducer to give fixed output rpm</t>
  </si>
  <si>
    <t>Electric motor: variable speed TEFC, 1800 rpm plus V-belt unit for speed control 2/1 to 5/1 at 3480, 520 and 30 rpm</t>
  </si>
  <si>
    <t>kW (at 1800 rpm)</t>
  </si>
  <si>
    <t>Drive: gear unit, general, single, double, triple reduction on concentric, offset or vertical right angle drives, excluding lubrication system and motor</t>
  </si>
  <si>
    <t>kW (w/ reduction ratio)</t>
  </si>
  <si>
    <t>Drive: gear unit, general, single, double, triple reduction on concentric, offset or vertical right angle drives, excluding lubrication system and motor (large)</t>
  </si>
  <si>
    <t>Drive: gear unit, medium duty, single reduction 20/1 to 50/1 excluding lubrication system and motor (large)</t>
  </si>
  <si>
    <t>Equipment Name</t>
  </si>
  <si>
    <t>Scaling Unit</t>
  </si>
  <si>
    <t>Min Scale</t>
  </si>
  <si>
    <t>Max Scale</t>
  </si>
  <si>
    <t>Min Cost</t>
  </si>
  <si>
    <t>Max Cost</t>
  </si>
  <si>
    <t>Scaling Factor</t>
  </si>
  <si>
    <t>CEPCI</t>
  </si>
  <si>
    <t>Equipment cost = minimum equipment cost * (desired equipment scale value / minimum equipment scale value)scaling factor * (current CEPCI / listed CEPCI); 2024 CPI is ~800</t>
  </si>
  <si>
    <t>Equipment CapEx cost derived from the AssessCCUS's Capital Equipment Cost Database's equation, based on data from Woods 2007 (see sources in About):</t>
  </si>
  <si>
    <t>$/BTU</t>
  </si>
  <si>
    <t>Simple Average for electric motors/drive units:</t>
  </si>
  <si>
    <t>Global CO2 Initiative at Uniiversity of Michigan</t>
  </si>
  <si>
    <t>Assess CCUS Capital Equipment Cost Database</t>
  </si>
  <si>
    <t>with additional data derived from their primary source:</t>
  </si>
  <si>
    <t>Donald R. Woods</t>
  </si>
  <si>
    <t>Appendix D of Rules of Thumb in Engineering</t>
  </si>
  <si>
    <t>Information on a diesel engine and various electric motors and drives (Rows 144-155)</t>
  </si>
  <si>
    <t>kW (scale average)</t>
  </si>
  <si>
    <t>equiv. HP</t>
  </si>
  <si>
    <t>Weighted Average for electric motors/drive units:</t>
  </si>
  <si>
    <t>HP bins represented are 1-5, 6-20, 21-50,101-200,1000+. Not represented are 51-100 (2.9% of motor stock), 201-500 (0.7%), 501-1000 (0.2%). Weighted averages thus take % of motor inventory in a given HP bin and divide by 96.2%; weighted averages also average the values within a bin.</t>
  </si>
  <si>
    <t>Operating hours, and percentage of motors in a given horsepower bin for calculating weighted averages,</t>
  </si>
  <si>
    <t>The recent assessment did not have data disaggregated in the appropriate way to provide more recent values.</t>
  </si>
  <si>
    <t>were obtained from the U.S. Industrial Electric Motor Systems Market Opportunities Assessment (2002).</t>
  </si>
  <si>
    <t>U.S. Industrial Electric Motor Systems Market Opportunities Assessment (2002)</t>
  </si>
  <si>
    <t>Annual Operating Hrs</t>
  </si>
  <si>
    <t>The example gas diesel engine is assumed to be in operation the simple average annual operating hours (5267) of other motors/machine drives.</t>
  </si>
  <si>
    <t>To derive Annual BTU, motor operating hours are based on the equivalent horsepower (HP) bin from the U.S. Industrial Electric Motor Systems Market Opportunities Assessment (2002).  kWh are converted to mmBTU with a conversion factor of 0.003412, then multiplied by annual operating hours.</t>
  </si>
  <si>
    <t>Hydrogen Electrolyzers</t>
  </si>
  <si>
    <t>Based on DoE "Pathways to Commercial Liftoff: Clean Hydrogen" p.13 CAPEX costs</t>
  </si>
  <si>
    <t>Alkaline Water Electrolysis</t>
  </si>
  <si>
    <t>$/kW</t>
  </si>
  <si>
    <t>Proton Exchange Membrane Electrolyzer</t>
  </si>
  <si>
    <t>DOE report cites potential penetrance of PEM of 25% of the U.S. market by 2030</t>
  </si>
  <si>
    <t>U.S. Weighted CapEx/BTU/yr:</t>
  </si>
  <si>
    <t>DOE Electrolyzer Capacity Example Case (p.88):</t>
  </si>
  <si>
    <t>GW/yr</t>
  </si>
  <si>
    <t>Average size</t>
  </si>
  <si>
    <t>%</t>
  </si>
  <si>
    <t>Average total operating capacity (first 3 years)</t>
  </si>
  <si>
    <t xml:space="preserve">Yield in kWh/year: </t>
  </si>
  <si>
    <t>Yield in BTU/year</t>
  </si>
  <si>
    <t>DOE projected capex cost reduction by 2030:</t>
  </si>
  <si>
    <t>Capital expenditures  (U.S./Western markets)</t>
  </si>
  <si>
    <t>Capital expenditures (U.S./Western markets):</t>
  </si>
  <si>
    <t>Capital expenditures  (China):</t>
  </si>
  <si>
    <t>$/BTU/yr (US)</t>
  </si>
  <si>
    <t>Capex for AWE electrolyzer at 1.5 GW capacity (US):</t>
  </si>
  <si>
    <t>Capex for PEM electrolyzer at 1.5 GW capacity (US):</t>
  </si>
  <si>
    <t>$/BTU/yr (China)</t>
  </si>
  <si>
    <t>China Data with US Weighted CapEx/BTU/yr:</t>
  </si>
  <si>
    <t>Electrochemical</t>
  </si>
  <si>
    <t>Data from the DOE's Pathways to Commercial Liftoff: Clean Hydrogen , 2023, p.13, p.88</t>
  </si>
  <si>
    <t>Wang et al., 2023. "The multi-scenario projection of cost reduction in hydrogen production by proton exchange membrane (PEM) water electrolysis in the near future (2020–2060) of China." Fuel, Vol. 354</t>
  </si>
  <si>
    <t>China capex numbers provided by:</t>
  </si>
  <si>
    <t>China capex costs based on Wang et al. 2023</t>
  </si>
  <si>
    <t>Electric Arc Furnace (Electric nonboiler high temp example)</t>
  </si>
  <si>
    <t xml:space="preserve">CapEx costs: </t>
  </si>
  <si>
    <t>$/tonne</t>
  </si>
  <si>
    <t>Energy expenditure/output:</t>
  </si>
  <si>
    <t>kWh/tonne</t>
  </si>
  <si>
    <t>Annual production capacity:</t>
  </si>
  <si>
    <t>tonnes/year</t>
  </si>
  <si>
    <t>kWh/year</t>
  </si>
  <si>
    <t>Annual heat delivered/year (mmBTU):</t>
  </si>
  <si>
    <t>Annual energy expenditure/year (kWh):</t>
  </si>
  <si>
    <t>mmBTU/year</t>
  </si>
  <si>
    <t>CapEx costs per annual yield:</t>
  </si>
  <si>
    <t>$/year</t>
  </si>
  <si>
    <t>$/BTU/year</t>
  </si>
  <si>
    <t>Source</t>
  </si>
  <si>
    <t>Paeng &amp; Azimi</t>
  </si>
  <si>
    <t>Paeng &amp; Azimi 2024</t>
  </si>
  <si>
    <t>130-180 tonnes per hour essentially means</t>
  </si>
  <si>
    <t>Energy Transitions Commission</t>
  </si>
  <si>
    <t>tonnes/year.</t>
  </si>
  <si>
    <t>DIW Berlin 2024</t>
  </si>
  <si>
    <t>Natural Gas-fueled Glass Melting Furnace (NG nonboiler high temp example)</t>
  </si>
  <si>
    <t>Furnace capital cost</t>
  </si>
  <si>
    <t>₤</t>
  </si>
  <si>
    <t>Output rate</t>
  </si>
  <si>
    <t>tonnes glass/day</t>
  </si>
  <si>
    <t>Annual hours of operation (operates continuously):</t>
  </si>
  <si>
    <t>hrs/year</t>
  </si>
  <si>
    <t>Energy expenditure/output</t>
  </si>
  <si>
    <t>Nonboiler High Temp</t>
  </si>
  <si>
    <t>Capex costs per ton:</t>
  </si>
  <si>
    <t>Deutsches Institut für Wirtschaftsforschung</t>
  </si>
  <si>
    <t>"Revisiting Investment Costs for Green Steel: Capital Expenditures, Firm Level Impacts, and Policy Implications"</t>
  </si>
  <si>
    <t>https://www.diw.de/documents/publikationen/73/diw_01.c.901039.de/dp2082.pdf</t>
  </si>
  <si>
    <t>"Technoeconomic Analysis of the Electrorefining Process for Copper and Carbon Removal from Scrap Steel for Green Steelmaking"</t>
  </si>
  <si>
    <t>Industrial &amp; Chemical Engineering Research</t>
  </si>
  <si>
    <t>https://pubs.acs.org/doi/10.1021/acs.iecr.4c02665</t>
  </si>
  <si>
    <t xml:space="preserve">Annual production capacity: </t>
  </si>
  <si>
    <t>"Unlocking the first wave of breakthrough steel investments in France"</t>
  </si>
  <si>
    <t>https://www.energy-transitions.org/wp-content/uploads/2023/03/Unlocking-the-First-Wave-of-Breakthrough-Steel-Investments-in-France-March-2022.pdf</t>
  </si>
  <si>
    <t>Electric Example (EAF) References:</t>
  </si>
  <si>
    <t>Natural Gas Example (NG Glass Melting Furnace) References:</t>
  </si>
  <si>
    <t>Glass Technology Services Ltd.</t>
  </si>
  <si>
    <t>"A Study of the Balance Between Furnace Operating Parameters and Recycled Glass in Melting Furnaces."</t>
  </si>
  <si>
    <t>https:/www.glass-ts.com/site/assets/files/1015/2004_-_a_study_of_the_balance_between_furnace_operating_parameters_and_recycled_glass_in_glass_melting_furnaces.pdf</t>
  </si>
  <si>
    <t>CapEx costs:</t>
  </si>
  <si>
    <t>€/ton</t>
  </si>
  <si>
    <t>Rechberger et al. 2020</t>
  </si>
  <si>
    <t>Hydrogen-DR Plant (does not include EAF) (hydrogen high temp example)</t>
  </si>
  <si>
    <t>kWh/ton</t>
  </si>
  <si>
    <t>Vogl et al. 2018</t>
  </si>
  <si>
    <t>tons/year</t>
  </si>
  <si>
    <t>Kiln capital cost</t>
  </si>
  <si>
    <t>GJ/tonne</t>
  </si>
  <si>
    <t>Coal Example (Cement Kiln) References:</t>
  </si>
  <si>
    <t>Vattenfall &amp; Cementa (Heidelberg Cement Group)</t>
  </si>
  <si>
    <t>CemZero</t>
  </si>
  <si>
    <t>Annual hours of operation:</t>
  </si>
  <si>
    <t>hours/year</t>
  </si>
  <si>
    <t>CemZero study</t>
  </si>
  <si>
    <t>Average for rotary kiln, CemZero study</t>
  </si>
  <si>
    <t>China Ruibin Information Network article</t>
  </si>
  <si>
    <t>RMB</t>
  </si>
  <si>
    <t>tons/day</t>
  </si>
  <si>
    <t>Daily production capacity</t>
  </si>
  <si>
    <t>includes conversion factor for GJ to kWh (1:277.778)</t>
  </si>
  <si>
    <t>includes RMB to USD conversion (1:0.14)</t>
  </si>
  <si>
    <t>$/Btu/year</t>
  </si>
  <si>
    <t>Btu/year</t>
  </si>
  <si>
    <t>Annual fuel use</t>
  </si>
  <si>
    <t>Btu/hour</t>
  </si>
  <si>
    <t>Capacity</t>
  </si>
  <si>
    <t>Capital cost - mean</t>
  </si>
  <si>
    <t>Capital cost - high</t>
  </si>
  <si>
    <t>Capital cost - low</t>
  </si>
  <si>
    <t>Natural Gas-Fired Distillation Columns</t>
  </si>
  <si>
    <t>BTU/year</t>
  </si>
  <si>
    <t>China Ruibin Information Network</t>
  </si>
  <si>
    <t>"How much does it cost to build a rotary kiln with a daily output of 600 tons"</t>
  </si>
  <si>
    <t>http://www.jixiemuye.com/en/business-2/article-364.html</t>
  </si>
  <si>
    <t>DOE (EERE)</t>
  </si>
  <si>
    <t>Energy Savings Potential and RD&amp;D Opportunities for Commercial Building Appliances (2015 Update)</t>
  </si>
  <si>
    <t>https://www.energy.gov/sites/prod/files/2016/06/f32/DOE-BTO%20Comml%20Appl%20Report%20-%20Full%20Report_0.pdf</t>
  </si>
  <si>
    <t>Natural gas-fired distillation columns</t>
  </si>
  <si>
    <t>DOE (OSTI)</t>
  </si>
  <si>
    <t>Distributive Distillation Enabled by Microchannel Process Technology</t>
  </si>
  <si>
    <t>https://www.osti.gov/servlets/purl/1077001</t>
  </si>
  <si>
    <t>Electric example (Infrared Heater for Processed Foods)</t>
  </si>
  <si>
    <t>Energy expenditure:</t>
  </si>
  <si>
    <t>USD</t>
  </si>
  <si>
    <t>Based on 16-20 hour operation of food processing plants</t>
  </si>
  <si>
    <t>Shadow Industrial Infrared model</t>
  </si>
  <si>
    <t>Industrial infrared heater vendor</t>
  </si>
  <si>
    <t>Gray cells are not applicable, either because the energy is already in the form of heat or because the equipmen type cannot use that fuel type.</t>
  </si>
  <si>
    <t>Electric and gas-fired ovens</t>
  </si>
  <si>
    <t>Based on a methanol/water separation column.</t>
  </si>
  <si>
    <t>Gas Diesel Engine</t>
  </si>
  <si>
    <t>Capital expenditures</t>
  </si>
  <si>
    <t>Rockefeller Foundation: Electrifying Economies: Detailed Cost Models and Benchmarks</t>
  </si>
  <si>
    <t>Representative engine bhp</t>
  </si>
  <si>
    <t>bhp</t>
  </si>
  <si>
    <t>EPA General Conformity Training Modules: Appendix A Sample Emissions Calculations</t>
  </si>
  <si>
    <t>Representative engine kW</t>
  </si>
  <si>
    <t>Representative annual operating hours</t>
  </si>
  <si>
    <t>Mmbtu</t>
  </si>
  <si>
    <t>Electric Motors</t>
  </si>
  <si>
    <t>Remaining "Other Processes" cells use natural gas distillation column values modified by the ratios of capital costs for</t>
  </si>
  <si>
    <t>boilers using each fuel type to boilers using natural gas.</t>
  </si>
  <si>
    <t>Using a 400-horsepower boiler as our example:</t>
  </si>
  <si>
    <t>water tube boiler</t>
  </si>
  <si>
    <t>fire tube boiler</t>
  </si>
  <si>
    <t>average</t>
  </si>
  <si>
    <t>horsepower</t>
  </si>
  <si>
    <t>kW / horsepower</t>
  </si>
  <si>
    <t>annual energy consumption</t>
  </si>
  <si>
    <t>State of Michigan</t>
  </si>
  <si>
    <t>Miscellaneous Industrial Costs</t>
  </si>
  <si>
    <t>https://www.michigan.gov/-/media/Project/Websites/treasury/VOL/Vol236UIP12MiscellaneousIndustrialCosts.pdf?rev=b2a14a143c11493e8d0a30587afaa282</t>
  </si>
  <si>
    <t>Page 1</t>
  </si>
  <si>
    <t>Cement plant (whole plant) capital cost per unit capacity</t>
  </si>
  <si>
    <t>$/ton cement annual production capacity</t>
  </si>
  <si>
    <t>GJ/day</t>
  </si>
  <si>
    <t>GJ/year</t>
  </si>
  <si>
    <t>$/(GJ/yr)</t>
  </si>
  <si>
    <t>$/(kWh/yr)</t>
  </si>
  <si>
    <t>Since these are Chinese prices, we double-checked using prices from Europe.  They come out about the same:</t>
  </si>
  <si>
    <t>CapEx of cement kiln witout CCS</t>
  </si>
  <si>
    <t>2014 euros / ton clinker (annual capacity)</t>
  </si>
  <si>
    <t>Average share of clinker in cement (global average)</t>
  </si>
  <si>
    <t>2014 euros / ton cement (annual capacity)</t>
  </si>
  <si>
    <t>https://www.wri.org/insights/lower-carbon-blended-cement#:~:text=U.S.%20cement%20produces%20more%20emissions,is%20between%200.64%20and%200.76.</t>
  </si>
  <si>
    <t>2014 USD / 2014 euro</t>
  </si>
  <si>
    <t>2014 USD / ton cement (annual capacity)</t>
  </si>
  <si>
    <t>2024 USD / 2014 USD</t>
  </si>
  <si>
    <t>2024 USD / ton cement (annual capacity)</t>
  </si>
  <si>
    <t>2024 USD / (GJ/yr)</t>
  </si>
  <si>
    <t>kWh / GJ</t>
  </si>
  <si>
    <t>USD / (kWh/yr)</t>
  </si>
  <si>
    <t>https://www.researchgate.net/publication/330875028_Techno-economic_analysis_of_calcium_looping_processes_for_low_CO_2_emission_cement_plants</t>
  </si>
  <si>
    <t>BTU / kWh</t>
  </si>
  <si>
    <t>USD / (BTU/yr)</t>
  </si>
  <si>
    <t>Europe cement kiln reference:</t>
  </si>
  <si>
    <t>Edoardo De Lena et al.</t>
  </si>
  <si>
    <t>Techno-economic analysis of calcium looping processes for low CO2 emission cement plants</t>
  </si>
  <si>
    <t>Table 8, "Capex, Europ/ton clinker" row</t>
  </si>
  <si>
    <t>Coal-fueled cement kiln</t>
  </si>
  <si>
    <t>Machine Drive</t>
  </si>
  <si>
    <t>Oven Type</t>
  </si>
  <si>
    <t>Fuel Type</t>
  </si>
  <si>
    <t>deck</t>
  </si>
  <si>
    <t>electric</t>
  </si>
  <si>
    <t>gas</t>
  </si>
  <si>
    <t>convection</t>
  </si>
  <si>
    <t>conveyor</t>
  </si>
  <si>
    <t>Commercial Oven Installed Base by Equipment Type</t>
  </si>
  <si>
    <t>Installed Base</t>
  </si>
  <si>
    <t>convection (1/2)</t>
  </si>
  <si>
    <t>convection (full)</t>
  </si>
  <si>
    <t>combiantion</t>
  </si>
  <si>
    <t>rotary rack</t>
  </si>
  <si>
    <t>rorary</t>
  </si>
  <si>
    <t>cook &amp; hold</t>
  </si>
  <si>
    <t>dough proofer</t>
  </si>
  <si>
    <t>p. 42, table 2-8</t>
  </si>
  <si>
    <t>Commercial oven installed base by fuel type</t>
  </si>
  <si>
    <t>Fuel type</t>
  </si>
  <si>
    <t>installed base</t>
  </si>
  <si>
    <t>Percent</t>
  </si>
  <si>
    <t>Commercial oven capital cost breakdown by oven type</t>
  </si>
  <si>
    <t>Average Cost</t>
  </si>
  <si>
    <t>proofer</t>
  </si>
  <si>
    <t>p. 44, table 2-10</t>
  </si>
  <si>
    <t>p. 43, table 2-9</t>
  </si>
  <si>
    <t>Commercial oven use characteristics</t>
  </si>
  <si>
    <t>Operating Hrs/Yr</t>
  </si>
  <si>
    <t>Capacity (btu/hr)</t>
  </si>
  <si>
    <t>Capacity (kW)</t>
  </si>
  <si>
    <t>p. 45, table 2-11</t>
  </si>
  <si>
    <t>Calculated energy use by fuel type</t>
  </si>
  <si>
    <t>Energy Use (btu/yr)</t>
  </si>
  <si>
    <t>Weighted avg CapEx</t>
  </si>
  <si>
    <t>CapEx/(BTU/yr)</t>
  </si>
  <si>
    <t>For reference, not used in calculations above:</t>
  </si>
  <si>
    <t>Commercial Ovens (used as our model for medium-temperature, non-boiler industrial heating equipment)</t>
  </si>
  <si>
    <t>The operating hours per year reported in the table above are for commercial ovens.</t>
  </si>
  <si>
    <t>We would expect an industrial facility to operate more hours per year than a commercial bakery.</t>
  </si>
  <si>
    <t>For this reason, and for consistency across different industrial equipment categories in this spreadsheet,</t>
  </si>
  <si>
    <t>we use the number of operating hours per year from the "Boilers" tab to also represent the operating hours</t>
  </si>
  <si>
    <t>per year for medium-temperature industrial heating equipment.</t>
  </si>
  <si>
    <t>Operating hours per year:</t>
  </si>
  <si>
    <t>Adjustment to Operating Hours per Year</t>
  </si>
  <si>
    <t>It seems reasonable that machine drive (light green) is more expensive than other end uses, given that it's producing rotational kinetic energy rather than heat or cooling.</t>
  </si>
  <si>
    <t>fully commercialized, electrified, high-temperature heating equipment.  For instance, cement kilns burn coal and steam crackers use natural gas.  Other electrical furnaces</t>
  </si>
  <si>
    <t>The data on electric arc furnaces (our model for electric high-temp heat) has been double-checked and seem solid, and there are few other good examples of</t>
  </si>
  <si>
    <t>exist (like induction furnaces), but electric arc furnaces are likely the most common type and are likely the best choice to use as our model equipment type for high-temp</t>
  </si>
  <si>
    <t>electrified industrial heating equipment. So we do not consider them to bean outlier - i.e., the higher cost is justified.</t>
  </si>
  <si>
    <t>Note: since the CapEx here scales with tonnes capacity, the final cost per unit capacity isn't affected by the annual production capacity figure above.</t>
  </si>
  <si>
    <r>
      <rPr>
        <b/>
        <i/>
        <sz val="11"/>
        <color theme="1"/>
        <rFont val="Aptos Narrow"/>
        <family val="2"/>
        <scheme val="minor"/>
      </rPr>
      <t>Not used</t>
    </r>
    <r>
      <rPr>
        <i/>
        <sz val="11"/>
        <color theme="1"/>
        <rFont val="Aptos Narrow"/>
        <family val="2"/>
        <scheme val="minor"/>
      </rPr>
      <t xml:space="preserve"> because it is the whole plant, not just the kiln.  Kiln-only data are just below.</t>
    </r>
  </si>
  <si>
    <t>green hydrogen if</t>
  </si>
  <si>
    <t>low carbon hydrogen if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</si>
</sst>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6" formatCode="&quot;$&quot;#,##0_);[Red]\(&quot;$&quot;#,##0\)"/>
    <numFmt numFmtId="8" formatCode="&quot;$&quot;#,##0.00_);[Red]\(&quot;$&quot;#,##0.00\)"/>
    <numFmt numFmtId="164" formatCode="&quot;$&quot;#,##0"/>
    <numFmt numFmtId="165" formatCode="&quot;$&quot;#,##0.00"/>
  </numFmts>
  <fonts count="8" x14ac:knownFonts="1">
    <font>
      <sz val="11"/>
      <color theme="1"/>
      <name val="Aptos Narrow"/>
      <family val="2"/>
      <scheme val="minor"/>
    </font>
    <font>
      <b/>
      <sz val="11"/>
      <color theme="1"/>
      <name val="Aptos Narrow"/>
      <family val="2"/>
      <scheme val="minor"/>
    </font>
    <font>
      <i/>
      <sz val="11"/>
      <color theme="1"/>
      <name val="Aptos Narrow"/>
      <family val="2"/>
      <scheme val="minor"/>
    </font>
    <font>
      <b/>
      <i/>
      <sz val="11"/>
      <color theme="1"/>
      <name val="Aptos Narrow"/>
      <family val="2"/>
      <scheme val="minor"/>
    </font>
    <font>
      <u/>
      <sz val="11"/>
      <color theme="10"/>
      <name val="Aptos Narrow"/>
      <family val="2"/>
      <scheme val="minor"/>
    </font>
    <font>
      <b/>
      <sz val="12"/>
      <color theme="1"/>
      <name val="Aptos Narrow"/>
      <family val="2"/>
      <scheme val="minor"/>
    </font>
    <font>
      <sz val="11"/>
      <color theme="1"/>
      <name val="Aptos Narrow"/>
      <family val="2"/>
    </font>
    <font>
      <sz val="11"/>
      <color theme="1"/>
      <name val="Aptos Narrow"/>
      <family val="2"/>
      <scheme val="minor"/>
    </font>
  </fonts>
  <fills count="11">
    <fill>
      <patternFill patternType="none"/>
    </fill>
    <fill>
      <patternFill patternType="gray125"/>
    </fill>
    <fill>
      <patternFill patternType="solid">
        <fgColor rgb="FFFFC000"/>
        <bgColor indexed="64"/>
      </patternFill>
    </fill>
    <fill>
      <patternFill patternType="solid">
        <fgColor rgb="FF92D050"/>
        <bgColor indexed="64"/>
      </patternFill>
    </fill>
    <fill>
      <patternFill patternType="solid">
        <fgColor theme="0" tint="-0.249977111117893"/>
        <bgColor indexed="64"/>
      </patternFill>
    </fill>
    <fill>
      <patternFill patternType="solid">
        <fgColor theme="3" tint="0.749992370372631"/>
        <bgColor indexed="64"/>
      </patternFill>
    </fill>
    <fill>
      <patternFill patternType="solid">
        <fgColor rgb="FFFFFF00"/>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bgColor indexed="64"/>
      </patternFill>
    </fill>
    <fill>
      <patternFill patternType="solid">
        <fgColor theme="5" tint="0.59999389629810485"/>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s>
  <cellStyleXfs count="3">
    <xf numFmtId="0" fontId="0" fillId="0" borderId="0"/>
    <xf numFmtId="0" fontId="4" fillId="0" borderId="0" applyNumberFormat="0" applyFill="0" applyBorder="0" applyAlignment="0" applyProtection="0"/>
    <xf numFmtId="9" fontId="7" fillId="0" borderId="0" applyFont="0" applyFill="0" applyBorder="0" applyAlignment="0" applyProtection="0"/>
  </cellStyleXfs>
  <cellXfs count="48">
    <xf numFmtId="0" fontId="0" fillId="0" borderId="0" xfId="0"/>
    <xf numFmtId="0" fontId="1" fillId="0" borderId="0" xfId="0" applyFont="1"/>
    <xf numFmtId="0" fontId="0" fillId="0" borderId="0" xfId="0" applyAlignment="1">
      <alignment horizontal="right" wrapText="1"/>
    </xf>
    <xf numFmtId="0" fontId="0" fillId="0" borderId="0" xfId="0" applyAlignment="1">
      <alignment wrapText="1"/>
    </xf>
    <xf numFmtId="0" fontId="2" fillId="0" borderId="0" xfId="0" applyFont="1" applyAlignment="1">
      <alignment wrapText="1"/>
    </xf>
    <xf numFmtId="0" fontId="0" fillId="0" borderId="0" xfId="0" applyAlignment="1">
      <alignment horizontal="left" wrapText="1"/>
    </xf>
    <xf numFmtId="0" fontId="1" fillId="0" borderId="0" xfId="0" applyFont="1" applyAlignment="1">
      <alignment horizontal="right" wrapText="1"/>
    </xf>
    <xf numFmtId="0" fontId="1" fillId="0" borderId="0" xfId="0" applyFont="1" applyAlignment="1">
      <alignment horizontal="right"/>
    </xf>
    <xf numFmtId="6" fontId="0" fillId="0" borderId="0" xfId="0" applyNumberFormat="1"/>
    <xf numFmtId="11" fontId="0" fillId="0" borderId="0" xfId="0" applyNumberFormat="1"/>
    <xf numFmtId="11" fontId="0" fillId="2" borderId="0" xfId="0" applyNumberFormat="1" applyFill="1"/>
    <xf numFmtId="0" fontId="3" fillId="0" borderId="0" xfId="0" applyFont="1"/>
    <xf numFmtId="11" fontId="0" fillId="3" borderId="0" xfId="0" applyNumberFormat="1" applyFill="1"/>
    <xf numFmtId="0" fontId="0" fillId="0" borderId="0" xfId="0" applyAlignment="1">
      <alignment horizontal="left"/>
    </xf>
    <xf numFmtId="0" fontId="0" fillId="0" borderId="0" xfId="0" quotePrefix="1" applyAlignment="1">
      <alignment horizontal="left"/>
    </xf>
    <xf numFmtId="0" fontId="4" fillId="0" borderId="0" xfId="1"/>
    <xf numFmtId="0" fontId="1" fillId="4" borderId="0" xfId="0" applyFont="1" applyFill="1"/>
    <xf numFmtId="0" fontId="1" fillId="5" borderId="0" xfId="0" applyFont="1" applyFill="1"/>
    <xf numFmtId="0" fontId="0" fillId="5" borderId="0" xfId="0" applyFill="1"/>
    <xf numFmtId="9" fontId="0" fillId="0" borderId="0" xfId="0" applyNumberFormat="1"/>
    <xf numFmtId="164" fontId="0" fillId="0" borderId="0" xfId="0" applyNumberFormat="1"/>
    <xf numFmtId="1" fontId="0" fillId="0" borderId="0" xfId="0" applyNumberFormat="1"/>
    <xf numFmtId="0" fontId="3" fillId="6" borderId="0" xfId="0" applyFont="1" applyFill="1"/>
    <xf numFmtId="0" fontId="1" fillId="6" borderId="0" xfId="0" applyFont="1" applyFill="1" applyAlignment="1">
      <alignment horizontal="right" wrapText="1"/>
    </xf>
    <xf numFmtId="0" fontId="2" fillId="0" borderId="0" xfId="0" applyFont="1"/>
    <xf numFmtId="8" fontId="0" fillId="0" borderId="0" xfId="0" applyNumberFormat="1"/>
    <xf numFmtId="0" fontId="5" fillId="7" borderId="1" xfId="0" applyFont="1" applyFill="1" applyBorder="1" applyAlignment="1">
      <alignment horizontal="center"/>
    </xf>
    <xf numFmtId="0" fontId="0" fillId="8" borderId="0" xfId="0" applyFill="1"/>
    <xf numFmtId="0" fontId="5" fillId="8" borderId="2" xfId="0" applyFont="1" applyFill="1" applyBorder="1" applyAlignment="1">
      <alignment horizontal="center"/>
    </xf>
    <xf numFmtId="0" fontId="1" fillId="8" borderId="0" xfId="0" applyFont="1" applyFill="1"/>
    <xf numFmtId="0" fontId="1" fillId="8" borderId="0" xfId="0" applyFont="1" applyFill="1" applyAlignment="1">
      <alignment horizontal="left"/>
    </xf>
    <xf numFmtId="0" fontId="1" fillId="9" borderId="0" xfId="0" applyFont="1" applyFill="1"/>
    <xf numFmtId="3" fontId="0" fillId="0" borderId="0" xfId="0" applyNumberFormat="1"/>
    <xf numFmtId="0" fontId="6" fillId="0" borderId="0" xfId="0" applyFont="1"/>
    <xf numFmtId="2" fontId="0" fillId="0" borderId="0" xfId="0" applyNumberFormat="1"/>
    <xf numFmtId="0" fontId="4" fillId="0" borderId="0" xfId="1" applyAlignment="1">
      <alignment wrapText="1"/>
    </xf>
    <xf numFmtId="17" fontId="0" fillId="0" borderId="0" xfId="0" applyNumberFormat="1" applyAlignment="1">
      <alignment horizontal="left" wrapText="1"/>
    </xf>
    <xf numFmtId="17" fontId="4" fillId="0" borderId="0" xfId="1" applyNumberFormat="1" applyAlignment="1">
      <alignment horizontal="left" wrapText="1"/>
    </xf>
    <xf numFmtId="49" fontId="0" fillId="0" borderId="0" xfId="0" applyNumberFormat="1"/>
    <xf numFmtId="165" fontId="0" fillId="0" borderId="0" xfId="0" applyNumberFormat="1"/>
    <xf numFmtId="0" fontId="0" fillId="4" borderId="0" xfId="0" applyFill="1"/>
    <xf numFmtId="0" fontId="0" fillId="3" borderId="0" xfId="0" applyFill="1"/>
    <xf numFmtId="0" fontId="1" fillId="10" borderId="0" xfId="0" applyFont="1" applyFill="1"/>
    <xf numFmtId="0" fontId="0" fillId="10" borderId="0" xfId="0" applyFill="1"/>
    <xf numFmtId="9" fontId="0" fillId="0" borderId="0" xfId="2" applyFont="1"/>
    <xf numFmtId="0" fontId="0" fillId="6" borderId="0" xfId="0" applyFill="1"/>
    <xf numFmtId="0" fontId="1" fillId="6" borderId="0" xfId="0" applyFont="1" applyFill="1"/>
    <xf numFmtId="3" fontId="0" fillId="4" borderId="0" xfId="0" applyNumberFormat="1" applyFill="1"/>
  </cellXfs>
  <cellStyles count="3">
    <cellStyle name="Hyperlink" xfId="1" builtinId="8"/>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17/10/relationships/person" Target="persons/perso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US"/>
              <a:t>Capital Cost of Equipment</a:t>
            </a:r>
            <a:r>
              <a:rPr lang="en-US" baseline="0"/>
              <a:t> per Unit Annual Energy Consumption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lotArea>
      <c:layout/>
      <c:barChart>
        <c:barDir val="col"/>
        <c:grouping val="clustered"/>
        <c:varyColors val="0"/>
        <c:ser>
          <c:idx val="0"/>
          <c:order val="0"/>
          <c:tx>
            <c:strRef>
              <c:f>Aggregation!$A$2</c:f>
              <c:strCache>
                <c:ptCount val="1"/>
                <c:pt idx="0">
                  <c:v>boilers</c:v>
                </c:pt>
              </c:strCache>
            </c:strRef>
          </c:tx>
          <c:spPr>
            <a:solidFill>
              <a:schemeClr val="accent1"/>
            </a:solidFill>
            <a:ln>
              <a:noFill/>
            </a:ln>
            <a:effectLst/>
          </c:spPr>
          <c:invertIfNegative val="0"/>
          <c:cat>
            <c:strRef>
              <c:f>Aggregation!$B$1:$K$1</c:f>
              <c:strCache>
                <c:ptCount val="10"/>
                <c:pt idx="0">
                  <c:v>electricity if</c:v>
                </c:pt>
                <c:pt idx="1">
                  <c:v>hard coal if</c:v>
                </c:pt>
                <c:pt idx="2">
                  <c:v>natural gas if</c:v>
                </c:pt>
                <c:pt idx="3">
                  <c:v>biomass if</c:v>
                </c:pt>
                <c:pt idx="4">
                  <c:v>petroleum diesel if</c:v>
                </c:pt>
                <c:pt idx="5">
                  <c:v>heat if</c:v>
                </c:pt>
                <c:pt idx="6">
                  <c:v>crude oil if</c:v>
                </c:pt>
                <c:pt idx="7">
                  <c:v>heavy or residual fuel oil if</c:v>
                </c:pt>
                <c:pt idx="8">
                  <c:v>LPG propane or butane if</c:v>
                </c:pt>
                <c:pt idx="9">
                  <c:v>hydrogen if</c:v>
                </c:pt>
              </c:strCache>
            </c:strRef>
          </c:cat>
          <c:val>
            <c:numRef>
              <c:f>Aggregation!$B$2:$K$2</c:f>
              <c:numCache>
                <c:formatCode>0.00E+00</c:formatCode>
                <c:ptCount val="10"/>
                <c:pt idx="0">
                  <c:v>5.6711966224873446E-5</c:v>
                </c:pt>
                <c:pt idx="1">
                  <c:v>1.4986595988547842E-5</c:v>
                </c:pt>
                <c:pt idx="2">
                  <c:v>1.5989491110961776E-5</c:v>
                </c:pt>
                <c:pt idx="3">
                  <c:v>1.4986595988547842E-5</c:v>
                </c:pt>
                <c:pt idx="4">
                  <c:v>9.436004881678272E-6</c:v>
                </c:pt>
                <c:pt idx="5" formatCode="General">
                  <c:v>0</c:v>
                </c:pt>
                <c:pt idx="6">
                  <c:v>9.436004881678272E-6</c:v>
                </c:pt>
                <c:pt idx="7">
                  <c:v>9.436004881678272E-6</c:v>
                </c:pt>
                <c:pt idx="8">
                  <c:v>9.436004881678272E-6</c:v>
                </c:pt>
                <c:pt idx="9">
                  <c:v>2.3984236666442662E-5</c:v>
                </c:pt>
              </c:numCache>
            </c:numRef>
          </c:val>
          <c:extLst>
            <c:ext xmlns:c16="http://schemas.microsoft.com/office/drawing/2014/chart" uri="{C3380CC4-5D6E-409C-BE32-E72D297353CC}">
              <c16:uniqueId val="{00000000-B40A-4983-AC41-514CE06597B3}"/>
            </c:ext>
          </c:extLst>
        </c:ser>
        <c:ser>
          <c:idx val="1"/>
          <c:order val="1"/>
          <c:tx>
            <c:strRef>
              <c:f>Aggregation!$A$3</c:f>
              <c:strCache>
                <c:ptCount val="1"/>
                <c:pt idx="0">
                  <c:v>nonboiler low temp</c:v>
                </c:pt>
              </c:strCache>
            </c:strRef>
          </c:tx>
          <c:spPr>
            <a:solidFill>
              <a:schemeClr val="accent2"/>
            </a:solidFill>
            <a:ln>
              <a:noFill/>
            </a:ln>
            <a:effectLst/>
          </c:spPr>
          <c:invertIfNegative val="0"/>
          <c:cat>
            <c:strRef>
              <c:f>Aggregation!$B$1:$K$1</c:f>
              <c:strCache>
                <c:ptCount val="10"/>
                <c:pt idx="0">
                  <c:v>electricity if</c:v>
                </c:pt>
                <c:pt idx="1">
                  <c:v>hard coal if</c:v>
                </c:pt>
                <c:pt idx="2">
                  <c:v>natural gas if</c:v>
                </c:pt>
                <c:pt idx="3">
                  <c:v>biomass if</c:v>
                </c:pt>
                <c:pt idx="4">
                  <c:v>petroleum diesel if</c:v>
                </c:pt>
                <c:pt idx="5">
                  <c:v>heat if</c:v>
                </c:pt>
                <c:pt idx="6">
                  <c:v>crude oil if</c:v>
                </c:pt>
                <c:pt idx="7">
                  <c:v>heavy or residual fuel oil if</c:v>
                </c:pt>
                <c:pt idx="8">
                  <c:v>LPG propane or butane if</c:v>
                </c:pt>
                <c:pt idx="9">
                  <c:v>hydrogen if</c:v>
                </c:pt>
              </c:strCache>
            </c:strRef>
          </c:cat>
          <c:val>
            <c:numRef>
              <c:f>Aggregation!$B$3:$K$3</c:f>
              <c:numCache>
                <c:formatCode>0.00E+00</c:formatCode>
                <c:ptCount val="10"/>
                <c:pt idx="0">
                  <c:v>5.6711966224873446E-5</c:v>
                </c:pt>
                <c:pt idx="1">
                  <c:v>1.4986595988547842E-5</c:v>
                </c:pt>
                <c:pt idx="2">
                  <c:v>1.5989491110961776E-5</c:v>
                </c:pt>
                <c:pt idx="3">
                  <c:v>1.4986595988547842E-5</c:v>
                </c:pt>
                <c:pt idx="4">
                  <c:v>9.436004881678272E-6</c:v>
                </c:pt>
                <c:pt idx="5" formatCode="General">
                  <c:v>0</c:v>
                </c:pt>
                <c:pt idx="6">
                  <c:v>9.436004881678272E-6</c:v>
                </c:pt>
                <c:pt idx="7">
                  <c:v>9.436004881678272E-6</c:v>
                </c:pt>
                <c:pt idx="8">
                  <c:v>9.436004881678272E-6</c:v>
                </c:pt>
                <c:pt idx="9">
                  <c:v>2.3984236666442662E-5</c:v>
                </c:pt>
              </c:numCache>
            </c:numRef>
          </c:val>
          <c:extLst>
            <c:ext xmlns:c16="http://schemas.microsoft.com/office/drawing/2014/chart" uri="{C3380CC4-5D6E-409C-BE32-E72D297353CC}">
              <c16:uniqueId val="{00000001-B40A-4983-AC41-514CE06597B3}"/>
            </c:ext>
          </c:extLst>
        </c:ser>
        <c:ser>
          <c:idx val="2"/>
          <c:order val="2"/>
          <c:tx>
            <c:strRef>
              <c:f>Aggregation!$A$4</c:f>
              <c:strCache>
                <c:ptCount val="1"/>
                <c:pt idx="0">
                  <c:v>nonboiler med temp</c:v>
                </c:pt>
              </c:strCache>
            </c:strRef>
          </c:tx>
          <c:spPr>
            <a:solidFill>
              <a:schemeClr val="accent3"/>
            </a:solidFill>
            <a:ln>
              <a:noFill/>
            </a:ln>
            <a:effectLst/>
          </c:spPr>
          <c:invertIfNegative val="0"/>
          <c:cat>
            <c:strRef>
              <c:f>Aggregation!$B$1:$K$1</c:f>
              <c:strCache>
                <c:ptCount val="10"/>
                <c:pt idx="0">
                  <c:v>electricity if</c:v>
                </c:pt>
                <c:pt idx="1">
                  <c:v>hard coal if</c:v>
                </c:pt>
                <c:pt idx="2">
                  <c:v>natural gas if</c:v>
                </c:pt>
                <c:pt idx="3">
                  <c:v>biomass if</c:v>
                </c:pt>
                <c:pt idx="4">
                  <c:v>petroleum diesel if</c:v>
                </c:pt>
                <c:pt idx="5">
                  <c:v>heat if</c:v>
                </c:pt>
                <c:pt idx="6">
                  <c:v>crude oil if</c:v>
                </c:pt>
                <c:pt idx="7">
                  <c:v>heavy or residual fuel oil if</c:v>
                </c:pt>
                <c:pt idx="8">
                  <c:v>LPG propane or butane if</c:v>
                </c:pt>
                <c:pt idx="9">
                  <c:v>hydrogen if</c:v>
                </c:pt>
              </c:strCache>
            </c:strRef>
          </c:cat>
          <c:val>
            <c:numRef>
              <c:f>Aggregation!$B$4:$K$4</c:f>
              <c:numCache>
                <c:formatCode>0.00E+00</c:formatCode>
                <c:ptCount val="10"/>
                <c:pt idx="0">
                  <c:v>3.4771933032458345E-5</c:v>
                </c:pt>
                <c:pt idx="1">
                  <c:v>3.1780367029653324E-5</c:v>
                </c:pt>
                <c:pt idx="2">
                  <c:v>3.1780367029653324E-5</c:v>
                </c:pt>
                <c:pt idx="3">
                  <c:v>3.1780367029653324E-5</c:v>
                </c:pt>
                <c:pt idx="4">
                  <c:v>3.1780367029653324E-5</c:v>
                </c:pt>
                <c:pt idx="5" formatCode="General">
                  <c:v>0</c:v>
                </c:pt>
                <c:pt idx="6">
                  <c:v>3.1780367029653324E-5</c:v>
                </c:pt>
                <c:pt idx="7">
                  <c:v>3.1780367029653324E-5</c:v>
                </c:pt>
                <c:pt idx="8">
                  <c:v>3.1780367029653324E-5</c:v>
                </c:pt>
                <c:pt idx="9">
                  <c:v>3.1780367029653324E-5</c:v>
                </c:pt>
              </c:numCache>
            </c:numRef>
          </c:val>
          <c:extLst>
            <c:ext xmlns:c16="http://schemas.microsoft.com/office/drawing/2014/chart" uri="{C3380CC4-5D6E-409C-BE32-E72D297353CC}">
              <c16:uniqueId val="{00000002-B40A-4983-AC41-514CE06597B3}"/>
            </c:ext>
          </c:extLst>
        </c:ser>
        <c:ser>
          <c:idx val="3"/>
          <c:order val="3"/>
          <c:tx>
            <c:strRef>
              <c:f>Aggregation!$A$5</c:f>
              <c:strCache>
                <c:ptCount val="1"/>
                <c:pt idx="0">
                  <c:v>nonboiler high temp</c:v>
                </c:pt>
              </c:strCache>
            </c:strRef>
          </c:tx>
          <c:spPr>
            <a:solidFill>
              <a:schemeClr val="accent4"/>
            </a:solidFill>
            <a:ln>
              <a:noFill/>
            </a:ln>
            <a:effectLst/>
          </c:spPr>
          <c:invertIfNegative val="0"/>
          <c:cat>
            <c:strRef>
              <c:f>Aggregation!$B$1:$K$1</c:f>
              <c:strCache>
                <c:ptCount val="10"/>
                <c:pt idx="0">
                  <c:v>electricity if</c:v>
                </c:pt>
                <c:pt idx="1">
                  <c:v>hard coal if</c:v>
                </c:pt>
                <c:pt idx="2">
                  <c:v>natural gas if</c:v>
                </c:pt>
                <c:pt idx="3">
                  <c:v>biomass if</c:v>
                </c:pt>
                <c:pt idx="4">
                  <c:v>petroleum diesel if</c:v>
                </c:pt>
                <c:pt idx="5">
                  <c:v>heat if</c:v>
                </c:pt>
                <c:pt idx="6">
                  <c:v>crude oil if</c:v>
                </c:pt>
                <c:pt idx="7">
                  <c:v>heavy or residual fuel oil if</c:v>
                </c:pt>
                <c:pt idx="8">
                  <c:v>LPG propane or butane if</c:v>
                </c:pt>
                <c:pt idx="9">
                  <c:v>hydrogen if</c:v>
                </c:pt>
              </c:strCache>
            </c:strRef>
          </c:cat>
          <c:val>
            <c:numRef>
              <c:f>Aggregation!$B$5:$K$5</c:f>
              <c:numCache>
                <c:formatCode>0.00E+00</c:formatCode>
                <c:ptCount val="10"/>
                <c:pt idx="0">
                  <c:v>1.7204637228083889E-4</c:v>
                </c:pt>
                <c:pt idx="1">
                  <c:v>4.5951806950193628E-6</c:v>
                </c:pt>
                <c:pt idx="2">
                  <c:v>2.0725243194734525E-5</c:v>
                </c:pt>
                <c:pt idx="3">
                  <c:v>4.5951806950193628E-6</c:v>
                </c:pt>
                <c:pt idx="4">
                  <c:v>1.2230751723262388E-5</c:v>
                </c:pt>
                <c:pt idx="5" formatCode="General">
                  <c:v>0</c:v>
                </c:pt>
                <c:pt idx="6">
                  <c:v>1.2230751723262388E-5</c:v>
                </c:pt>
                <c:pt idx="7">
                  <c:v>1.2230751723262388E-5</c:v>
                </c:pt>
                <c:pt idx="8">
                  <c:v>1.2230751723262388E-5</c:v>
                </c:pt>
                <c:pt idx="9">
                  <c:v>3.265784625690839E-5</c:v>
                </c:pt>
              </c:numCache>
            </c:numRef>
          </c:val>
          <c:extLst>
            <c:ext xmlns:c16="http://schemas.microsoft.com/office/drawing/2014/chart" uri="{C3380CC4-5D6E-409C-BE32-E72D297353CC}">
              <c16:uniqueId val="{00000003-B40A-4983-AC41-514CE06597B3}"/>
            </c:ext>
          </c:extLst>
        </c:ser>
        <c:ser>
          <c:idx val="4"/>
          <c:order val="4"/>
          <c:tx>
            <c:strRef>
              <c:f>Aggregation!$A$6</c:f>
              <c:strCache>
                <c:ptCount val="1"/>
                <c:pt idx="0">
                  <c:v>cooling</c:v>
                </c:pt>
              </c:strCache>
            </c:strRef>
          </c:tx>
          <c:spPr>
            <a:solidFill>
              <a:schemeClr val="accent5"/>
            </a:solidFill>
            <a:ln>
              <a:noFill/>
            </a:ln>
            <a:effectLst/>
          </c:spPr>
          <c:invertIfNegative val="0"/>
          <c:cat>
            <c:strRef>
              <c:f>Aggregation!$B$1:$K$1</c:f>
              <c:strCache>
                <c:ptCount val="10"/>
                <c:pt idx="0">
                  <c:v>electricity if</c:v>
                </c:pt>
                <c:pt idx="1">
                  <c:v>hard coal if</c:v>
                </c:pt>
                <c:pt idx="2">
                  <c:v>natural gas if</c:v>
                </c:pt>
                <c:pt idx="3">
                  <c:v>biomass if</c:v>
                </c:pt>
                <c:pt idx="4">
                  <c:v>petroleum diesel if</c:v>
                </c:pt>
                <c:pt idx="5">
                  <c:v>heat if</c:v>
                </c:pt>
                <c:pt idx="6">
                  <c:v>crude oil if</c:v>
                </c:pt>
                <c:pt idx="7">
                  <c:v>heavy or residual fuel oil if</c:v>
                </c:pt>
                <c:pt idx="8">
                  <c:v>LPG propane or butane if</c:v>
                </c:pt>
                <c:pt idx="9">
                  <c:v>hydrogen if</c:v>
                </c:pt>
              </c:strCache>
            </c:strRef>
          </c:cat>
          <c:val>
            <c:numRef>
              <c:f>Aggregation!$B$6:$K$6</c:f>
              <c:numCache>
                <c:formatCode>0.00E+00</c:formatCode>
                <c:ptCount val="10"/>
                <c:pt idx="0">
                  <c:v>4.4520366169683022E-5</c:v>
                </c:pt>
                <c:pt idx="1">
                  <c:v>1.8088159747275158E-5</c:v>
                </c:pt>
                <c:pt idx="2">
                  <c:v>1.8088159747275158E-5</c:v>
                </c:pt>
                <c:pt idx="3">
                  <c:v>1.8088159747275158E-5</c:v>
                </c:pt>
                <c:pt idx="4">
                  <c:v>1.8088159747275158E-5</c:v>
                </c:pt>
                <c:pt idx="5" formatCode="General">
                  <c:v>0</c:v>
                </c:pt>
                <c:pt idx="6">
                  <c:v>1.8088159747275158E-5</c:v>
                </c:pt>
                <c:pt idx="7">
                  <c:v>1.8088159747275158E-5</c:v>
                </c:pt>
                <c:pt idx="8">
                  <c:v>1.8088159747275158E-5</c:v>
                </c:pt>
                <c:pt idx="9">
                  <c:v>2.7132239620912736E-5</c:v>
                </c:pt>
              </c:numCache>
            </c:numRef>
          </c:val>
          <c:extLst>
            <c:ext xmlns:c16="http://schemas.microsoft.com/office/drawing/2014/chart" uri="{C3380CC4-5D6E-409C-BE32-E72D297353CC}">
              <c16:uniqueId val="{00000004-B40A-4983-AC41-514CE06597B3}"/>
            </c:ext>
          </c:extLst>
        </c:ser>
        <c:ser>
          <c:idx val="5"/>
          <c:order val="5"/>
          <c:tx>
            <c:strRef>
              <c:f>Aggregation!$A$7</c:f>
              <c:strCache>
                <c:ptCount val="1"/>
                <c:pt idx="0">
                  <c:v>machine drive</c:v>
                </c:pt>
              </c:strCache>
            </c:strRef>
          </c:tx>
          <c:spPr>
            <a:solidFill>
              <a:schemeClr val="accent6"/>
            </a:solidFill>
            <a:ln>
              <a:noFill/>
            </a:ln>
            <a:effectLst/>
          </c:spPr>
          <c:invertIfNegative val="0"/>
          <c:cat>
            <c:strRef>
              <c:f>Aggregation!$B$1:$K$1</c:f>
              <c:strCache>
                <c:ptCount val="10"/>
                <c:pt idx="0">
                  <c:v>electricity if</c:v>
                </c:pt>
                <c:pt idx="1">
                  <c:v>hard coal if</c:v>
                </c:pt>
                <c:pt idx="2">
                  <c:v>natural gas if</c:v>
                </c:pt>
                <c:pt idx="3">
                  <c:v>biomass if</c:v>
                </c:pt>
                <c:pt idx="4">
                  <c:v>petroleum diesel if</c:v>
                </c:pt>
                <c:pt idx="5">
                  <c:v>heat if</c:v>
                </c:pt>
                <c:pt idx="6">
                  <c:v>crude oil if</c:v>
                </c:pt>
                <c:pt idx="7">
                  <c:v>heavy or residual fuel oil if</c:v>
                </c:pt>
                <c:pt idx="8">
                  <c:v>LPG propane or butane if</c:v>
                </c:pt>
                <c:pt idx="9">
                  <c:v>hydrogen if</c:v>
                </c:pt>
              </c:strCache>
            </c:strRef>
          </c:cat>
          <c:val>
            <c:numRef>
              <c:f>Aggregation!$B$7:$K$7</c:f>
              <c:numCache>
                <c:formatCode>0.00E+00</c:formatCode>
                <c:ptCount val="10"/>
                <c:pt idx="0">
                  <c:v>1.4733459973606227E-4</c:v>
                </c:pt>
                <c:pt idx="1">
                  <c:v>7.0734511678239686E-5</c:v>
                </c:pt>
                <c:pt idx="2">
                  <c:v>7.0734511678239686E-5</c:v>
                </c:pt>
                <c:pt idx="3">
                  <c:v>7.0734511678239686E-5</c:v>
                </c:pt>
                <c:pt idx="4">
                  <c:v>7.0734511678239686E-5</c:v>
                </c:pt>
                <c:pt idx="5" formatCode="General">
                  <c:v>0</c:v>
                </c:pt>
                <c:pt idx="6">
                  <c:v>7.0734511678239686E-5</c:v>
                </c:pt>
                <c:pt idx="7">
                  <c:v>7.0734511678239686E-5</c:v>
                </c:pt>
                <c:pt idx="8">
                  <c:v>7.0734511678239686E-5</c:v>
                </c:pt>
                <c:pt idx="9">
                  <c:v>7.0734511678239686E-5</c:v>
                </c:pt>
              </c:numCache>
            </c:numRef>
          </c:val>
          <c:extLst>
            <c:ext xmlns:c16="http://schemas.microsoft.com/office/drawing/2014/chart" uri="{C3380CC4-5D6E-409C-BE32-E72D297353CC}">
              <c16:uniqueId val="{00000005-B40A-4983-AC41-514CE06597B3}"/>
            </c:ext>
          </c:extLst>
        </c:ser>
        <c:ser>
          <c:idx val="6"/>
          <c:order val="6"/>
          <c:tx>
            <c:strRef>
              <c:f>Aggregation!$A$8</c:f>
              <c:strCache>
                <c:ptCount val="1"/>
                <c:pt idx="0">
                  <c:v>electrochemical</c:v>
                </c:pt>
              </c:strCache>
            </c:strRef>
          </c:tx>
          <c:spPr>
            <a:solidFill>
              <a:schemeClr val="accent1">
                <a:lumMod val="60000"/>
              </a:schemeClr>
            </a:solidFill>
            <a:ln>
              <a:noFill/>
            </a:ln>
            <a:effectLst/>
          </c:spPr>
          <c:invertIfNegative val="0"/>
          <c:cat>
            <c:strRef>
              <c:f>Aggregation!$B$1:$K$1</c:f>
              <c:strCache>
                <c:ptCount val="10"/>
                <c:pt idx="0">
                  <c:v>electricity if</c:v>
                </c:pt>
                <c:pt idx="1">
                  <c:v>hard coal if</c:v>
                </c:pt>
                <c:pt idx="2">
                  <c:v>natural gas if</c:v>
                </c:pt>
                <c:pt idx="3">
                  <c:v>biomass if</c:v>
                </c:pt>
                <c:pt idx="4">
                  <c:v>petroleum diesel if</c:v>
                </c:pt>
                <c:pt idx="5">
                  <c:v>heat if</c:v>
                </c:pt>
                <c:pt idx="6">
                  <c:v>crude oil if</c:v>
                </c:pt>
                <c:pt idx="7">
                  <c:v>heavy or residual fuel oil if</c:v>
                </c:pt>
                <c:pt idx="8">
                  <c:v>LPG propane or butane if</c:v>
                </c:pt>
                <c:pt idx="9">
                  <c:v>hydrogen if</c:v>
                </c:pt>
              </c:strCache>
            </c:strRef>
          </c:cat>
          <c:val>
            <c:numRef>
              <c:f>Aggregation!$B$8:$K$8</c:f>
              <c:numCache>
                <c:formatCode>General</c:formatCode>
                <c:ptCount val="10"/>
                <c:pt idx="0" formatCode="0.00E+00">
                  <c:v>4.4539618429716232E-5</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6-B40A-4983-AC41-514CE06597B3}"/>
            </c:ext>
          </c:extLst>
        </c:ser>
        <c:ser>
          <c:idx val="7"/>
          <c:order val="7"/>
          <c:tx>
            <c:strRef>
              <c:f>Aggregation!$A$9</c:f>
              <c:strCache>
                <c:ptCount val="1"/>
                <c:pt idx="0">
                  <c:v>other processes</c:v>
                </c:pt>
              </c:strCache>
            </c:strRef>
          </c:tx>
          <c:spPr>
            <a:solidFill>
              <a:schemeClr val="accent2">
                <a:lumMod val="60000"/>
              </a:schemeClr>
            </a:solidFill>
            <a:ln>
              <a:noFill/>
            </a:ln>
            <a:effectLst/>
          </c:spPr>
          <c:invertIfNegative val="0"/>
          <c:cat>
            <c:strRef>
              <c:f>Aggregation!$B$1:$K$1</c:f>
              <c:strCache>
                <c:ptCount val="10"/>
                <c:pt idx="0">
                  <c:v>electricity if</c:v>
                </c:pt>
                <c:pt idx="1">
                  <c:v>hard coal if</c:v>
                </c:pt>
                <c:pt idx="2">
                  <c:v>natural gas if</c:v>
                </c:pt>
                <c:pt idx="3">
                  <c:v>biomass if</c:v>
                </c:pt>
                <c:pt idx="4">
                  <c:v>petroleum diesel if</c:v>
                </c:pt>
                <c:pt idx="5">
                  <c:v>heat if</c:v>
                </c:pt>
                <c:pt idx="6">
                  <c:v>crude oil if</c:v>
                </c:pt>
                <c:pt idx="7">
                  <c:v>heavy or residual fuel oil if</c:v>
                </c:pt>
                <c:pt idx="8">
                  <c:v>LPG propane or butane if</c:v>
                </c:pt>
                <c:pt idx="9">
                  <c:v>hydrogen if</c:v>
                </c:pt>
              </c:strCache>
            </c:strRef>
          </c:cat>
          <c:val>
            <c:numRef>
              <c:f>Aggregation!$B$9:$K$9</c:f>
              <c:numCache>
                <c:formatCode>0.00E+00</c:formatCode>
                <c:ptCount val="10"/>
                <c:pt idx="0">
                  <c:v>7.0401933942914745E-6</c:v>
                </c:pt>
                <c:pt idx="1">
                  <c:v>2.0886792055175448E-5</c:v>
                </c:pt>
                <c:pt idx="2">
                  <c:v>2.2284525195577483E-5</c:v>
                </c:pt>
                <c:pt idx="3">
                  <c:v>2.0886792055175448E-5</c:v>
                </c:pt>
                <c:pt idx="4">
                  <c:v>1.3150943145851209E-5</c:v>
                </c:pt>
                <c:pt idx="5" formatCode="General">
                  <c:v>0</c:v>
                </c:pt>
                <c:pt idx="6">
                  <c:v>1.3150943145851209E-5</c:v>
                </c:pt>
                <c:pt idx="7">
                  <c:v>1.3150943145851209E-5</c:v>
                </c:pt>
                <c:pt idx="8">
                  <c:v>1.3150943145851209E-5</c:v>
                </c:pt>
                <c:pt idx="9">
                  <c:v>3.3426787793366228E-5</c:v>
                </c:pt>
              </c:numCache>
            </c:numRef>
          </c:val>
          <c:extLst>
            <c:ext xmlns:c16="http://schemas.microsoft.com/office/drawing/2014/chart" uri="{C3380CC4-5D6E-409C-BE32-E72D297353CC}">
              <c16:uniqueId val="{00000007-B40A-4983-AC41-514CE06597B3}"/>
            </c:ext>
          </c:extLst>
        </c:ser>
        <c:dLbls>
          <c:showLegendKey val="0"/>
          <c:showVal val="0"/>
          <c:showCatName val="0"/>
          <c:showSerName val="0"/>
          <c:showPercent val="0"/>
          <c:showBubbleSize val="0"/>
        </c:dLbls>
        <c:gapWidth val="219"/>
        <c:overlap val="-27"/>
        <c:axId val="1076970720"/>
        <c:axId val="1076972160"/>
      </c:barChart>
      <c:catAx>
        <c:axId val="10769707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076972160"/>
        <c:crosses val="autoZero"/>
        <c:auto val="1"/>
        <c:lblAlgn val="ctr"/>
        <c:lblOffset val="100"/>
        <c:noMultiLvlLbl val="0"/>
      </c:catAx>
      <c:valAx>
        <c:axId val="1076972160"/>
        <c:scaling>
          <c:orientation val="minMax"/>
        </c:scaling>
        <c:delete val="0"/>
        <c:axPos val="l"/>
        <c:majorGridlines>
          <c:spPr>
            <a:ln w="9525" cap="flat" cmpd="sng" algn="ctr">
              <a:solidFill>
                <a:schemeClr val="tx1">
                  <a:lumMod val="15000"/>
                  <a:lumOff val="85000"/>
                </a:schemeClr>
              </a:solidFill>
              <a:round/>
            </a:ln>
            <a:effectLst/>
          </c:spPr>
        </c:majorGridlines>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07697072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6</xdr:col>
      <xdr:colOff>582930</xdr:colOff>
      <xdr:row>117</xdr:row>
      <xdr:rowOff>99060</xdr:rowOff>
    </xdr:from>
    <xdr:to>
      <xdr:col>20</xdr:col>
      <xdr:colOff>192405</xdr:colOff>
      <xdr:row>130</xdr:row>
      <xdr:rowOff>167640</xdr:rowOff>
    </xdr:to>
    <xdr:pic>
      <xdr:nvPicPr>
        <xdr:cNvPr id="5" name="Picture 4">
          <a:extLst>
            <a:ext uri="{FF2B5EF4-FFF2-40B4-BE49-F238E27FC236}">
              <a16:creationId xmlns:a16="http://schemas.microsoft.com/office/drawing/2014/main" id="{B8D8A9BC-1347-1F10-1397-4A45F58C40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726805" y="22006560"/>
          <a:ext cx="8143875" cy="25450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38100</xdr:colOff>
      <xdr:row>117</xdr:row>
      <xdr:rowOff>167640</xdr:rowOff>
    </xdr:from>
    <xdr:to>
      <xdr:col>6</xdr:col>
      <xdr:colOff>495300</xdr:colOff>
      <xdr:row>130</xdr:row>
      <xdr:rowOff>120400</xdr:rowOff>
    </xdr:to>
    <xdr:pic>
      <xdr:nvPicPr>
        <xdr:cNvPr id="6" name="Picture 5">
          <a:extLst>
            <a:ext uri="{FF2B5EF4-FFF2-40B4-BE49-F238E27FC236}">
              <a16:creationId xmlns:a16="http://schemas.microsoft.com/office/drawing/2014/main" id="{950AD3EF-C451-057E-3713-FD08E757AEE3}"/>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47700" y="22075140"/>
          <a:ext cx="7991475" cy="24292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11112</xdr:colOff>
      <xdr:row>14</xdr:row>
      <xdr:rowOff>7936</xdr:rowOff>
    </xdr:from>
    <xdr:to>
      <xdr:col>9</xdr:col>
      <xdr:colOff>904875</xdr:colOff>
      <xdr:row>39</xdr:row>
      <xdr:rowOff>3174</xdr:rowOff>
    </xdr:to>
    <xdr:graphicFrame macro="">
      <xdr:nvGraphicFramePr>
        <xdr:cNvPr id="2" name="Chart 1">
          <a:extLst>
            <a:ext uri="{FF2B5EF4-FFF2-40B4-BE49-F238E27FC236}">
              <a16:creationId xmlns:a16="http://schemas.microsoft.com/office/drawing/2014/main" id="{8D30BA75-2EF9-4954-A89F-FC69610FF4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Nik Anil Sawe" id="{04DE444D-9D1B-4089-AFE5-A6D692FB4808}" userId="S::sawe@stanford.edu::1fed2c22-145d-47f5-8d2a-b4e45e4e3b03"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B18" dT="2025-01-03T22:48:32.17" personId="{04DE444D-9D1B-4089-AFE5-A6D692FB4808}" id="{D998E602-6977-404A-8516-5F3163F500FA}">
    <text>Left as original database, but I think it should be (small) not large, otherwise no difference in this and the next</text>
  </threadedComment>
</ThreadedComments>
</file>

<file path=xl/worksheets/_rels/sheet1.xml.rels><?xml version="1.0" encoding="UTF-8" standalone="yes"?>
<Relationships xmlns="http://schemas.openxmlformats.org/package/2006/relationships"><Relationship Id="rId8" Type="http://schemas.openxmlformats.org/officeDocument/2006/relationships/hyperlink" Target="https://www.diw.de/documents/publikationen/73/diw_01.c.901039.de/dp2082.pdf" TargetMode="External"/><Relationship Id="rId13" Type="http://schemas.openxmlformats.org/officeDocument/2006/relationships/hyperlink" Target="https://www.energy.gov/sites/prod/files/2016/06/f32/DOE-BTO%20Comml%20Appl%20Report%20-%20Full%20Report_0.pdf" TargetMode="External"/><Relationship Id="rId3" Type="http://schemas.openxmlformats.org/officeDocument/2006/relationships/hyperlink" Target="https://assessccus.globalco2initiative.org/wp-content/uploads/Capital-Equipment-Cost-Database.xlsx" TargetMode="External"/><Relationship Id="rId7" Type="http://schemas.openxmlformats.org/officeDocument/2006/relationships/hyperlink" Target="https://www.sciencedirect.com/science/article/abs/pii/S0016236123020239" TargetMode="External"/><Relationship Id="rId12" Type="http://schemas.openxmlformats.org/officeDocument/2006/relationships/hyperlink" Target="https://www.cement.heidelbergmaterials.se/sites/default/files/assets/document/65/de/final_cemzero_2018_public_version_2.0.pdf.pdf" TargetMode="External"/><Relationship Id="rId17" Type="http://schemas.openxmlformats.org/officeDocument/2006/relationships/drawing" Target="../drawings/drawing1.xml"/><Relationship Id="rId2" Type="http://schemas.openxmlformats.org/officeDocument/2006/relationships/hyperlink" Target="https://www.globalco2initiative.org/" TargetMode="External"/><Relationship Id="rId16" Type="http://schemas.openxmlformats.org/officeDocument/2006/relationships/hyperlink" Target="https://www.researchgate.net/publication/330875028_Techno-economic_analysis_of_calcium_looping_processes_for_low_CO_2_emission_cement_plants" TargetMode="External"/><Relationship Id="rId1" Type="http://schemas.openxmlformats.org/officeDocument/2006/relationships/hyperlink" Target="https://climate.emerson.com/documents/vilter-heat-pump-white-paper-en-us-5411194.pdf" TargetMode="External"/><Relationship Id="rId6" Type="http://schemas.openxmlformats.org/officeDocument/2006/relationships/hyperlink" Target="https://liftoff.energy.gov/wp-content/uploads/2023/05/20230320-Liftoff-Clean-H2-vPUB-0329-update.pdf" TargetMode="External"/><Relationship Id="rId11" Type="http://schemas.openxmlformats.org/officeDocument/2006/relationships/hyperlink" Target="https://www.glass-ts.com/site/assets/files/1015/2004_-_a_study_of_the_balance_between_furnace_operating_parameters_and_recycled_glass_in_glass_melting_furnaces.pdf" TargetMode="External"/><Relationship Id="rId5" Type="http://schemas.openxmlformats.org/officeDocument/2006/relationships/hyperlink" Target="https://www.energy.gov/sites/prod/files/2014/04/f15/mtrmkt.pdf" TargetMode="External"/><Relationship Id="rId15" Type="http://schemas.openxmlformats.org/officeDocument/2006/relationships/hyperlink" Target="https://www.michigan.gov/-/media/Project/Websites/treasury/VOL/Vol236UIP12MiscellaneousIndustrialCosts.pdf?rev=b2a14a143c11493e8d0a30587afaa282" TargetMode="External"/><Relationship Id="rId10" Type="http://schemas.openxmlformats.org/officeDocument/2006/relationships/hyperlink" Target="https://www.energy-transitions.org/wp-content/uploads/2023/03/Unlocking-the-First-Wave-of-Breakthrough-Steel-Investments-in-France-March-2022.pdf" TargetMode="External"/><Relationship Id="rId4" Type="http://schemas.openxmlformats.org/officeDocument/2006/relationships/hyperlink" Target="https://onlinelibrary.wiley.com/doi/pdf/10.1002/9783527611119.app4" TargetMode="External"/><Relationship Id="rId9" Type="http://schemas.openxmlformats.org/officeDocument/2006/relationships/hyperlink" Target="https://pubs.acs.org/doi/10.1021/acs.iecr.4c02665" TargetMode="External"/><Relationship Id="rId14" Type="http://schemas.openxmlformats.org/officeDocument/2006/relationships/hyperlink" Target="https://www.osti.gov/servlets/purl/1077001"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www.cement.heidelbergmaterials.se/sites/default/files/assets/document/65/de/final_cemzero_2018_public_version_2.0.pdf.pdf" TargetMode="External"/><Relationship Id="rId3" Type="http://schemas.openxmlformats.org/officeDocument/2006/relationships/hyperlink" Target="https://pubs.acs.org/doi/10.1021/acs.iecr.4c02665" TargetMode="External"/><Relationship Id="rId7" Type="http://schemas.openxmlformats.org/officeDocument/2006/relationships/hyperlink" Target="https://www.sciencedirect.com/science/article/pii/S0959652618326301" TargetMode="External"/><Relationship Id="rId12" Type="http://schemas.openxmlformats.org/officeDocument/2006/relationships/hyperlink" Target="https://www.researchgate.net/publication/330875028_Techno-economic_analysis_of_calcium_looping_processes_for_low_CO_2_emission_cement_plants" TargetMode="External"/><Relationship Id="rId2" Type="http://schemas.openxmlformats.org/officeDocument/2006/relationships/hyperlink" Target="https://www.diw.de/documents/publikationen/73/diw_01.c.901039.de/dp2082.pdf" TargetMode="External"/><Relationship Id="rId1" Type="http://schemas.openxmlformats.org/officeDocument/2006/relationships/hyperlink" Target="https://www.energy-transitions.org/wp-content/uploads/2023/03/Unlocking-the-First-Wave-of-Breakthrough-Steel-Investments-in-France-March-2022.pdf" TargetMode="External"/><Relationship Id="rId6" Type="http://schemas.openxmlformats.org/officeDocument/2006/relationships/hyperlink" Target="https://onlinelibrary.wiley.com/doi/epdf/10.1002/srin.202000110" TargetMode="External"/><Relationship Id="rId11" Type="http://schemas.openxmlformats.org/officeDocument/2006/relationships/hyperlink" Target="https://www.wri.org/insights/lower-carbon-blended-cement" TargetMode="External"/><Relationship Id="rId5" Type="http://schemas.openxmlformats.org/officeDocument/2006/relationships/hyperlink" Target="https:/www.glass-ts.com/site/assets/files/1015/2004_-_a_study_of_the_balance_between_furnace_operating_parameters_and_recycled_glass_in_glass_melting_furnaces.pdf" TargetMode="External"/><Relationship Id="rId10" Type="http://schemas.openxmlformats.org/officeDocument/2006/relationships/hyperlink" Target="\Users\sonalideshpande\Library\Containers\com.microsoft.Outlook\Data\tmp\Outlook%20Temp\How%20much%20does%20it%20cost%20to%20build%20a%20rotary%20kiln%20with%20a%20daily%20output%20of%20600%20tons" TargetMode="External"/><Relationship Id="rId4" Type="http://schemas.openxmlformats.org/officeDocument/2006/relationships/hyperlink" Target="https:/www.glass-ts.com/site/assets/files/1015/2004_-_a_study_of_the_balance_between_furnace_operating_parameters_and_recycled_glass_in_glass_melting_furnaces.pdf" TargetMode="External"/><Relationship Id="rId9" Type="http://schemas.openxmlformats.org/officeDocument/2006/relationships/hyperlink" Target="\Users\sonalideshpande\Library\Containers\com.microsoft.Outlook\Data\tmp\Outlook%20Temp\How%20much%20does%20it%20cost%20to%20build%20a%20rotary%20kiln%20with%20a%20daily%20output%20of%20600%20tons"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www.epa.gov/general-conformity/general-conformity-training-modules-appendix-sample-emissions-calculations" TargetMode="External"/><Relationship Id="rId2" Type="http://schemas.openxmlformats.org/officeDocument/2006/relationships/hyperlink" Target="https://www.epa.gov/general-conformity/general-conformity-training-modules-appendix-sample-emissions-calculations" TargetMode="External"/><Relationship Id="rId1" Type="http://schemas.openxmlformats.org/officeDocument/2006/relationships/hyperlink" Target="https://www.rockefellerfoundation.org/wp-content/uploads/2020/12/EE-Download-Opportunity-Datasheet-Detailed-Cost-Models-and-Benchmarks.pdf" TargetMode="External"/><Relationship Id="rId6" Type="http://schemas.microsoft.com/office/2017/10/relationships/threadedComment" Target="../threadedComments/threadedComment1.xm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8.xml.rels><?xml version="1.0" encoding="UTF-8" standalone="yes"?>
<Relationships xmlns="http://schemas.openxmlformats.org/package/2006/relationships"><Relationship Id="rId1" Type="http://schemas.openxmlformats.org/officeDocument/2006/relationships/hyperlink" Target="https://www.shadowindustrial.co.uk/shadow-18kw-industrial-infrared-heater-with-variable-control-system-1641371.html" TargetMode="Externa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3CA314-6128-4FC9-9CED-BF85AF9DB226}">
  <dimension ref="A1:B138"/>
  <sheetViews>
    <sheetView workbookViewId="0"/>
  </sheetViews>
  <sheetFormatPr defaultColWidth="8.81640625" defaultRowHeight="14.5" x14ac:dyDescent="0.35"/>
  <cols>
    <col min="2" max="2" width="76.453125" customWidth="1"/>
  </cols>
  <sheetData>
    <row r="1" spans="1:2" x14ac:dyDescent="0.35">
      <c r="A1" s="1" t="s">
        <v>0</v>
      </c>
    </row>
    <row r="3" spans="1:2" x14ac:dyDescent="0.35">
      <c r="A3" s="1" t="s">
        <v>1</v>
      </c>
      <c r="B3" s="16" t="s">
        <v>32</v>
      </c>
    </row>
    <row r="4" spans="1:2" x14ac:dyDescent="0.35">
      <c r="B4" t="s">
        <v>29</v>
      </c>
    </row>
    <row r="5" spans="1:2" x14ac:dyDescent="0.35">
      <c r="B5" s="13">
        <v>2011</v>
      </c>
    </row>
    <row r="6" spans="1:2" x14ac:dyDescent="0.35">
      <c r="B6" s="14" t="s">
        <v>30</v>
      </c>
    </row>
    <row r="7" spans="1:2" x14ac:dyDescent="0.35">
      <c r="B7" s="15" t="s">
        <v>31</v>
      </c>
    </row>
    <row r="9" spans="1:2" x14ac:dyDescent="0.35">
      <c r="B9" s="16" t="s">
        <v>33</v>
      </c>
    </row>
    <row r="10" spans="1:2" x14ac:dyDescent="0.35">
      <c r="B10" t="s">
        <v>36</v>
      </c>
    </row>
    <row r="11" spans="1:2" x14ac:dyDescent="0.35">
      <c r="B11" s="13">
        <v>2018</v>
      </c>
    </row>
    <row r="12" spans="1:2" x14ac:dyDescent="0.35">
      <c r="B12" t="s">
        <v>37</v>
      </c>
    </row>
    <row r="13" spans="1:2" x14ac:dyDescent="0.35">
      <c r="B13" t="s">
        <v>38</v>
      </c>
    </row>
    <row r="14" spans="1:2" x14ac:dyDescent="0.35">
      <c r="B14" t="s">
        <v>39</v>
      </c>
    </row>
    <row r="16" spans="1:2" x14ac:dyDescent="0.35">
      <c r="B16" s="16" t="s">
        <v>48</v>
      </c>
    </row>
    <row r="17" spans="2:2" x14ac:dyDescent="0.35">
      <c r="B17" t="s">
        <v>308</v>
      </c>
    </row>
    <row r="18" spans="2:2" x14ac:dyDescent="0.35">
      <c r="B18" s="13">
        <v>2003</v>
      </c>
    </row>
    <row r="19" spans="2:2" x14ac:dyDescent="0.35">
      <c r="B19" t="s">
        <v>309</v>
      </c>
    </row>
    <row r="20" spans="2:2" x14ac:dyDescent="0.35">
      <c r="B20" s="15" t="s">
        <v>310</v>
      </c>
    </row>
    <row r="21" spans="2:2" x14ac:dyDescent="0.35">
      <c r="B21" t="s">
        <v>311</v>
      </c>
    </row>
    <row r="23" spans="2:2" x14ac:dyDescent="0.35">
      <c r="B23" s="16" t="s">
        <v>62</v>
      </c>
    </row>
    <row r="24" spans="2:2" x14ac:dyDescent="0.35">
      <c r="B24" t="s">
        <v>63</v>
      </c>
    </row>
    <row r="25" spans="2:2" x14ac:dyDescent="0.35">
      <c r="B25" s="13">
        <v>2016</v>
      </c>
    </row>
    <row r="26" spans="2:2" x14ac:dyDescent="0.35">
      <c r="B26" t="s">
        <v>65</v>
      </c>
    </row>
    <row r="27" spans="2:2" x14ac:dyDescent="0.35">
      <c r="B27" t="s">
        <v>64</v>
      </c>
    </row>
    <row r="29" spans="2:2" x14ac:dyDescent="0.35">
      <c r="B29" s="16" t="s">
        <v>71</v>
      </c>
    </row>
    <row r="30" spans="2:2" x14ac:dyDescent="0.35">
      <c r="B30" t="s">
        <v>72</v>
      </c>
    </row>
    <row r="31" spans="2:2" x14ac:dyDescent="0.35">
      <c r="B31" t="s">
        <v>73</v>
      </c>
    </row>
    <row r="32" spans="2:2" x14ac:dyDescent="0.35">
      <c r="B32" s="14">
        <v>2020</v>
      </c>
    </row>
    <row r="33" spans="2:2" x14ac:dyDescent="0.35">
      <c r="B33" s="15" t="s">
        <v>74</v>
      </c>
    </row>
    <row r="35" spans="2:2" x14ac:dyDescent="0.35">
      <c r="B35" s="16" t="s">
        <v>101</v>
      </c>
    </row>
    <row r="36" spans="2:2" x14ac:dyDescent="0.35">
      <c r="B36" t="s">
        <v>102</v>
      </c>
    </row>
    <row r="37" spans="2:2" x14ac:dyDescent="0.35">
      <c r="B37" t="s">
        <v>103</v>
      </c>
    </row>
    <row r="38" spans="2:2" x14ac:dyDescent="0.35">
      <c r="B38" t="s">
        <v>105</v>
      </c>
    </row>
    <row r="39" spans="2:2" x14ac:dyDescent="0.35">
      <c r="B39" t="s">
        <v>104</v>
      </c>
    </row>
    <row r="41" spans="2:2" x14ac:dyDescent="0.35">
      <c r="B41" s="16" t="s">
        <v>121</v>
      </c>
    </row>
    <row r="42" spans="2:2" x14ac:dyDescent="0.35">
      <c r="B42" t="s">
        <v>124</v>
      </c>
    </row>
    <row r="43" spans="2:2" x14ac:dyDescent="0.35">
      <c r="B43" t="s">
        <v>103</v>
      </c>
    </row>
    <row r="44" spans="2:2" x14ac:dyDescent="0.35">
      <c r="B44" t="s">
        <v>122</v>
      </c>
    </row>
    <row r="45" spans="2:2" x14ac:dyDescent="0.35">
      <c r="B45" t="s">
        <v>123</v>
      </c>
    </row>
    <row r="47" spans="2:2" x14ac:dyDescent="0.35">
      <c r="B47" s="16" t="s">
        <v>287</v>
      </c>
    </row>
    <row r="48" spans="2:2" x14ac:dyDescent="0.35">
      <c r="B48" t="s">
        <v>273</v>
      </c>
    </row>
    <row r="49" spans="2:2" x14ac:dyDescent="0.35">
      <c r="B49" s="38">
        <v>2016</v>
      </c>
    </row>
    <row r="50" spans="2:2" x14ac:dyDescent="0.35">
      <c r="B50" t="s">
        <v>274</v>
      </c>
    </row>
    <row r="51" spans="2:2" x14ac:dyDescent="0.35">
      <c r="B51" s="15" t="s">
        <v>275</v>
      </c>
    </row>
    <row r="53" spans="2:2" x14ac:dyDescent="0.35">
      <c r="B53" s="16" t="s">
        <v>276</v>
      </c>
    </row>
    <row r="54" spans="2:2" x14ac:dyDescent="0.35">
      <c r="B54" t="s">
        <v>277</v>
      </c>
    </row>
    <row r="55" spans="2:2" x14ac:dyDescent="0.35">
      <c r="B55" s="38">
        <v>2013</v>
      </c>
    </row>
    <row r="56" spans="2:2" x14ac:dyDescent="0.35">
      <c r="B56" t="s">
        <v>278</v>
      </c>
    </row>
    <row r="57" spans="2:2" x14ac:dyDescent="0.35">
      <c r="B57" s="15" t="s">
        <v>279</v>
      </c>
    </row>
    <row r="59" spans="2:2" x14ac:dyDescent="0.35">
      <c r="B59" s="16" t="s">
        <v>222</v>
      </c>
    </row>
    <row r="60" spans="2:2" x14ac:dyDescent="0.35">
      <c r="B60" s="1" t="s">
        <v>233</v>
      </c>
    </row>
    <row r="61" spans="2:2" x14ac:dyDescent="0.35">
      <c r="B61" t="s">
        <v>223</v>
      </c>
    </row>
    <row r="62" spans="2:2" x14ac:dyDescent="0.35">
      <c r="B62" t="s">
        <v>224</v>
      </c>
    </row>
    <row r="63" spans="2:2" x14ac:dyDescent="0.35">
      <c r="B63" s="13">
        <v>2024</v>
      </c>
    </row>
    <row r="64" spans="2:2" ht="29" x14ac:dyDescent="0.35">
      <c r="B64" s="3" t="s">
        <v>225</v>
      </c>
    </row>
    <row r="65" spans="2:2" x14ac:dyDescent="0.35">
      <c r="B65" s="35" t="s">
        <v>226</v>
      </c>
    </row>
    <row r="66" spans="2:2" x14ac:dyDescent="0.35">
      <c r="B66" s="35"/>
    </row>
    <row r="67" spans="2:2" x14ac:dyDescent="0.35">
      <c r="B67" t="s">
        <v>196</v>
      </c>
    </row>
    <row r="68" spans="2:2" x14ac:dyDescent="0.35">
      <c r="B68" t="s">
        <v>208</v>
      </c>
    </row>
    <row r="69" spans="2:2" x14ac:dyDescent="0.35">
      <c r="B69" s="13">
        <v>2024</v>
      </c>
    </row>
    <row r="70" spans="2:2" ht="29" x14ac:dyDescent="0.35">
      <c r="B70" s="3" t="s">
        <v>227</v>
      </c>
    </row>
    <row r="71" spans="2:2" x14ac:dyDescent="0.35">
      <c r="B71" s="3" t="s">
        <v>228</v>
      </c>
    </row>
    <row r="72" spans="2:2" x14ac:dyDescent="0.35">
      <c r="B72" s="35" t="s">
        <v>229</v>
      </c>
    </row>
    <row r="73" spans="2:2" x14ac:dyDescent="0.35">
      <c r="B73" s="3"/>
    </row>
    <row r="74" spans="2:2" x14ac:dyDescent="0.35">
      <c r="B74" s="3" t="s">
        <v>230</v>
      </c>
    </row>
    <row r="75" spans="2:2" x14ac:dyDescent="0.35">
      <c r="B75" s="3" t="s">
        <v>211</v>
      </c>
    </row>
    <row r="76" spans="2:2" x14ac:dyDescent="0.35">
      <c r="B76" s="36">
        <v>44621</v>
      </c>
    </row>
    <row r="77" spans="2:2" x14ac:dyDescent="0.35">
      <c r="B77" s="36" t="s">
        <v>231</v>
      </c>
    </row>
    <row r="78" spans="2:2" ht="29" x14ac:dyDescent="0.35">
      <c r="B78" s="37" t="s">
        <v>232</v>
      </c>
    </row>
    <row r="79" spans="2:2" x14ac:dyDescent="0.35">
      <c r="B79" s="37"/>
    </row>
    <row r="80" spans="2:2" x14ac:dyDescent="0.35">
      <c r="B80" s="1" t="s">
        <v>247</v>
      </c>
    </row>
    <row r="81" spans="2:2" x14ac:dyDescent="0.35">
      <c r="B81" t="s">
        <v>248</v>
      </c>
    </row>
    <row r="82" spans="2:2" x14ac:dyDescent="0.35">
      <c r="B82" s="13">
        <v>2018</v>
      </c>
    </row>
    <row r="83" spans="2:2" x14ac:dyDescent="0.35">
      <c r="B83" s="15" t="s">
        <v>249</v>
      </c>
    </row>
    <row r="84" spans="2:2" x14ac:dyDescent="0.35">
      <c r="B84" s="15"/>
    </row>
    <row r="85" spans="2:2" x14ac:dyDescent="0.35">
      <c r="B85" t="s">
        <v>270</v>
      </c>
    </row>
    <row r="86" spans="2:2" x14ac:dyDescent="0.35">
      <c r="B86" s="13">
        <v>2024</v>
      </c>
    </row>
    <row r="87" spans="2:2" x14ac:dyDescent="0.35">
      <c r="B87" t="s">
        <v>271</v>
      </c>
    </row>
    <row r="88" spans="2:2" x14ac:dyDescent="0.35">
      <c r="B88" t="s">
        <v>272</v>
      </c>
    </row>
    <row r="90" spans="2:2" x14ac:dyDescent="0.35">
      <c r="B90" s="1" t="s">
        <v>334</v>
      </c>
    </row>
    <row r="91" spans="2:2" x14ac:dyDescent="0.35">
      <c r="B91" t="s">
        <v>335</v>
      </c>
    </row>
    <row r="92" spans="2:2" x14ac:dyDescent="0.35">
      <c r="B92" s="13">
        <v>2019</v>
      </c>
    </row>
    <row r="93" spans="2:2" x14ac:dyDescent="0.35">
      <c r="B93" t="s">
        <v>336</v>
      </c>
    </row>
    <row r="94" spans="2:2" x14ac:dyDescent="0.35">
      <c r="B94" s="15" t="s">
        <v>331</v>
      </c>
    </row>
    <row r="95" spans="2:2" x14ac:dyDescent="0.35">
      <c r="B95" t="s">
        <v>337</v>
      </c>
    </row>
    <row r="98" spans="2:2" x14ac:dyDescent="0.35">
      <c r="B98" s="31" t="s">
        <v>234</v>
      </c>
    </row>
    <row r="99" spans="2:2" x14ac:dyDescent="0.35">
      <c r="B99" s="36" t="s">
        <v>235</v>
      </c>
    </row>
    <row r="100" spans="2:2" x14ac:dyDescent="0.35">
      <c r="B100" s="36">
        <v>38231</v>
      </c>
    </row>
    <row r="101" spans="2:2" ht="29" x14ac:dyDescent="0.35">
      <c r="B101" s="36" t="s">
        <v>236</v>
      </c>
    </row>
    <row r="102" spans="2:2" ht="43.5" x14ac:dyDescent="0.35">
      <c r="B102" s="37" t="s">
        <v>237</v>
      </c>
    </row>
    <row r="103" spans="2:2" x14ac:dyDescent="0.35">
      <c r="B103" s="36"/>
    </row>
    <row r="104" spans="2:2" x14ac:dyDescent="0.35">
      <c r="B104" s="16" t="s">
        <v>339</v>
      </c>
    </row>
    <row r="105" spans="2:2" x14ac:dyDescent="0.35">
      <c r="B105" s="15" t="s">
        <v>148</v>
      </c>
    </row>
    <row r="106" spans="2:2" x14ac:dyDescent="0.35">
      <c r="B106" s="15" t="s">
        <v>149</v>
      </c>
    </row>
    <row r="107" spans="2:2" x14ac:dyDescent="0.35">
      <c r="B107" t="s">
        <v>153</v>
      </c>
    </row>
    <row r="109" spans="2:2" x14ac:dyDescent="0.35">
      <c r="B109" t="s">
        <v>150</v>
      </c>
    </row>
    <row r="110" spans="2:2" x14ac:dyDescent="0.35">
      <c r="B110" t="s">
        <v>151</v>
      </c>
    </row>
    <row r="111" spans="2:2" x14ac:dyDescent="0.35">
      <c r="B111" s="13">
        <v>2007</v>
      </c>
    </row>
    <row r="112" spans="2:2" x14ac:dyDescent="0.35">
      <c r="B112" s="15" t="s">
        <v>152</v>
      </c>
    </row>
    <row r="114" spans="2:2" x14ac:dyDescent="0.35">
      <c r="B114" t="s">
        <v>158</v>
      </c>
    </row>
    <row r="115" spans="2:2" x14ac:dyDescent="0.35">
      <c r="B115" t="s">
        <v>160</v>
      </c>
    </row>
    <row r="116" spans="2:2" x14ac:dyDescent="0.35">
      <c r="B116" t="s">
        <v>159</v>
      </c>
    </row>
    <row r="117" spans="2:2" x14ac:dyDescent="0.35">
      <c r="B117" s="15" t="s">
        <v>161</v>
      </c>
    </row>
    <row r="134" spans="2:2" x14ac:dyDescent="0.35">
      <c r="B134" s="16" t="s">
        <v>188</v>
      </c>
    </row>
    <row r="135" spans="2:2" x14ac:dyDescent="0.35">
      <c r="B135" s="15" t="s">
        <v>189</v>
      </c>
    </row>
    <row r="137" spans="2:2" x14ac:dyDescent="0.35">
      <c r="B137" t="s">
        <v>191</v>
      </c>
    </row>
    <row r="138" spans="2:2" x14ac:dyDescent="0.35">
      <c r="B138" s="15" t="s">
        <v>190</v>
      </c>
    </row>
  </sheetData>
  <hyperlinks>
    <hyperlink ref="B7" r:id="rId1" xr:uid="{C08BA00C-5E72-42AD-BB8F-655D467C5298}"/>
    <hyperlink ref="B105" r:id="rId2" xr:uid="{810625CC-59B0-4E09-BD8A-7942EF52112A}"/>
    <hyperlink ref="B106" r:id="rId3" xr:uid="{DE5DC99A-D169-4E5D-98F4-A0C74D220DA2}"/>
    <hyperlink ref="B112" r:id="rId4" xr:uid="{EC39133E-2B1E-4926-9BAB-A0BC92F6703D}"/>
    <hyperlink ref="B117" r:id="rId5" xr:uid="{5CBB2DBF-381E-4F40-8899-29D4B5FC9B35}"/>
    <hyperlink ref="B135" r:id="rId6" display="Data from the DOE's Pathways to Commercial Liftoff: Clean Hydrogen (p.13, p.88)" xr:uid="{451B96CC-C781-4216-8C03-8132EE3013B2}"/>
    <hyperlink ref="B138" r:id="rId7" xr:uid="{8276223D-26B3-43EA-A781-2BDC0C41D374}"/>
    <hyperlink ref="B65" r:id="rId8" xr:uid="{C723E247-B6C1-46C7-B576-CF146861E8AC}"/>
    <hyperlink ref="B72" r:id="rId9" xr:uid="{BA83290A-C082-4AAB-AFC4-39DE2DEA36E6}"/>
    <hyperlink ref="B78" r:id="rId10" xr:uid="{437DE8DA-77A2-48D0-8792-6CEB29629218}"/>
    <hyperlink ref="B102" r:id="rId11" xr:uid="{8C5AD67E-D9AA-4BD2-BE55-FC759DD68FCE}"/>
    <hyperlink ref="B83" r:id="rId12" xr:uid="{D30485F8-6CEE-4196-A36A-BE4A2803E3DD}"/>
    <hyperlink ref="B51" r:id="rId13" xr:uid="{07F897CB-7353-674E-92F0-010511F2EA56}"/>
    <hyperlink ref="B57" r:id="rId14" xr:uid="{D0781D44-31AC-BC44-B7B2-E83275B62102}"/>
    <hyperlink ref="B20" r:id="rId15" xr:uid="{27F2C98F-DA26-4901-A0EB-6AC6A38F1C0C}"/>
    <hyperlink ref="B94" r:id="rId16" xr:uid="{561EFB21-D77A-400A-A718-A022D22539BB}"/>
  </hyperlinks>
  <pageMargins left="0.7" right="0.7" top="0.75" bottom="0.75" header="0.3" footer="0.3"/>
  <drawing r:id="rId17"/>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78963D-3265-44FA-8138-35C2A57258D3}">
  <sheetPr>
    <tabColor theme="3" tint="0.249977111117893"/>
  </sheetPr>
  <dimension ref="A1:M9"/>
  <sheetViews>
    <sheetView tabSelected="1" workbookViewId="0">
      <selection activeCell="L33" sqref="L33"/>
    </sheetView>
  </sheetViews>
  <sheetFormatPr defaultColWidth="8.81640625" defaultRowHeight="14.5" x14ac:dyDescent="0.35"/>
  <sheetData>
    <row r="1" spans="1:13" x14ac:dyDescent="0.35">
      <c r="A1" t="str">
        <f>Aggregation!A1</f>
        <v>Unit:  $/(BTU/yr) - dollars of capital cost for equipment per BTU consumed annually by that equipment</v>
      </c>
      <c r="B1" t="str">
        <f>Aggregation!B1</f>
        <v>electricity if</v>
      </c>
      <c r="C1" t="str">
        <f>Aggregation!C1</f>
        <v>hard coal if</v>
      </c>
      <c r="D1" t="str">
        <f>Aggregation!D1</f>
        <v>natural gas if</v>
      </c>
      <c r="E1" t="str">
        <f>Aggregation!E1</f>
        <v>biomass if</v>
      </c>
      <c r="F1" t="str">
        <f>Aggregation!F1</f>
        <v>petroleum diesel if</v>
      </c>
      <c r="G1" t="str">
        <f>Aggregation!G1</f>
        <v>heat if</v>
      </c>
      <c r="H1" t="str">
        <f>Aggregation!H1</f>
        <v>crude oil if</v>
      </c>
      <c r="I1" t="str">
        <f>Aggregation!I1</f>
        <v>heavy or residual fuel oil if</v>
      </c>
      <c r="J1" t="str">
        <f>Aggregation!J1</f>
        <v>LPG propane or butane if</v>
      </c>
      <c r="K1" t="str">
        <f>Aggregation!K1</f>
        <v>hydrogen if</v>
      </c>
      <c r="L1" t="str">
        <f>Aggregation!L1</f>
        <v>green hydrogen if</v>
      </c>
      <c r="M1" t="str">
        <f>Aggregation!M1</f>
        <v>low carbon hydrogen if</v>
      </c>
    </row>
    <row r="2" spans="1:13" x14ac:dyDescent="0.35">
      <c r="A2" t="str">
        <f>Aggregation!A2</f>
        <v>boilers</v>
      </c>
      <c r="B2">
        <f>Aggregation!B2</f>
        <v>5.6711966224873446E-5</v>
      </c>
      <c r="C2">
        <f>Aggregation!C2</f>
        <v>1.4986595988547842E-5</v>
      </c>
      <c r="D2">
        <f>Aggregation!D2</f>
        <v>1.5989491110961776E-5</v>
      </c>
      <c r="E2">
        <f>Aggregation!E2</f>
        <v>1.4986595988547842E-5</v>
      </c>
      <c r="F2">
        <f>Aggregation!F2</f>
        <v>9.436004881678272E-6</v>
      </c>
      <c r="G2">
        <f>Aggregation!G2</f>
        <v>0</v>
      </c>
      <c r="H2">
        <f>Aggregation!H2</f>
        <v>9.436004881678272E-6</v>
      </c>
      <c r="I2">
        <f>Aggregation!I2</f>
        <v>9.436004881678272E-6</v>
      </c>
      <c r="J2">
        <f>Aggregation!J2</f>
        <v>9.436004881678272E-6</v>
      </c>
      <c r="K2">
        <f>Aggregation!K2</f>
        <v>2.3984236666442662E-5</v>
      </c>
      <c r="L2">
        <f>Aggregation!L2</f>
        <v>2.3984236666442662E-5</v>
      </c>
      <c r="M2">
        <f>Aggregation!M2</f>
        <v>2.3984236666442662E-5</v>
      </c>
    </row>
    <row r="3" spans="1:13" x14ac:dyDescent="0.35">
      <c r="A3" t="str">
        <f>Aggregation!A3</f>
        <v>nonboiler low temp</v>
      </c>
      <c r="B3">
        <f>Aggregation!B3</f>
        <v>5.6711966224873446E-5</v>
      </c>
      <c r="C3">
        <f>Aggregation!C3</f>
        <v>1.4986595988547842E-5</v>
      </c>
      <c r="D3">
        <f>Aggregation!D3</f>
        <v>1.5989491110961776E-5</v>
      </c>
      <c r="E3">
        <f>Aggregation!E3</f>
        <v>1.4986595988547842E-5</v>
      </c>
      <c r="F3">
        <f>Aggregation!F3</f>
        <v>9.436004881678272E-6</v>
      </c>
      <c r="G3">
        <f>Aggregation!G3</f>
        <v>0</v>
      </c>
      <c r="H3">
        <f>Aggregation!H3</f>
        <v>9.436004881678272E-6</v>
      </c>
      <c r="I3">
        <f>Aggregation!I3</f>
        <v>9.436004881678272E-6</v>
      </c>
      <c r="J3">
        <f>Aggregation!J3</f>
        <v>9.436004881678272E-6</v>
      </c>
      <c r="K3">
        <f>Aggregation!K3</f>
        <v>2.3984236666442662E-5</v>
      </c>
      <c r="L3">
        <f>Aggregation!L3</f>
        <v>2.3984236666442662E-5</v>
      </c>
      <c r="M3">
        <f>Aggregation!M3</f>
        <v>2.3984236666442662E-5</v>
      </c>
    </row>
    <row r="4" spans="1:13" x14ac:dyDescent="0.35">
      <c r="A4" t="str">
        <f>Aggregation!A4</f>
        <v>nonboiler med temp</v>
      </c>
      <c r="B4">
        <f>Aggregation!B4</f>
        <v>3.4771933032458345E-5</v>
      </c>
      <c r="C4">
        <f>Aggregation!C4</f>
        <v>3.1780367029653324E-5</v>
      </c>
      <c r="D4">
        <f>Aggregation!D4</f>
        <v>3.1780367029653324E-5</v>
      </c>
      <c r="E4">
        <f>Aggregation!E4</f>
        <v>3.1780367029653324E-5</v>
      </c>
      <c r="F4">
        <f>Aggregation!F4</f>
        <v>3.1780367029653324E-5</v>
      </c>
      <c r="G4">
        <f>Aggregation!G4</f>
        <v>0</v>
      </c>
      <c r="H4">
        <f>Aggregation!H4</f>
        <v>3.1780367029653324E-5</v>
      </c>
      <c r="I4">
        <f>Aggregation!I4</f>
        <v>3.1780367029653324E-5</v>
      </c>
      <c r="J4">
        <f>Aggregation!J4</f>
        <v>3.1780367029653324E-5</v>
      </c>
      <c r="K4">
        <f>Aggregation!K4</f>
        <v>3.1780367029653324E-5</v>
      </c>
      <c r="L4">
        <f>Aggregation!L4</f>
        <v>3.1780367029653324E-5</v>
      </c>
      <c r="M4">
        <f>Aggregation!M4</f>
        <v>3.1780367029653324E-5</v>
      </c>
    </row>
    <row r="5" spans="1:13" x14ac:dyDescent="0.35">
      <c r="A5" t="str">
        <f>Aggregation!A5</f>
        <v>nonboiler high temp</v>
      </c>
      <c r="B5">
        <f>Aggregation!B5</f>
        <v>1.7204637228083889E-4</v>
      </c>
      <c r="C5">
        <f>Aggregation!C5</f>
        <v>4.5951806950193628E-6</v>
      </c>
      <c r="D5">
        <f>Aggregation!D5</f>
        <v>2.0725243194734525E-5</v>
      </c>
      <c r="E5">
        <f>Aggregation!E5</f>
        <v>4.5951806950193628E-6</v>
      </c>
      <c r="F5">
        <f>Aggregation!F5</f>
        <v>1.2230751723262388E-5</v>
      </c>
      <c r="G5">
        <f>Aggregation!G5</f>
        <v>0</v>
      </c>
      <c r="H5">
        <f>Aggregation!H5</f>
        <v>1.2230751723262388E-5</v>
      </c>
      <c r="I5">
        <f>Aggregation!I5</f>
        <v>1.2230751723262388E-5</v>
      </c>
      <c r="J5">
        <f>Aggregation!J5</f>
        <v>1.2230751723262388E-5</v>
      </c>
      <c r="K5">
        <f>Aggregation!K5</f>
        <v>3.265784625690839E-5</v>
      </c>
      <c r="L5">
        <f>Aggregation!L5</f>
        <v>3.265784625690839E-5</v>
      </c>
      <c r="M5">
        <f>Aggregation!M5</f>
        <v>3.265784625690839E-5</v>
      </c>
    </row>
    <row r="6" spans="1:13" x14ac:dyDescent="0.35">
      <c r="A6" t="str">
        <f>Aggregation!A6</f>
        <v>cooling</v>
      </c>
      <c r="B6">
        <f>Aggregation!B6</f>
        <v>4.4520366169683022E-5</v>
      </c>
      <c r="C6">
        <f>Aggregation!C6</f>
        <v>1.8088159747275158E-5</v>
      </c>
      <c r="D6">
        <f>Aggregation!D6</f>
        <v>1.8088159747275158E-5</v>
      </c>
      <c r="E6">
        <f>Aggregation!E6</f>
        <v>1.8088159747275158E-5</v>
      </c>
      <c r="F6">
        <f>Aggregation!F6</f>
        <v>1.8088159747275158E-5</v>
      </c>
      <c r="G6">
        <f>Aggregation!G6</f>
        <v>0</v>
      </c>
      <c r="H6">
        <f>Aggregation!H6</f>
        <v>1.8088159747275158E-5</v>
      </c>
      <c r="I6">
        <f>Aggregation!I6</f>
        <v>1.8088159747275158E-5</v>
      </c>
      <c r="J6">
        <f>Aggregation!J6</f>
        <v>1.8088159747275158E-5</v>
      </c>
      <c r="K6">
        <f>Aggregation!K6</f>
        <v>2.7132239620912736E-5</v>
      </c>
      <c r="L6">
        <f>Aggregation!L6</f>
        <v>2.7132239620912736E-5</v>
      </c>
      <c r="M6">
        <f>Aggregation!M6</f>
        <v>2.7132239620912736E-5</v>
      </c>
    </row>
    <row r="7" spans="1:13" x14ac:dyDescent="0.35">
      <c r="A7" t="str">
        <f>Aggregation!A7</f>
        <v>machine drive</v>
      </c>
      <c r="B7">
        <f>Aggregation!B7</f>
        <v>1.4733459973606227E-4</v>
      </c>
      <c r="C7">
        <f>Aggregation!C7</f>
        <v>7.0734511678239686E-5</v>
      </c>
      <c r="D7">
        <f>Aggregation!D7</f>
        <v>7.0734511678239686E-5</v>
      </c>
      <c r="E7">
        <f>Aggregation!E7</f>
        <v>7.0734511678239686E-5</v>
      </c>
      <c r="F7">
        <f>Aggregation!F7</f>
        <v>7.0734511678239686E-5</v>
      </c>
      <c r="G7">
        <f>Aggregation!G7</f>
        <v>0</v>
      </c>
      <c r="H7">
        <f>Aggregation!H7</f>
        <v>7.0734511678239686E-5</v>
      </c>
      <c r="I7">
        <f>Aggregation!I7</f>
        <v>7.0734511678239686E-5</v>
      </c>
      <c r="J7">
        <f>Aggregation!J7</f>
        <v>7.0734511678239686E-5</v>
      </c>
      <c r="K7">
        <f>Aggregation!K7</f>
        <v>7.0734511678239686E-5</v>
      </c>
      <c r="L7">
        <f>Aggregation!L7</f>
        <v>7.0734511678239686E-5</v>
      </c>
      <c r="M7">
        <f>Aggregation!M7</f>
        <v>7.0734511678239686E-5</v>
      </c>
    </row>
    <row r="8" spans="1:13" x14ac:dyDescent="0.35">
      <c r="A8" t="str">
        <f>Aggregation!A8</f>
        <v>electrochemical</v>
      </c>
      <c r="B8">
        <f>Aggregation!B8</f>
        <v>4.4539618429716232E-5</v>
      </c>
      <c r="C8">
        <f>Aggregation!C8</f>
        <v>0</v>
      </c>
      <c r="D8">
        <f>Aggregation!D8</f>
        <v>0</v>
      </c>
      <c r="E8">
        <f>Aggregation!E8</f>
        <v>0</v>
      </c>
      <c r="F8">
        <f>Aggregation!F8</f>
        <v>0</v>
      </c>
      <c r="G8">
        <f>Aggregation!G8</f>
        <v>0</v>
      </c>
      <c r="H8">
        <f>Aggregation!H8</f>
        <v>0</v>
      </c>
      <c r="I8">
        <f>Aggregation!I8</f>
        <v>0</v>
      </c>
      <c r="J8">
        <f>Aggregation!J8</f>
        <v>0</v>
      </c>
      <c r="K8">
        <f>Aggregation!K8</f>
        <v>0</v>
      </c>
      <c r="L8">
        <f>Aggregation!L8</f>
        <v>0</v>
      </c>
      <c r="M8">
        <f>Aggregation!M8</f>
        <v>0</v>
      </c>
    </row>
    <row r="9" spans="1:13" x14ac:dyDescent="0.35">
      <c r="A9" t="str">
        <f>Aggregation!A9</f>
        <v>other processes</v>
      </c>
      <c r="B9">
        <f>Aggregation!B9</f>
        <v>7.0401933942914745E-6</v>
      </c>
      <c r="C9">
        <f>Aggregation!C9</f>
        <v>2.0886792055175448E-5</v>
      </c>
      <c r="D9">
        <f>Aggregation!D9</f>
        <v>2.2284525195577483E-5</v>
      </c>
      <c r="E9">
        <f>Aggregation!E9</f>
        <v>2.0886792055175448E-5</v>
      </c>
      <c r="F9">
        <f>Aggregation!F9</f>
        <v>1.3150943145851209E-5</v>
      </c>
      <c r="G9">
        <f>Aggregation!G9</f>
        <v>0</v>
      </c>
      <c r="H9">
        <f>Aggregation!H9</f>
        <v>1.3150943145851209E-5</v>
      </c>
      <c r="I9">
        <f>Aggregation!I9</f>
        <v>1.3150943145851209E-5</v>
      </c>
      <c r="J9">
        <f>Aggregation!J9</f>
        <v>1.3150943145851209E-5</v>
      </c>
      <c r="K9">
        <f>Aggregation!K9</f>
        <v>3.3426787793366228E-5</v>
      </c>
      <c r="L9">
        <f>Aggregation!L9</f>
        <v>3.3426787793366228E-5</v>
      </c>
      <c r="M9">
        <f>Aggregation!M9</f>
        <v>3.3426787793366228E-5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8C19FD-7E25-465C-BF9B-84ECCFD8C3AD}">
  <dimension ref="A1:G60"/>
  <sheetViews>
    <sheetView workbookViewId="0"/>
  </sheetViews>
  <sheetFormatPr defaultColWidth="8.81640625" defaultRowHeight="14.5" x14ac:dyDescent="0.35"/>
  <cols>
    <col min="1" max="1" width="30.453125" customWidth="1"/>
    <col min="2" max="2" width="20.453125" customWidth="1"/>
    <col min="3" max="3" width="19.81640625" customWidth="1"/>
    <col min="4" max="4" width="18.453125" customWidth="1"/>
    <col min="5" max="5" width="18.26953125" customWidth="1"/>
    <col min="6" max="6" width="17.7265625" customWidth="1"/>
    <col min="7" max="7" width="20.26953125" customWidth="1"/>
    <col min="8" max="8" width="12" bestFit="1" customWidth="1"/>
  </cols>
  <sheetData>
    <row r="1" spans="1:4" x14ac:dyDescent="0.35">
      <c r="A1" s="17" t="s">
        <v>28</v>
      </c>
      <c r="B1" s="18"/>
      <c r="C1" s="18"/>
      <c r="D1" s="18"/>
    </row>
    <row r="2" spans="1:4" x14ac:dyDescent="0.35">
      <c r="A2" s="24" t="s">
        <v>79</v>
      </c>
    </row>
    <row r="3" spans="1:4" x14ac:dyDescent="0.35">
      <c r="A3" s="24" t="s">
        <v>80</v>
      </c>
    </row>
    <row r="4" spans="1:4" x14ac:dyDescent="0.35">
      <c r="A4" s="1"/>
    </row>
    <row r="5" spans="1:4" ht="29" x14ac:dyDescent="0.35">
      <c r="B5" s="6" t="s">
        <v>20</v>
      </c>
      <c r="C5" s="6" t="s">
        <v>21</v>
      </c>
      <c r="D5" s="7" t="s">
        <v>22</v>
      </c>
    </row>
    <row r="6" spans="1:4" x14ac:dyDescent="0.35">
      <c r="A6" t="s">
        <v>23</v>
      </c>
      <c r="B6">
        <v>56603</v>
      </c>
      <c r="C6" s="8">
        <v>750000</v>
      </c>
      <c r="D6" s="9">
        <f>C6/(B6*10^6)</f>
        <v>1.3250181085808173E-5</v>
      </c>
    </row>
    <row r="7" spans="1:4" x14ac:dyDescent="0.35">
      <c r="A7" t="s">
        <v>24</v>
      </c>
      <c r="B7">
        <v>25717</v>
      </c>
      <c r="C7" s="8">
        <v>700000</v>
      </c>
      <c r="D7" s="9">
        <f t="shared" ref="D7:D9" si="0">C7/(B7*10^6)</f>
        <v>2.7219349068709415E-5</v>
      </c>
    </row>
    <row r="8" spans="1:4" x14ac:dyDescent="0.35">
      <c r="A8" t="s">
        <v>25</v>
      </c>
      <c r="B8">
        <v>60507</v>
      </c>
      <c r="C8" s="8">
        <v>1250000</v>
      </c>
      <c r="D8" s="9">
        <f t="shared" si="0"/>
        <v>2.0658766754259837E-5</v>
      </c>
    </row>
    <row r="9" spans="1:4" x14ac:dyDescent="0.35">
      <c r="A9" s="1" t="s">
        <v>26</v>
      </c>
      <c r="B9">
        <f>AVERAGE(B6:B8)</f>
        <v>47609</v>
      </c>
      <c r="C9">
        <f>AVERAGE(C6:C8)</f>
        <v>900000</v>
      </c>
      <c r="D9" s="10">
        <f t="shared" si="0"/>
        <v>1.8903988741624482E-5</v>
      </c>
    </row>
    <row r="11" spans="1:4" x14ac:dyDescent="0.35">
      <c r="A11" t="s">
        <v>41</v>
      </c>
    </row>
    <row r="12" spans="1:4" x14ac:dyDescent="0.35">
      <c r="A12" t="s">
        <v>27</v>
      </c>
    </row>
    <row r="14" spans="1:4" x14ac:dyDescent="0.35">
      <c r="A14" t="s">
        <v>34</v>
      </c>
    </row>
    <row r="15" spans="1:4" x14ac:dyDescent="0.35">
      <c r="A15">
        <v>3</v>
      </c>
      <c r="B15" t="s">
        <v>35</v>
      </c>
      <c r="C15" t="s">
        <v>42</v>
      </c>
    </row>
    <row r="17" spans="1:5" x14ac:dyDescent="0.35">
      <c r="A17" t="s">
        <v>40</v>
      </c>
    </row>
    <row r="18" spans="1:5" x14ac:dyDescent="0.35">
      <c r="A18" s="12">
        <f>D9*A15</f>
        <v>5.6711966224873446E-5</v>
      </c>
      <c r="B18" t="s">
        <v>46</v>
      </c>
    </row>
    <row r="20" spans="1:5" x14ac:dyDescent="0.35">
      <c r="A20" s="17" t="s">
        <v>43</v>
      </c>
      <c r="B20" s="18"/>
      <c r="C20" s="18"/>
      <c r="D20" s="18"/>
      <c r="E20" s="18"/>
    </row>
    <row r="22" spans="1:5" x14ac:dyDescent="0.35">
      <c r="A22" t="s">
        <v>301</v>
      </c>
    </row>
    <row r="24" spans="1:5" x14ac:dyDescent="0.35">
      <c r="A24" t="s">
        <v>302</v>
      </c>
      <c r="B24" s="8">
        <v>80375</v>
      </c>
    </row>
    <row r="25" spans="1:5" x14ac:dyDescent="0.35">
      <c r="A25" t="s">
        <v>303</v>
      </c>
      <c r="B25" s="8">
        <v>91475</v>
      </c>
    </row>
    <row r="26" spans="1:5" x14ac:dyDescent="0.35">
      <c r="A26" t="s">
        <v>304</v>
      </c>
      <c r="B26" s="8">
        <f>AVERAGE(B24:B25)</f>
        <v>85925</v>
      </c>
    </row>
    <row r="28" spans="1:5" x14ac:dyDescent="0.35">
      <c r="A28" t="s">
        <v>305</v>
      </c>
      <c r="B28">
        <v>400</v>
      </c>
    </row>
    <row r="29" spans="1:5" x14ac:dyDescent="0.35">
      <c r="A29" t="s">
        <v>306</v>
      </c>
      <c r="B29">
        <v>0.74570000000000003</v>
      </c>
    </row>
    <row r="30" spans="1:5" x14ac:dyDescent="0.35">
      <c r="A30" t="s">
        <v>118</v>
      </c>
      <c r="B30">
        <f>B28*B29</f>
        <v>298.28000000000003</v>
      </c>
    </row>
    <row r="32" spans="1:5" x14ac:dyDescent="0.35">
      <c r="A32" s="11" t="s">
        <v>56</v>
      </c>
      <c r="B32" s="22">
        <v>5280</v>
      </c>
    </row>
    <row r="34" spans="1:7" x14ac:dyDescent="0.35">
      <c r="A34" t="s">
        <v>307</v>
      </c>
      <c r="B34">
        <f>B30*B32</f>
        <v>1574918.4000000001</v>
      </c>
      <c r="C34" t="s">
        <v>200</v>
      </c>
    </row>
    <row r="35" spans="1:7" x14ac:dyDescent="0.35">
      <c r="A35" t="s">
        <v>55</v>
      </c>
      <c r="B35">
        <v>3412.14</v>
      </c>
      <c r="C35" t="s">
        <v>59</v>
      </c>
    </row>
    <row r="36" spans="1:7" x14ac:dyDescent="0.35">
      <c r="A36" t="s">
        <v>307</v>
      </c>
      <c r="B36">
        <f>B34*B35</f>
        <v>5373842069.3760004</v>
      </c>
      <c r="C36" t="s">
        <v>269</v>
      </c>
    </row>
    <row r="38" spans="1:7" x14ac:dyDescent="0.35">
      <c r="A38" s="1" t="s">
        <v>45</v>
      </c>
    </row>
    <row r="39" spans="1:7" x14ac:dyDescent="0.35">
      <c r="A39" s="12">
        <f>B26/B36</f>
        <v>1.5989491110961776E-5</v>
      </c>
      <c r="B39" t="s">
        <v>46</v>
      </c>
    </row>
    <row r="41" spans="1:7" x14ac:dyDescent="0.35">
      <c r="A41" s="17" t="s">
        <v>49</v>
      </c>
      <c r="B41" s="18"/>
      <c r="C41" s="18"/>
      <c r="D41" s="18"/>
      <c r="E41" s="18"/>
    </row>
    <row r="42" spans="1:7" s="3" customFormat="1" ht="29" x14ac:dyDescent="0.35">
      <c r="B42" s="6" t="s">
        <v>54</v>
      </c>
      <c r="C42" s="6" t="s">
        <v>53</v>
      </c>
      <c r="D42" s="6" t="s">
        <v>61</v>
      </c>
      <c r="E42" s="6" t="s">
        <v>69</v>
      </c>
      <c r="F42" s="23" t="s">
        <v>70</v>
      </c>
      <c r="G42" s="23" t="s">
        <v>78</v>
      </c>
    </row>
    <row r="43" spans="1:7" x14ac:dyDescent="0.35">
      <c r="A43" t="s">
        <v>50</v>
      </c>
      <c r="B43">
        <v>2000</v>
      </c>
      <c r="C43">
        <v>300</v>
      </c>
      <c r="D43">
        <f>B43*C43</f>
        <v>600000</v>
      </c>
      <c r="E43" s="19">
        <v>0.9</v>
      </c>
      <c r="F43">
        <f>$B$50/E43</f>
        <v>40035776000</v>
      </c>
      <c r="G43" s="12">
        <f>D43/F43</f>
        <v>1.4986595988547842E-5</v>
      </c>
    </row>
    <row r="44" spans="1:7" x14ac:dyDescent="0.35">
      <c r="A44" t="s">
        <v>51</v>
      </c>
      <c r="B44">
        <v>2000</v>
      </c>
      <c r="C44">
        <v>200</v>
      </c>
      <c r="D44">
        <f t="shared" ref="D44:D45" si="1">B44*C44</f>
        <v>400000</v>
      </c>
      <c r="E44" s="19">
        <v>0.85</v>
      </c>
      <c r="F44">
        <f t="shared" ref="F44:F45" si="2">$B$50/E44</f>
        <v>42390821647.058823</v>
      </c>
      <c r="G44" s="12">
        <f t="shared" ref="G44:G45" si="3">D44/F44</f>
        <v>9.436004881678272E-6</v>
      </c>
    </row>
    <row r="45" spans="1:7" x14ac:dyDescent="0.35">
      <c r="A45" t="s">
        <v>52</v>
      </c>
      <c r="B45">
        <v>2000</v>
      </c>
      <c r="C45">
        <v>100</v>
      </c>
      <c r="D45">
        <f t="shared" si="1"/>
        <v>200000</v>
      </c>
      <c r="E45" s="19">
        <v>0.95</v>
      </c>
      <c r="F45">
        <f t="shared" si="2"/>
        <v>37928629894.736847</v>
      </c>
      <c r="G45" s="9">
        <f t="shared" si="3"/>
        <v>5.2730615515260925E-6</v>
      </c>
    </row>
    <row r="47" spans="1:7" x14ac:dyDescent="0.35">
      <c r="B47" s="7" t="s">
        <v>60</v>
      </c>
      <c r="C47" s="1" t="s">
        <v>58</v>
      </c>
    </row>
    <row r="48" spans="1:7" x14ac:dyDescent="0.35">
      <c r="A48" t="s">
        <v>68</v>
      </c>
      <c r="B48">
        <f>B43*B32</f>
        <v>10560000</v>
      </c>
      <c r="C48" t="s">
        <v>57</v>
      </c>
    </row>
    <row r="49" spans="1:4" x14ac:dyDescent="0.35">
      <c r="A49" t="s">
        <v>55</v>
      </c>
      <c r="B49">
        <v>3412.14</v>
      </c>
      <c r="C49" t="s">
        <v>59</v>
      </c>
    </row>
    <row r="50" spans="1:4" x14ac:dyDescent="0.35">
      <c r="A50" t="s">
        <v>68</v>
      </c>
      <c r="B50">
        <f>B48*B49</f>
        <v>36032198400</v>
      </c>
      <c r="C50" t="s">
        <v>44</v>
      </c>
    </row>
    <row r="52" spans="1:4" x14ac:dyDescent="0.35">
      <c r="A52" t="s">
        <v>66</v>
      </c>
    </row>
    <row r="53" spans="1:4" x14ac:dyDescent="0.35">
      <c r="A53" t="s">
        <v>67</v>
      </c>
    </row>
    <row r="55" spans="1:4" x14ac:dyDescent="0.35">
      <c r="A55" s="17" t="s">
        <v>75</v>
      </c>
      <c r="B55" s="18"/>
      <c r="C55" s="18"/>
      <c r="D55" s="18"/>
    </row>
    <row r="57" spans="1:4" x14ac:dyDescent="0.35">
      <c r="A57" t="s">
        <v>76</v>
      </c>
      <c r="B57" s="8"/>
    </row>
    <row r="58" spans="1:4" x14ac:dyDescent="0.35">
      <c r="A58" t="s">
        <v>77</v>
      </c>
      <c r="B58" s="20"/>
    </row>
    <row r="60" spans="1:4" x14ac:dyDescent="0.35">
      <c r="A60" s="12">
        <f>A39*1.5</f>
        <v>2.3984236666442662E-5</v>
      </c>
      <c r="B60" t="s">
        <v>46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F01FE5-63BE-403B-999E-6276154EBF72}">
  <dimension ref="A1:D49"/>
  <sheetViews>
    <sheetView workbookViewId="0"/>
  </sheetViews>
  <sheetFormatPr defaultColWidth="8.81640625" defaultRowHeight="14.5" x14ac:dyDescent="0.35"/>
  <cols>
    <col min="1" max="1" width="53.26953125" customWidth="1"/>
    <col min="2" max="2" width="12" bestFit="1" customWidth="1"/>
  </cols>
  <sheetData>
    <row r="1" spans="1:3" x14ac:dyDescent="0.35">
      <c r="A1" s="17" t="s">
        <v>82</v>
      </c>
      <c r="B1" s="18"/>
      <c r="C1" s="18"/>
    </row>
    <row r="3" spans="1:3" x14ac:dyDescent="0.35">
      <c r="A3" s="11" t="s">
        <v>106</v>
      </c>
    </row>
    <row r="5" spans="1:3" x14ac:dyDescent="0.35">
      <c r="A5" t="s">
        <v>83</v>
      </c>
      <c r="B5" s="8">
        <v>307500</v>
      </c>
      <c r="C5" t="s">
        <v>87</v>
      </c>
    </row>
    <row r="6" spans="1:3" x14ac:dyDescent="0.35">
      <c r="A6" t="s">
        <v>84</v>
      </c>
      <c r="B6">
        <v>4000</v>
      </c>
      <c r="C6" t="s">
        <v>88</v>
      </c>
    </row>
    <row r="8" spans="1:3" x14ac:dyDescent="0.35">
      <c r="A8" t="s">
        <v>85</v>
      </c>
      <c r="B8" s="8">
        <v>75863</v>
      </c>
      <c r="C8" t="s">
        <v>87</v>
      </c>
    </row>
    <row r="9" spans="1:3" x14ac:dyDescent="0.35">
      <c r="A9" t="s">
        <v>86</v>
      </c>
      <c r="B9" s="8">
        <v>6226</v>
      </c>
      <c r="C9" t="s">
        <v>87</v>
      </c>
    </row>
    <row r="11" spans="1:3" x14ac:dyDescent="0.35">
      <c r="A11" t="s">
        <v>89</v>
      </c>
      <c r="B11" s="25">
        <v>0.45</v>
      </c>
      <c r="C11" t="s">
        <v>90</v>
      </c>
    </row>
    <row r="12" spans="1:3" x14ac:dyDescent="0.35">
      <c r="A12" t="s">
        <v>91</v>
      </c>
      <c r="B12" s="25">
        <v>0.15</v>
      </c>
      <c r="C12" t="s">
        <v>92</v>
      </c>
    </row>
    <row r="14" spans="1:3" x14ac:dyDescent="0.35">
      <c r="A14" t="s">
        <v>93</v>
      </c>
      <c r="B14" s="21">
        <f>B8/B11</f>
        <v>168584.44444444444</v>
      </c>
      <c r="C14" t="s">
        <v>94</v>
      </c>
    </row>
    <row r="15" spans="1:3" x14ac:dyDescent="0.35">
      <c r="A15" t="s">
        <v>95</v>
      </c>
      <c r="B15" s="21">
        <f>B9/B12</f>
        <v>41506.666666666672</v>
      </c>
      <c r="C15" t="s">
        <v>57</v>
      </c>
    </row>
    <row r="17" spans="1:3" x14ac:dyDescent="0.35">
      <c r="A17" t="s">
        <v>55</v>
      </c>
      <c r="B17">
        <v>100000</v>
      </c>
      <c r="C17" t="s">
        <v>96</v>
      </c>
    </row>
    <row r="18" spans="1:3" x14ac:dyDescent="0.35">
      <c r="A18" t="s">
        <v>55</v>
      </c>
      <c r="B18">
        <v>3412.14</v>
      </c>
      <c r="C18" t="s">
        <v>59</v>
      </c>
    </row>
    <row r="20" spans="1:3" x14ac:dyDescent="0.35">
      <c r="A20" t="s">
        <v>93</v>
      </c>
      <c r="B20" s="9">
        <f>B14*B17</f>
        <v>16858444444.444445</v>
      </c>
      <c r="C20" t="s">
        <v>44</v>
      </c>
    </row>
    <row r="21" spans="1:3" x14ac:dyDescent="0.35">
      <c r="A21" t="s">
        <v>95</v>
      </c>
      <c r="B21" s="9">
        <f>B15*B18</f>
        <v>141626557.60000002</v>
      </c>
      <c r="C21" t="s">
        <v>44</v>
      </c>
    </row>
    <row r="23" spans="1:3" x14ac:dyDescent="0.35">
      <c r="A23" t="s">
        <v>97</v>
      </c>
    </row>
    <row r="24" spans="1:3" x14ac:dyDescent="0.35">
      <c r="A24" t="s">
        <v>98</v>
      </c>
    </row>
    <row r="26" spans="1:3" x14ac:dyDescent="0.35">
      <c r="A26" t="s">
        <v>99</v>
      </c>
      <c r="B26" s="9">
        <f>SUM(B20:B21)</f>
        <v>17000071002.044445</v>
      </c>
      <c r="C26" t="s">
        <v>44</v>
      </c>
    </row>
    <row r="27" spans="1:3" x14ac:dyDescent="0.35">
      <c r="A27" t="s">
        <v>100</v>
      </c>
      <c r="B27" s="12">
        <f>B5/B26</f>
        <v>1.8088159747275158E-5</v>
      </c>
      <c r="C27" t="s">
        <v>46</v>
      </c>
    </row>
    <row r="29" spans="1:3" x14ac:dyDescent="0.35">
      <c r="A29" s="17" t="s">
        <v>107</v>
      </c>
      <c r="B29" s="18"/>
      <c r="C29" s="18"/>
    </row>
    <row r="31" spans="1:3" x14ac:dyDescent="0.35">
      <c r="A31" s="1" t="s">
        <v>108</v>
      </c>
    </row>
    <row r="32" spans="1:3" x14ac:dyDescent="0.35">
      <c r="A32" t="s">
        <v>110</v>
      </c>
      <c r="B32" s="8">
        <v>200</v>
      </c>
      <c r="C32" t="s">
        <v>109</v>
      </c>
    </row>
    <row r="33" spans="1:4" x14ac:dyDescent="0.35">
      <c r="A33" t="s">
        <v>111</v>
      </c>
      <c r="B33" s="8">
        <v>500</v>
      </c>
      <c r="C33" t="s">
        <v>109</v>
      </c>
    </row>
    <row r="34" spans="1:4" x14ac:dyDescent="0.35">
      <c r="A34" t="s">
        <v>112</v>
      </c>
      <c r="B34" s="8">
        <f>AVERAGE(B32:B33)</f>
        <v>350</v>
      </c>
      <c r="C34" t="s">
        <v>109</v>
      </c>
    </row>
    <row r="36" spans="1:4" x14ac:dyDescent="0.35">
      <c r="A36" t="s">
        <v>113</v>
      </c>
      <c r="B36">
        <v>500</v>
      </c>
      <c r="C36" t="s">
        <v>114</v>
      </c>
      <c r="D36" t="s">
        <v>119</v>
      </c>
    </row>
    <row r="38" spans="1:4" x14ac:dyDescent="0.35">
      <c r="A38" t="s">
        <v>115</v>
      </c>
      <c r="B38" s="8">
        <f>B34*B36</f>
        <v>175000</v>
      </c>
      <c r="C38" t="s">
        <v>87</v>
      </c>
    </row>
    <row r="41" spans="1:4" x14ac:dyDescent="0.35">
      <c r="A41" t="s">
        <v>116</v>
      </c>
      <c r="B41">
        <v>0.57599999999999996</v>
      </c>
      <c r="C41" t="s">
        <v>117</v>
      </c>
    </row>
    <row r="42" spans="1:4" x14ac:dyDescent="0.35">
      <c r="A42" t="s">
        <v>120</v>
      </c>
      <c r="B42">
        <f>B41*B36</f>
        <v>288</v>
      </c>
      <c r="C42" t="s">
        <v>118</v>
      </c>
    </row>
    <row r="44" spans="1:4" x14ac:dyDescent="0.35">
      <c r="A44" t="s">
        <v>84</v>
      </c>
      <c r="B44">
        <f>B6</f>
        <v>4000</v>
      </c>
      <c r="C44" t="s">
        <v>88</v>
      </c>
      <c r="D44" t="s">
        <v>119</v>
      </c>
    </row>
    <row r="46" spans="1:4" x14ac:dyDescent="0.35">
      <c r="A46" t="s">
        <v>95</v>
      </c>
      <c r="B46">
        <f>B42*B44</f>
        <v>1152000</v>
      </c>
      <c r="C46" t="s">
        <v>57</v>
      </c>
    </row>
    <row r="47" spans="1:4" x14ac:dyDescent="0.35">
      <c r="A47" t="s">
        <v>95</v>
      </c>
      <c r="B47" s="9">
        <f>B46*B18</f>
        <v>3930785280</v>
      </c>
      <c r="C47" t="s">
        <v>44</v>
      </c>
    </row>
    <row r="49" spans="1:3" x14ac:dyDescent="0.35">
      <c r="A49" t="s">
        <v>100</v>
      </c>
      <c r="B49" s="12">
        <f>B38/B47</f>
        <v>4.4520366169683022E-5</v>
      </c>
      <c r="C49" t="s">
        <v>46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F9C022-A310-4BEE-BA08-E19CC60071F1}">
  <dimension ref="A1:E54"/>
  <sheetViews>
    <sheetView workbookViewId="0"/>
  </sheetViews>
  <sheetFormatPr defaultColWidth="11.453125" defaultRowHeight="14.5" x14ac:dyDescent="0.35"/>
  <cols>
    <col min="1" max="1" width="34.453125" customWidth="1"/>
    <col min="2" max="2" width="19.81640625" customWidth="1"/>
    <col min="3" max="3" width="22.7265625" customWidth="1"/>
    <col min="4" max="4" width="20.81640625" customWidth="1"/>
    <col min="5" max="6" width="20.7265625" customWidth="1"/>
    <col min="7" max="7" width="17" customWidth="1"/>
    <col min="8" max="8" width="18.81640625" customWidth="1"/>
  </cols>
  <sheetData>
    <row r="1" spans="1:4" x14ac:dyDescent="0.35">
      <c r="A1" s="17" t="s">
        <v>376</v>
      </c>
      <c r="B1" s="18"/>
      <c r="C1" s="18"/>
      <c r="D1" s="18"/>
    </row>
    <row r="3" spans="1:4" x14ac:dyDescent="0.35">
      <c r="A3" s="42" t="s">
        <v>347</v>
      </c>
      <c r="B3" s="43"/>
      <c r="C3" s="11" t="s">
        <v>356</v>
      </c>
    </row>
    <row r="4" spans="1:4" x14ac:dyDescent="0.35">
      <c r="A4" s="1" t="s">
        <v>340</v>
      </c>
      <c r="B4" s="1" t="s">
        <v>348</v>
      </c>
      <c r="C4" s="1"/>
    </row>
    <row r="5" spans="1:4" x14ac:dyDescent="0.35">
      <c r="A5" t="s">
        <v>342</v>
      </c>
      <c r="B5">
        <v>492000</v>
      </c>
      <c r="C5" s="44"/>
    </row>
    <row r="6" spans="1:4" x14ac:dyDescent="0.35">
      <c r="A6" t="s">
        <v>349</v>
      </c>
      <c r="B6">
        <v>135000</v>
      </c>
      <c r="C6" s="44"/>
    </row>
    <row r="7" spans="1:4" x14ac:dyDescent="0.35">
      <c r="A7" t="s">
        <v>350</v>
      </c>
      <c r="B7">
        <v>474000</v>
      </c>
      <c r="C7" s="44"/>
    </row>
    <row r="8" spans="1:4" x14ac:dyDescent="0.35">
      <c r="A8" t="s">
        <v>351</v>
      </c>
      <c r="B8">
        <v>70000</v>
      </c>
      <c r="C8" s="44"/>
    </row>
    <row r="9" spans="1:4" x14ac:dyDescent="0.35">
      <c r="A9" t="s">
        <v>352</v>
      </c>
      <c r="B9">
        <v>22000</v>
      </c>
      <c r="C9" s="44"/>
    </row>
    <row r="10" spans="1:4" x14ac:dyDescent="0.35">
      <c r="A10" t="s">
        <v>353</v>
      </c>
      <c r="B10">
        <v>18000</v>
      </c>
      <c r="C10" s="44"/>
    </row>
    <row r="11" spans="1:4" x14ac:dyDescent="0.35">
      <c r="A11" t="s">
        <v>354</v>
      </c>
      <c r="B11">
        <v>216000</v>
      </c>
      <c r="C11" s="44"/>
    </row>
    <row r="12" spans="1:4" x14ac:dyDescent="0.35">
      <c r="A12" t="s">
        <v>346</v>
      </c>
      <c r="B12">
        <v>51000</v>
      </c>
      <c r="C12" s="44"/>
    </row>
    <row r="13" spans="1:4" x14ac:dyDescent="0.35">
      <c r="A13" t="s">
        <v>355</v>
      </c>
      <c r="B13">
        <v>125000</v>
      </c>
      <c r="C13" s="44"/>
    </row>
    <row r="15" spans="1:4" x14ac:dyDescent="0.35">
      <c r="A15" s="42" t="s">
        <v>361</v>
      </c>
      <c r="B15" s="43"/>
      <c r="C15" s="11" t="s">
        <v>364</v>
      </c>
    </row>
    <row r="16" spans="1:4" x14ac:dyDescent="0.35">
      <c r="A16" s="1" t="s">
        <v>340</v>
      </c>
      <c r="B16" s="1" t="s">
        <v>362</v>
      </c>
    </row>
    <row r="17" spans="1:5" x14ac:dyDescent="0.35">
      <c r="A17" t="s">
        <v>342</v>
      </c>
      <c r="B17" s="20">
        <v>13400</v>
      </c>
    </row>
    <row r="18" spans="1:5" x14ac:dyDescent="0.35">
      <c r="A18" t="s">
        <v>345</v>
      </c>
      <c r="B18" s="20">
        <v>5300</v>
      </c>
    </row>
    <row r="19" spans="1:5" x14ac:dyDescent="0.35">
      <c r="A19" t="s">
        <v>363</v>
      </c>
      <c r="B19" s="20">
        <v>13600</v>
      </c>
    </row>
    <row r="21" spans="1:5" x14ac:dyDescent="0.35">
      <c r="A21" s="42" t="s">
        <v>366</v>
      </c>
      <c r="B21" s="43"/>
      <c r="C21" s="43"/>
      <c r="D21" s="43"/>
      <c r="E21" s="11" t="s">
        <v>370</v>
      </c>
    </row>
    <row r="22" spans="1:5" x14ac:dyDescent="0.35">
      <c r="A22" s="1" t="s">
        <v>341</v>
      </c>
      <c r="B22" s="1" t="s">
        <v>367</v>
      </c>
      <c r="C22" s="1" t="s">
        <v>368</v>
      </c>
      <c r="D22" s="1" t="s">
        <v>369</v>
      </c>
    </row>
    <row r="23" spans="1:5" x14ac:dyDescent="0.35">
      <c r="A23" t="s">
        <v>343</v>
      </c>
      <c r="B23">
        <v>4380</v>
      </c>
      <c r="D23">
        <v>15</v>
      </c>
    </row>
    <row r="24" spans="1:5" x14ac:dyDescent="0.35">
      <c r="A24" t="s">
        <v>344</v>
      </c>
      <c r="B24">
        <v>4380</v>
      </c>
      <c r="C24">
        <v>56000</v>
      </c>
    </row>
    <row r="27" spans="1:5" x14ac:dyDescent="0.35">
      <c r="A27" s="16" t="s">
        <v>383</v>
      </c>
      <c r="B27" s="40"/>
      <c r="C27" s="40"/>
      <c r="D27" s="40"/>
    </row>
    <row r="28" spans="1:5" x14ac:dyDescent="0.35">
      <c r="A28" t="s">
        <v>377</v>
      </c>
    </row>
    <row r="29" spans="1:5" x14ac:dyDescent="0.35">
      <c r="A29" t="s">
        <v>378</v>
      </c>
    </row>
    <row r="30" spans="1:5" x14ac:dyDescent="0.35">
      <c r="A30" t="s">
        <v>379</v>
      </c>
    </row>
    <row r="31" spans="1:5" x14ac:dyDescent="0.35">
      <c r="A31" t="s">
        <v>380</v>
      </c>
    </row>
    <row r="32" spans="1:5" x14ac:dyDescent="0.35">
      <c r="A32" t="s">
        <v>381</v>
      </c>
    </row>
    <row r="33" spans="1:4" x14ac:dyDescent="0.35">
      <c r="A33" s="1" t="s">
        <v>382</v>
      </c>
      <c r="B33" s="1">
        <f>Boilers!B32</f>
        <v>5280</v>
      </c>
    </row>
    <row r="36" spans="1:4" x14ac:dyDescent="0.35">
      <c r="A36" s="16" t="s">
        <v>55</v>
      </c>
      <c r="B36" s="47">
        <v>3412.14</v>
      </c>
      <c r="C36" s="40" t="s">
        <v>59</v>
      </c>
    </row>
    <row r="37" spans="1:4" x14ac:dyDescent="0.35">
      <c r="B37" s="32"/>
    </row>
    <row r="38" spans="1:4" x14ac:dyDescent="0.35">
      <c r="A38" s="46" t="s">
        <v>371</v>
      </c>
      <c r="B38" s="45"/>
      <c r="C38" s="45"/>
      <c r="D38" s="45"/>
    </row>
    <row r="39" spans="1:4" x14ac:dyDescent="0.35">
      <c r="A39" s="1" t="s">
        <v>341</v>
      </c>
      <c r="B39" s="7" t="s">
        <v>372</v>
      </c>
      <c r="C39" s="7" t="s">
        <v>373</v>
      </c>
      <c r="D39" s="7" t="s">
        <v>374</v>
      </c>
    </row>
    <row r="40" spans="1:4" x14ac:dyDescent="0.35">
      <c r="A40" t="s">
        <v>343</v>
      </c>
      <c r="B40">
        <f>$B$33*D23*B36</f>
        <v>270241488</v>
      </c>
      <c r="C40" s="25">
        <f>($B$17*$B$5+$B$18*SUM($B$6:$B$7)+$B$19*$B$13)/SUM($B$5:$B$7,$B$13)</f>
        <v>9396.8189233278954</v>
      </c>
      <c r="D40" s="12">
        <f>C40/B40</f>
        <v>3.4771933032458345E-5</v>
      </c>
    </row>
    <row r="41" spans="1:4" x14ac:dyDescent="0.35">
      <c r="A41" t="s">
        <v>344</v>
      </c>
      <c r="B41">
        <f>$B$33*C24</f>
        <v>295680000</v>
      </c>
      <c r="C41" s="25">
        <f>($B$17*$B$5+$B$18*SUM($B$6:$B$7)+$B$19*$B$13)/SUM($B$5:$B$7,$B$13)</f>
        <v>9396.8189233278954</v>
      </c>
      <c r="D41" s="12">
        <f>C41/B41</f>
        <v>3.1780367029653324E-5</v>
      </c>
    </row>
    <row r="50" spans="1:4" x14ac:dyDescent="0.35">
      <c r="A50" s="11" t="s">
        <v>375</v>
      </c>
    </row>
    <row r="51" spans="1:4" x14ac:dyDescent="0.35">
      <c r="A51" s="42" t="s">
        <v>357</v>
      </c>
      <c r="B51" s="43"/>
      <c r="C51" s="43"/>
      <c r="D51" s="11" t="s">
        <v>365</v>
      </c>
    </row>
    <row r="52" spans="1:4" x14ac:dyDescent="0.35">
      <c r="A52" s="1" t="s">
        <v>358</v>
      </c>
      <c r="B52" s="7" t="s">
        <v>359</v>
      </c>
      <c r="C52" s="1" t="s">
        <v>360</v>
      </c>
    </row>
    <row r="53" spans="1:4" x14ac:dyDescent="0.35">
      <c r="A53" t="s">
        <v>343</v>
      </c>
      <c r="B53">
        <v>722000</v>
      </c>
      <c r="C53" s="44">
        <f>B53/SUM($B$53:$B$54)</f>
        <v>0.45012468827930174</v>
      </c>
    </row>
    <row r="54" spans="1:4" x14ac:dyDescent="0.35">
      <c r="A54" t="s">
        <v>344</v>
      </c>
      <c r="B54">
        <v>882000</v>
      </c>
      <c r="C54" s="44">
        <f>B54/SUM($B$53:$B$54)</f>
        <v>0.54987531172069826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3E7825-E51A-4EE8-BEA7-048823A51DEE}">
  <dimension ref="A1:I67"/>
  <sheetViews>
    <sheetView workbookViewId="0"/>
  </sheetViews>
  <sheetFormatPr defaultColWidth="8.81640625" defaultRowHeight="14.5" x14ac:dyDescent="0.35"/>
  <cols>
    <col min="1" max="1" width="13.81640625" customWidth="1"/>
    <col min="4" max="4" width="11.453125" customWidth="1"/>
    <col min="6" max="6" width="17.7265625" customWidth="1"/>
    <col min="9" max="9" width="9.26953125" customWidth="1"/>
  </cols>
  <sheetData>
    <row r="1" spans="1:9" x14ac:dyDescent="0.35">
      <c r="A1" s="17" t="s">
        <v>193</v>
      </c>
      <c r="B1" s="18"/>
      <c r="C1" s="18"/>
      <c r="D1" s="18"/>
      <c r="E1" s="18"/>
      <c r="F1" s="18"/>
      <c r="G1" s="18"/>
    </row>
    <row r="2" spans="1:9" x14ac:dyDescent="0.35">
      <c r="I2" s="1" t="s">
        <v>207</v>
      </c>
    </row>
    <row r="3" spans="1:9" x14ac:dyDescent="0.35">
      <c r="A3" t="s">
        <v>194</v>
      </c>
      <c r="C3" s="25"/>
      <c r="F3" s="25">
        <f>254*1.04</f>
        <v>264.16000000000003</v>
      </c>
      <c r="G3" t="s">
        <v>195</v>
      </c>
      <c r="I3" s="15" t="s">
        <v>213</v>
      </c>
    </row>
    <row r="4" spans="1:9" x14ac:dyDescent="0.35">
      <c r="A4" t="s">
        <v>196</v>
      </c>
      <c r="F4">
        <v>450</v>
      </c>
      <c r="G4" t="s">
        <v>197</v>
      </c>
      <c r="I4" s="15" t="s">
        <v>209</v>
      </c>
    </row>
    <row r="5" spans="1:9" x14ac:dyDescent="0.35">
      <c r="A5" t="s">
        <v>198</v>
      </c>
      <c r="C5" s="32"/>
      <c r="F5" s="32">
        <v>800000</v>
      </c>
      <c r="G5" t="s">
        <v>199</v>
      </c>
      <c r="I5" s="15" t="s">
        <v>211</v>
      </c>
    </row>
    <row r="7" spans="1:9" x14ac:dyDescent="0.35">
      <c r="A7" t="s">
        <v>202</v>
      </c>
      <c r="F7">
        <f>F4*F5</f>
        <v>360000000</v>
      </c>
      <c r="G7" t="s">
        <v>200</v>
      </c>
    </row>
    <row r="8" spans="1:9" x14ac:dyDescent="0.35">
      <c r="A8" t="s">
        <v>201</v>
      </c>
      <c r="F8">
        <f>F7*0.003412</f>
        <v>1228320</v>
      </c>
      <c r="G8" t="s">
        <v>203</v>
      </c>
    </row>
    <row r="9" spans="1:9" x14ac:dyDescent="0.35">
      <c r="A9" t="s">
        <v>204</v>
      </c>
      <c r="F9" s="25">
        <f>F3*F5</f>
        <v>211328000.00000003</v>
      </c>
      <c r="G9" t="s">
        <v>205</v>
      </c>
    </row>
    <row r="10" spans="1:9" x14ac:dyDescent="0.35">
      <c r="A10" t="s">
        <v>206</v>
      </c>
      <c r="F10" s="12">
        <f>F9/(F8*10^6)</f>
        <v>1.7204637228083889E-4</v>
      </c>
      <c r="G10" t="s">
        <v>206</v>
      </c>
      <c r="I10" s="24" t="s">
        <v>389</v>
      </c>
    </row>
    <row r="12" spans="1:9" x14ac:dyDescent="0.35">
      <c r="A12" t="s">
        <v>210</v>
      </c>
      <c r="E12">
        <f>8760*155</f>
        <v>1357800</v>
      </c>
      <c r="F12" t="s">
        <v>212</v>
      </c>
    </row>
    <row r="14" spans="1:9" x14ac:dyDescent="0.35">
      <c r="A14" s="17" t="s">
        <v>338</v>
      </c>
      <c r="B14" s="18"/>
      <c r="C14" s="18"/>
      <c r="D14" s="18"/>
      <c r="E14" s="18"/>
      <c r="F14" s="18"/>
      <c r="G14" s="18"/>
    </row>
    <row r="16" spans="1:9" x14ac:dyDescent="0.35">
      <c r="A16" t="s">
        <v>312</v>
      </c>
      <c r="F16" s="20">
        <v>170</v>
      </c>
      <c r="G16" t="s">
        <v>313</v>
      </c>
    </row>
    <row r="17" spans="1:9" x14ac:dyDescent="0.35">
      <c r="F17" s="39">
        <f>F16/F23</f>
        <v>26.356589147286826</v>
      </c>
      <c r="G17" t="s">
        <v>316</v>
      </c>
    </row>
    <row r="18" spans="1:9" x14ac:dyDescent="0.35">
      <c r="F18" s="39">
        <f>F17/277.778</f>
        <v>9.4883645023316546E-2</v>
      </c>
      <c r="G18" t="s">
        <v>317</v>
      </c>
    </row>
    <row r="19" spans="1:9" x14ac:dyDescent="0.35">
      <c r="F19" s="9">
        <f>F18/3412</f>
        <v>2.7808805692648461E-5</v>
      </c>
      <c r="G19" t="s">
        <v>46</v>
      </c>
      <c r="I19" s="24" t="s">
        <v>390</v>
      </c>
    </row>
    <row r="21" spans="1:9" x14ac:dyDescent="0.35">
      <c r="A21" t="s">
        <v>245</v>
      </c>
      <c r="F21">
        <v>36000000</v>
      </c>
      <c r="G21" t="s">
        <v>255</v>
      </c>
      <c r="I21" s="15" t="s">
        <v>254</v>
      </c>
    </row>
    <row r="22" spans="1:9" x14ac:dyDescent="0.35">
      <c r="A22" t="s">
        <v>245</v>
      </c>
      <c r="F22" s="20">
        <f>F21*0.14</f>
        <v>5040000.0000000009</v>
      </c>
      <c r="G22" t="s">
        <v>87</v>
      </c>
      <c r="I22" s="15"/>
    </row>
    <row r="23" spans="1:9" x14ac:dyDescent="0.35">
      <c r="A23" t="s">
        <v>221</v>
      </c>
      <c r="F23">
        <f>AVERAGE(5.1,7.8)</f>
        <v>6.4499999999999993</v>
      </c>
      <c r="G23" t="s">
        <v>246</v>
      </c>
      <c r="I23" t="s">
        <v>253</v>
      </c>
    </row>
    <row r="24" spans="1:9" x14ac:dyDescent="0.35">
      <c r="A24" t="s">
        <v>250</v>
      </c>
      <c r="F24">
        <v>8000</v>
      </c>
      <c r="G24" t="s">
        <v>251</v>
      </c>
      <c r="I24" s="15" t="s">
        <v>252</v>
      </c>
    </row>
    <row r="25" spans="1:9" x14ac:dyDescent="0.35">
      <c r="A25" t="s">
        <v>257</v>
      </c>
      <c r="F25">
        <v>600</v>
      </c>
      <c r="G25" t="s">
        <v>256</v>
      </c>
      <c r="I25" s="15" t="s">
        <v>254</v>
      </c>
    </row>
    <row r="26" spans="1:9" x14ac:dyDescent="0.35">
      <c r="F26">
        <f>F23*F25</f>
        <v>3869.9999999999995</v>
      </c>
      <c r="G26" t="s">
        <v>314</v>
      </c>
      <c r="I26" s="15"/>
    </row>
    <row r="27" spans="1:9" x14ac:dyDescent="0.35">
      <c r="F27">
        <f>F26*(F24/24)</f>
        <v>1289999.9999999998</v>
      </c>
      <c r="G27" t="s">
        <v>315</v>
      </c>
      <c r="I27" s="15"/>
    </row>
    <row r="28" spans="1:9" x14ac:dyDescent="0.35">
      <c r="A28" t="s">
        <v>202</v>
      </c>
      <c r="F28">
        <f>F27*277.778</f>
        <v>358333619.99999994</v>
      </c>
      <c r="G28" t="s">
        <v>200</v>
      </c>
      <c r="I28" t="s">
        <v>258</v>
      </c>
    </row>
    <row r="29" spans="1:9" x14ac:dyDescent="0.35">
      <c r="A29" t="s">
        <v>201</v>
      </c>
      <c r="F29">
        <f>F28*0.003412</f>
        <v>1222634.3114399998</v>
      </c>
      <c r="G29" t="s">
        <v>203</v>
      </c>
    </row>
    <row r="30" spans="1:9" x14ac:dyDescent="0.35">
      <c r="A30" t="s">
        <v>206</v>
      </c>
      <c r="F30" s="12">
        <f>(F21*0.14)/(F29*10^6)</f>
        <v>4.1222464909102436E-6</v>
      </c>
      <c r="G30" t="s">
        <v>206</v>
      </c>
      <c r="I30" t="s">
        <v>259</v>
      </c>
    </row>
    <row r="32" spans="1:9" x14ac:dyDescent="0.35">
      <c r="A32" s="1" t="s">
        <v>318</v>
      </c>
    </row>
    <row r="34" spans="1:9" x14ac:dyDescent="0.35">
      <c r="A34" t="s">
        <v>319</v>
      </c>
      <c r="F34">
        <v>21.08</v>
      </c>
      <c r="G34" t="s">
        <v>320</v>
      </c>
      <c r="I34" s="15" t="s">
        <v>331</v>
      </c>
    </row>
    <row r="35" spans="1:9" x14ac:dyDescent="0.35">
      <c r="A35" t="s">
        <v>321</v>
      </c>
      <c r="F35">
        <v>0.76</v>
      </c>
      <c r="G35" t="s">
        <v>175</v>
      </c>
      <c r="I35" s="15" t="s">
        <v>323</v>
      </c>
    </row>
    <row r="36" spans="1:9" x14ac:dyDescent="0.35">
      <c r="A36" t="s">
        <v>319</v>
      </c>
      <c r="F36" s="34">
        <f>F34*F35</f>
        <v>16.020799999999998</v>
      </c>
      <c r="G36" t="s">
        <v>322</v>
      </c>
    </row>
    <row r="37" spans="1:9" x14ac:dyDescent="0.35">
      <c r="F37">
        <v>1.3284</v>
      </c>
      <c r="G37" t="s">
        <v>324</v>
      </c>
    </row>
    <row r="38" spans="1:9" x14ac:dyDescent="0.35">
      <c r="F38" s="34">
        <f>F36*F37</f>
        <v>21.282030719999998</v>
      </c>
      <c r="G38" t="s">
        <v>325</v>
      </c>
    </row>
    <row r="39" spans="1:9" x14ac:dyDescent="0.35">
      <c r="F39">
        <v>1.32</v>
      </c>
      <c r="G39" t="s">
        <v>326</v>
      </c>
    </row>
    <row r="40" spans="1:9" x14ac:dyDescent="0.35">
      <c r="F40" s="34">
        <f>F38*F39</f>
        <v>28.092280550399998</v>
      </c>
      <c r="G40" t="s">
        <v>327</v>
      </c>
    </row>
    <row r="41" spans="1:9" x14ac:dyDescent="0.35">
      <c r="F41" s="34">
        <f>F40/F23</f>
        <v>4.3553923333953488</v>
      </c>
      <c r="G41" t="s">
        <v>328</v>
      </c>
    </row>
    <row r="42" spans="1:9" x14ac:dyDescent="0.35">
      <c r="F42">
        <v>277.77800000000002</v>
      </c>
      <c r="G42" t="s">
        <v>329</v>
      </c>
    </row>
    <row r="43" spans="1:9" x14ac:dyDescent="0.35">
      <c r="F43">
        <f>F41/F42</f>
        <v>1.5679399856703368E-2</v>
      </c>
      <c r="G43" t="s">
        <v>330</v>
      </c>
    </row>
    <row r="44" spans="1:9" x14ac:dyDescent="0.35">
      <c r="F44">
        <v>3412.14</v>
      </c>
      <c r="G44" t="s">
        <v>332</v>
      </c>
    </row>
    <row r="45" spans="1:9" x14ac:dyDescent="0.35">
      <c r="F45" s="12">
        <f>F43/F44</f>
        <v>4.5951806950193628E-6</v>
      </c>
      <c r="G45" t="s">
        <v>333</v>
      </c>
    </row>
    <row r="47" spans="1:9" x14ac:dyDescent="0.35">
      <c r="A47" s="17" t="s">
        <v>214</v>
      </c>
      <c r="B47" s="18"/>
      <c r="C47" s="18"/>
      <c r="D47" s="18"/>
      <c r="E47" s="18"/>
      <c r="F47" s="18"/>
      <c r="G47" s="18"/>
    </row>
    <row r="49" spans="1:9" x14ac:dyDescent="0.35">
      <c r="A49" t="s">
        <v>215</v>
      </c>
      <c r="F49" s="32">
        <v>6000000</v>
      </c>
      <c r="G49" s="33" t="s">
        <v>216</v>
      </c>
      <c r="I49" s="15" t="s">
        <v>235</v>
      </c>
    </row>
    <row r="50" spans="1:9" x14ac:dyDescent="0.35">
      <c r="A50" t="s">
        <v>217</v>
      </c>
      <c r="F50">
        <v>300</v>
      </c>
      <c r="G50" t="s">
        <v>218</v>
      </c>
      <c r="I50" s="15" t="s">
        <v>235</v>
      </c>
    </row>
    <row r="51" spans="1:9" x14ac:dyDescent="0.35">
      <c r="A51" t="s">
        <v>219</v>
      </c>
      <c r="F51">
        <v>8760</v>
      </c>
      <c r="G51" t="s">
        <v>220</v>
      </c>
      <c r="I51" s="15" t="s">
        <v>235</v>
      </c>
    </row>
    <row r="52" spans="1:9" x14ac:dyDescent="0.35">
      <c r="A52" t="s">
        <v>221</v>
      </c>
      <c r="F52">
        <v>1100</v>
      </c>
      <c r="G52" t="s">
        <v>197</v>
      </c>
      <c r="I52" s="15" t="s">
        <v>235</v>
      </c>
    </row>
    <row r="54" spans="1:9" x14ac:dyDescent="0.35">
      <c r="A54" t="s">
        <v>202</v>
      </c>
      <c r="F54">
        <f>(F3*365)*F52</f>
        <v>106060240.00000001</v>
      </c>
      <c r="G54" t="s">
        <v>200</v>
      </c>
    </row>
    <row r="55" spans="1:9" x14ac:dyDescent="0.35">
      <c r="A55" t="s">
        <v>201</v>
      </c>
      <c r="F55" s="34">
        <f>F54*0.003412</f>
        <v>361877.53888000007</v>
      </c>
      <c r="G55" t="s">
        <v>203</v>
      </c>
    </row>
    <row r="56" spans="1:9" x14ac:dyDescent="0.35">
      <c r="A56" t="s">
        <v>206</v>
      </c>
      <c r="F56" s="12">
        <f>(F49*1.25)/(F55*10^6)</f>
        <v>2.0725243194734525E-5</v>
      </c>
      <c r="G56" t="s">
        <v>206</v>
      </c>
    </row>
    <row r="58" spans="1:9" x14ac:dyDescent="0.35">
      <c r="A58" s="17" t="s">
        <v>241</v>
      </c>
      <c r="B58" s="18"/>
      <c r="C58" s="18"/>
      <c r="D58" s="18"/>
      <c r="E58" s="18"/>
      <c r="F58" s="18"/>
      <c r="G58" s="18"/>
    </row>
    <row r="60" spans="1:9" x14ac:dyDescent="0.35">
      <c r="A60" t="s">
        <v>238</v>
      </c>
      <c r="F60">
        <f>574-184</f>
        <v>390</v>
      </c>
      <c r="G60" s="33" t="s">
        <v>239</v>
      </c>
    </row>
    <row r="61" spans="1:9" x14ac:dyDescent="0.35">
      <c r="A61" t="s">
        <v>196</v>
      </c>
      <c r="F61">
        <v>3500</v>
      </c>
      <c r="G61" t="s">
        <v>242</v>
      </c>
      <c r="I61" s="15" t="s">
        <v>240</v>
      </c>
    </row>
    <row r="62" spans="1:9" x14ac:dyDescent="0.35">
      <c r="A62" t="s">
        <v>198</v>
      </c>
      <c r="F62" s="32">
        <v>1500000</v>
      </c>
      <c r="G62" t="s">
        <v>244</v>
      </c>
      <c r="I62" s="15" t="s">
        <v>243</v>
      </c>
    </row>
    <row r="64" spans="1:9" x14ac:dyDescent="0.35">
      <c r="A64" t="s">
        <v>202</v>
      </c>
      <c r="F64">
        <f>F61*F62</f>
        <v>5250000000</v>
      </c>
      <c r="G64" t="s">
        <v>200</v>
      </c>
    </row>
    <row r="65" spans="1:7" x14ac:dyDescent="0.35">
      <c r="A65" t="s">
        <v>201</v>
      </c>
      <c r="F65">
        <f>F64*0.003412</f>
        <v>17913000</v>
      </c>
      <c r="G65" t="s">
        <v>203</v>
      </c>
    </row>
    <row r="66" spans="1:7" x14ac:dyDescent="0.35">
      <c r="A66" t="s">
        <v>204</v>
      </c>
      <c r="F66" s="25">
        <f>F60*F62</f>
        <v>585000000</v>
      </c>
      <c r="G66" t="s">
        <v>205</v>
      </c>
    </row>
    <row r="67" spans="1:7" x14ac:dyDescent="0.35">
      <c r="A67" t="s">
        <v>206</v>
      </c>
      <c r="F67" s="12">
        <f>F66/(F65*10^6)</f>
        <v>3.265784625690839E-5</v>
      </c>
      <c r="G67" t="s">
        <v>206</v>
      </c>
    </row>
  </sheetData>
  <hyperlinks>
    <hyperlink ref="I5" r:id="rId1" xr:uid="{74C988DB-76D8-4145-BBE1-D4D23B225EB8}"/>
    <hyperlink ref="I3" r:id="rId2" xr:uid="{AE3C2C77-DEE7-417F-A91D-8588011B2FE4}"/>
    <hyperlink ref="I4" r:id="rId3" xr:uid="{094BE59D-41E3-4FD7-9FDF-AC064CEA0F0D}"/>
    <hyperlink ref="I49" r:id="rId4" xr:uid="{846023E9-701C-4DCB-AFF8-68371AA5EAAB}"/>
    <hyperlink ref="I50:I52" r:id="rId5" display="Glass Technology Services Ltd." xr:uid="{22C9B764-C975-4832-A877-CAEDEFC86ABD}"/>
    <hyperlink ref="I61" r:id="rId6" xr:uid="{B9C4C936-222A-415A-93F7-C04647B8A8F8}"/>
    <hyperlink ref="I62" r:id="rId7" xr:uid="{91898801-3109-4817-A332-119D9BDB6683}"/>
    <hyperlink ref="I24" r:id="rId8" xr:uid="{B56B537F-0535-4F1F-BD10-6F95D26F1CF9}"/>
    <hyperlink ref="I21" r:id="rId9" xr:uid="{F4D113B3-6174-475B-B0C2-A087D85EE29B}"/>
    <hyperlink ref="I25" r:id="rId10" xr:uid="{E4FAB926-5227-415A-85B9-0833AFE81296}"/>
    <hyperlink ref="I35" r:id="rId11" location=":~:text=U.S.%20cement%20produces%20more%20emissions,is%20between%200.64%20and%200.76." xr:uid="{D3609DDD-82DB-4DD7-9D57-0F7BC42F9A76}"/>
    <hyperlink ref="I34" r:id="rId12" xr:uid="{1BA8B66B-9A20-4E0A-9B55-7DB08D6E8435}"/>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8383B1-B2B0-41DD-8BAC-656486EFD613}">
  <dimension ref="A1:U32"/>
  <sheetViews>
    <sheetView workbookViewId="0"/>
  </sheetViews>
  <sheetFormatPr defaultColWidth="8.81640625" defaultRowHeight="14.5" x14ac:dyDescent="0.35"/>
  <cols>
    <col min="2" max="2" width="91" customWidth="1"/>
    <col min="3" max="3" width="11.26953125" customWidth="1"/>
    <col min="4" max="4" width="10.7265625" customWidth="1"/>
    <col min="5" max="5" width="9.7265625" customWidth="1"/>
    <col min="8" max="8" width="19.1796875" customWidth="1"/>
    <col min="19" max="19" width="12" bestFit="1" customWidth="1"/>
  </cols>
  <sheetData>
    <row r="1" spans="1:21" x14ac:dyDescent="0.35">
      <c r="A1" s="17" t="s">
        <v>298</v>
      </c>
      <c r="B1" s="18"/>
      <c r="C1" s="18"/>
    </row>
    <row r="2" spans="1:21" x14ac:dyDescent="0.35">
      <c r="A2" t="s">
        <v>145</v>
      </c>
    </row>
    <row r="3" spans="1:21" x14ac:dyDescent="0.35">
      <c r="A3" t="s">
        <v>144</v>
      </c>
    </row>
    <row r="4" spans="1:21" x14ac:dyDescent="0.35">
      <c r="A4" t="s">
        <v>164</v>
      </c>
    </row>
    <row r="5" spans="1:21" x14ac:dyDescent="0.35">
      <c r="A5" t="s">
        <v>157</v>
      </c>
    </row>
    <row r="6" spans="1:21" x14ac:dyDescent="0.35">
      <c r="A6" t="s">
        <v>163</v>
      </c>
    </row>
    <row r="8" spans="1:21" ht="16" x14ac:dyDescent="0.4">
      <c r="B8" s="26" t="s">
        <v>136</v>
      </c>
      <c r="C8" s="26" t="s">
        <v>137</v>
      </c>
      <c r="D8" s="26" t="s">
        <v>138</v>
      </c>
      <c r="E8" s="26" t="s">
        <v>139</v>
      </c>
      <c r="F8" s="26" t="s">
        <v>140</v>
      </c>
      <c r="G8" s="26" t="s">
        <v>141</v>
      </c>
      <c r="H8" s="26" t="s">
        <v>142</v>
      </c>
      <c r="I8" s="26" t="s">
        <v>143</v>
      </c>
      <c r="J8" s="30" t="s">
        <v>154</v>
      </c>
      <c r="K8" s="27"/>
      <c r="L8" s="29" t="s">
        <v>155</v>
      </c>
      <c r="M8" s="27"/>
      <c r="N8" s="28" t="s">
        <v>21</v>
      </c>
      <c r="O8" s="27"/>
      <c r="P8" s="29" t="s">
        <v>162</v>
      </c>
      <c r="Q8" s="27"/>
      <c r="R8" s="29" t="s">
        <v>20</v>
      </c>
      <c r="S8" s="27"/>
      <c r="T8" s="27"/>
      <c r="U8" s="29" t="s">
        <v>146</v>
      </c>
    </row>
    <row r="9" spans="1:21" x14ac:dyDescent="0.35">
      <c r="B9" t="s">
        <v>125</v>
      </c>
      <c r="C9" t="s">
        <v>118</v>
      </c>
      <c r="D9">
        <v>0.3</v>
      </c>
      <c r="E9">
        <v>1500</v>
      </c>
      <c r="F9">
        <v>43.754184261800326</v>
      </c>
      <c r="G9">
        <v>512727.48211595422</v>
      </c>
      <c r="H9">
        <v>1.1000000000000001</v>
      </c>
      <c r="I9">
        <v>1000</v>
      </c>
      <c r="J9">
        <f t="shared" ref="J9:J14" si="0">AVERAGE(D9,E9)</f>
        <v>750.15</v>
      </c>
      <c r="L9">
        <f>J9*1.34102</f>
        <v>1005.9661530000001</v>
      </c>
      <c r="N9">
        <f t="shared" ref="N9:N19" si="1">F9*(((D9+E9)/2)/D9)^H9*(800/I9)</f>
        <v>191398.76147944329</v>
      </c>
      <c r="P9">
        <v>7436</v>
      </c>
      <c r="R9">
        <f>J9*0.003412*P9</f>
        <v>19032.529744800002</v>
      </c>
      <c r="U9" s="9">
        <f t="shared" ref="U9:U19" si="2">N9/(R9*10^6)</f>
        <v>1.005640154229821E-5</v>
      </c>
    </row>
    <row r="10" spans="1:21" x14ac:dyDescent="0.35">
      <c r="B10" t="s">
        <v>126</v>
      </c>
      <c r="C10" t="s">
        <v>118</v>
      </c>
      <c r="D10">
        <v>8</v>
      </c>
      <c r="E10">
        <v>150</v>
      </c>
      <c r="F10">
        <v>1455.1962633016838</v>
      </c>
      <c r="G10">
        <v>22223.515169375642</v>
      </c>
      <c r="H10">
        <v>0.93</v>
      </c>
      <c r="I10">
        <v>1000</v>
      </c>
      <c r="J10">
        <f t="shared" si="0"/>
        <v>79</v>
      </c>
      <c r="L10">
        <f t="shared" ref="L10:L19" si="3">J10*1.34102</f>
        <v>105.94058000000001</v>
      </c>
      <c r="N10">
        <f t="shared" si="1"/>
        <v>9793.3452423684339</v>
      </c>
      <c r="P10">
        <v>4174</v>
      </c>
      <c r="R10">
        <f t="shared" ref="R10:R19" si="4">J10*0.003412*P10</f>
        <v>1125.0933520000001</v>
      </c>
      <c r="U10" s="9">
        <f t="shared" si="2"/>
        <v>8.7044734776536431E-6</v>
      </c>
    </row>
    <row r="11" spans="1:21" x14ac:dyDescent="0.35">
      <c r="B11" t="s">
        <v>127</v>
      </c>
      <c r="C11" t="s">
        <v>118</v>
      </c>
      <c r="D11">
        <v>350</v>
      </c>
      <c r="E11">
        <v>7000</v>
      </c>
      <c r="F11">
        <v>64088.852077797135</v>
      </c>
      <c r="G11">
        <v>1137028.3379406705</v>
      </c>
      <c r="H11">
        <v>0.96</v>
      </c>
      <c r="I11">
        <v>1000</v>
      </c>
      <c r="J11">
        <f t="shared" si="0"/>
        <v>3675</v>
      </c>
      <c r="L11">
        <f t="shared" si="3"/>
        <v>4928.2485000000006</v>
      </c>
      <c r="N11">
        <f t="shared" si="1"/>
        <v>490020.45239808032</v>
      </c>
      <c r="P11">
        <v>7436</v>
      </c>
      <c r="R11">
        <f t="shared" si="4"/>
        <v>93240.747600000002</v>
      </c>
      <c r="U11" s="9">
        <f t="shared" si="2"/>
        <v>5.2554324692917872E-6</v>
      </c>
    </row>
    <row r="12" spans="1:21" x14ac:dyDescent="0.35">
      <c r="B12" t="s">
        <v>128</v>
      </c>
      <c r="C12" t="s">
        <v>118</v>
      </c>
      <c r="D12">
        <v>500</v>
      </c>
      <c r="E12">
        <v>7000</v>
      </c>
      <c r="F12">
        <v>77307.967291430425</v>
      </c>
      <c r="G12">
        <v>655523.04372978187</v>
      </c>
      <c r="H12">
        <v>0.81</v>
      </c>
      <c r="I12">
        <v>1000</v>
      </c>
      <c r="J12">
        <f t="shared" si="0"/>
        <v>3750</v>
      </c>
      <c r="L12">
        <f t="shared" si="3"/>
        <v>5028.8250000000007</v>
      </c>
      <c r="N12">
        <f t="shared" si="1"/>
        <v>316310.68638940249</v>
      </c>
      <c r="P12">
        <v>7436</v>
      </c>
      <c r="R12">
        <f t="shared" si="4"/>
        <v>95143.62</v>
      </c>
      <c r="U12" s="9">
        <f t="shared" si="2"/>
        <v>3.3245601374995242E-6</v>
      </c>
    </row>
    <row r="13" spans="1:21" x14ac:dyDescent="0.35">
      <c r="B13" t="s">
        <v>129</v>
      </c>
      <c r="C13" t="s">
        <v>118</v>
      </c>
      <c r="D13">
        <v>0.35</v>
      </c>
      <c r="E13">
        <v>1.8</v>
      </c>
      <c r="F13">
        <v>1297.2736980632467</v>
      </c>
      <c r="G13">
        <v>1800</v>
      </c>
      <c r="H13">
        <v>0.2</v>
      </c>
      <c r="I13">
        <v>1000</v>
      </c>
      <c r="J13">
        <f t="shared" si="0"/>
        <v>1.075</v>
      </c>
      <c r="L13">
        <f t="shared" si="3"/>
        <v>1.4415964999999999</v>
      </c>
      <c r="N13">
        <f t="shared" si="1"/>
        <v>1298.941773935192</v>
      </c>
      <c r="P13">
        <v>2745</v>
      </c>
      <c r="R13">
        <f t="shared" si="4"/>
        <v>10.0683855</v>
      </c>
      <c r="U13" s="9">
        <f t="shared" si="2"/>
        <v>1.290119229081159E-4</v>
      </c>
    </row>
    <row r="14" spans="1:21" x14ac:dyDescent="0.35">
      <c r="B14" t="s">
        <v>129</v>
      </c>
      <c r="C14" t="s">
        <v>118</v>
      </c>
      <c r="D14">
        <v>1.8</v>
      </c>
      <c r="E14">
        <v>15</v>
      </c>
      <c r="F14">
        <v>1800</v>
      </c>
      <c r="G14">
        <v>5537.4069913635094</v>
      </c>
      <c r="H14">
        <v>0.53</v>
      </c>
      <c r="I14">
        <v>1000</v>
      </c>
      <c r="J14">
        <f t="shared" si="0"/>
        <v>8.4</v>
      </c>
      <c r="L14">
        <f t="shared" si="3"/>
        <v>11.264568000000001</v>
      </c>
      <c r="N14">
        <f t="shared" si="1"/>
        <v>3257.8875198502201</v>
      </c>
      <c r="P14">
        <v>3391</v>
      </c>
      <c r="R14">
        <f t="shared" si="4"/>
        <v>97.18877280000001</v>
      </c>
      <c r="U14" s="9">
        <f t="shared" si="2"/>
        <v>3.3521233224690123E-5</v>
      </c>
    </row>
    <row r="15" spans="1:21" x14ac:dyDescent="0.35">
      <c r="B15" t="s">
        <v>130</v>
      </c>
      <c r="C15" t="s">
        <v>131</v>
      </c>
      <c r="D15">
        <v>0.35</v>
      </c>
      <c r="E15">
        <v>7.5</v>
      </c>
      <c r="F15">
        <v>3198.2717479261355</v>
      </c>
      <c r="G15">
        <v>22051.649944608704</v>
      </c>
      <c r="H15">
        <v>0.63</v>
      </c>
      <c r="I15">
        <v>1000</v>
      </c>
      <c r="J15">
        <f>AVERAGE(D15,E15)</f>
        <v>3.9249999999999998</v>
      </c>
      <c r="L15">
        <f t="shared" si="3"/>
        <v>5.2635035000000006</v>
      </c>
      <c r="N15">
        <f t="shared" si="1"/>
        <v>11731.714005716587</v>
      </c>
      <c r="P15">
        <v>2745</v>
      </c>
      <c r="R15">
        <f t="shared" si="4"/>
        <v>36.761314500000005</v>
      </c>
      <c r="U15" s="9">
        <f t="shared" si="2"/>
        <v>3.1913205948379741E-4</v>
      </c>
    </row>
    <row r="16" spans="1:21" x14ac:dyDescent="0.35">
      <c r="B16" t="s">
        <v>132</v>
      </c>
      <c r="C16" t="s">
        <v>133</v>
      </c>
      <c r="D16">
        <v>3</v>
      </c>
      <c r="E16">
        <v>50</v>
      </c>
      <c r="F16">
        <v>1691.6842777294887</v>
      </c>
      <c r="G16">
        <v>6000</v>
      </c>
      <c r="H16">
        <v>0.45</v>
      </c>
      <c r="I16">
        <v>1000</v>
      </c>
      <c r="J16">
        <f t="shared" ref="J16:J19" si="5">AVERAGE(D16,E16)</f>
        <v>26.5</v>
      </c>
      <c r="L16">
        <f t="shared" si="3"/>
        <v>35.537030000000001</v>
      </c>
      <c r="N16">
        <f t="shared" si="1"/>
        <v>3607.159769818647</v>
      </c>
      <c r="P16">
        <v>3530</v>
      </c>
      <c r="R16">
        <f t="shared" si="4"/>
        <v>319.17554000000001</v>
      </c>
      <c r="U16" s="9">
        <f t="shared" si="2"/>
        <v>1.1301491868138288E-5</v>
      </c>
    </row>
    <row r="17" spans="1:21" x14ac:dyDescent="0.35">
      <c r="B17" t="s">
        <v>134</v>
      </c>
      <c r="C17" t="s">
        <v>133</v>
      </c>
      <c r="D17">
        <v>50</v>
      </c>
      <c r="E17">
        <v>1500</v>
      </c>
      <c r="F17">
        <v>6000</v>
      </c>
      <c r="G17">
        <v>76911.661151322129</v>
      </c>
      <c r="H17">
        <v>0.75</v>
      </c>
      <c r="I17">
        <v>1000</v>
      </c>
      <c r="J17">
        <f t="shared" si="5"/>
        <v>775</v>
      </c>
      <c r="L17">
        <f t="shared" si="3"/>
        <v>1039.2905000000001</v>
      </c>
      <c r="N17">
        <f t="shared" si="1"/>
        <v>37496.437777254898</v>
      </c>
      <c r="P17">
        <v>7436</v>
      </c>
      <c r="R17">
        <f t="shared" si="4"/>
        <v>19663.014800000001</v>
      </c>
      <c r="U17" s="9">
        <f t="shared" si="2"/>
        <v>1.9069526295253003E-6</v>
      </c>
    </row>
    <row r="18" spans="1:21" x14ac:dyDescent="0.35">
      <c r="B18" t="s">
        <v>135</v>
      </c>
      <c r="C18" t="s">
        <v>133</v>
      </c>
      <c r="D18">
        <v>3</v>
      </c>
      <c r="E18">
        <v>180</v>
      </c>
      <c r="F18">
        <v>580.86364315386913</v>
      </c>
      <c r="G18">
        <v>5300</v>
      </c>
      <c r="H18">
        <v>0.54</v>
      </c>
      <c r="I18">
        <v>1000</v>
      </c>
      <c r="J18">
        <f t="shared" si="5"/>
        <v>91.5</v>
      </c>
      <c r="L18">
        <f t="shared" si="3"/>
        <v>122.70333000000001</v>
      </c>
      <c r="N18">
        <f t="shared" si="1"/>
        <v>2942.2941929843073</v>
      </c>
      <c r="P18">
        <v>4174</v>
      </c>
      <c r="R18">
        <f t="shared" si="4"/>
        <v>1303.114452</v>
      </c>
      <c r="U18" s="9">
        <f t="shared" si="2"/>
        <v>2.2578939159707113E-6</v>
      </c>
    </row>
    <row r="19" spans="1:21" x14ac:dyDescent="0.35">
      <c r="B19" t="s">
        <v>135</v>
      </c>
      <c r="C19" t="s">
        <v>133</v>
      </c>
      <c r="D19">
        <v>180</v>
      </c>
      <c r="E19">
        <v>1500</v>
      </c>
      <c r="F19">
        <v>5300</v>
      </c>
      <c r="G19">
        <v>297736.10466011299</v>
      </c>
      <c r="H19">
        <v>1.9</v>
      </c>
      <c r="I19">
        <v>1000</v>
      </c>
      <c r="J19">
        <f t="shared" si="5"/>
        <v>840</v>
      </c>
      <c r="L19">
        <f t="shared" si="3"/>
        <v>1126.4568000000002</v>
      </c>
      <c r="N19">
        <f t="shared" si="1"/>
        <v>79155.070568115683</v>
      </c>
      <c r="P19">
        <v>7436</v>
      </c>
      <c r="R19">
        <f t="shared" si="4"/>
        <v>21312.170880000001</v>
      </c>
      <c r="U19" s="9">
        <f t="shared" si="2"/>
        <v>3.7140782613749238E-6</v>
      </c>
    </row>
    <row r="20" spans="1:21" x14ac:dyDescent="0.35">
      <c r="U20" s="9"/>
    </row>
    <row r="21" spans="1:21" x14ac:dyDescent="0.35">
      <c r="B21" t="s">
        <v>147</v>
      </c>
      <c r="N21" s="21">
        <f>AVERAGE(N9:N19)</f>
        <v>104273.88646517909</v>
      </c>
      <c r="P21" s="21">
        <f>AVERAGE(P9:P19)</f>
        <v>5267.181818181818</v>
      </c>
      <c r="Q21" s="21"/>
      <c r="R21" s="21">
        <f>AVERAGE(R9:R19)</f>
        <v>22843.953167418182</v>
      </c>
      <c r="U21" s="9">
        <f>AVERAGE(U9:U19)</f>
        <v>4.8016954538032345E-5</v>
      </c>
    </row>
    <row r="22" spans="1:21" x14ac:dyDescent="0.35">
      <c r="B22" t="s">
        <v>156</v>
      </c>
      <c r="N22" s="21">
        <f>((N13+N15)/2)*(58.8/96.2)+(N14)*(26.4/96.2)+(N16)*(9.1/96.2)+((N10+N18)/2)*(1.8/96.2)+((N9+N11+N12+N17+N19)/5)*(0.1/96.2)</f>
        <v>5568.4445739627981</v>
      </c>
      <c r="P22" s="21">
        <f>((P13+P15)/2)*(58.8/96.2)+(P14)*(26.4/96.2)+(P16)*(9.1/96.2)+((P10+P18)/2)*(1.8/96.2)+((P9+P11+P12+P17+P19)/5)*(0.1/96.2)</f>
        <v>3028.1517671517663</v>
      </c>
      <c r="Q22" s="21"/>
      <c r="R22" s="21">
        <f>((R13+R15)/2)*(58.8/96.2)+(R14)*(26.4/96.2)+(R16)*(9.1/96.2)+((R10+R18)/2)*(1.8/96.2)+((R9+R11+R12+R17+R19)/5)*(0.1/96.2)</f>
        <v>145.53329397106029</v>
      </c>
      <c r="U22" s="12">
        <f>((U13+U15)/2)*(58.8/96.2)+(U14)*(26.4/96.2)+(U16)*(9.1/96.2)+((U10+U18)/2)*(1.8/96.2)+((U9+U11+U12+U17+U19)/5)*(0.1/96.2)</f>
        <v>1.4733459973606227E-4</v>
      </c>
    </row>
    <row r="23" spans="1:21" x14ac:dyDescent="0.35">
      <c r="U23" s="9"/>
    </row>
    <row r="25" spans="1:21" x14ac:dyDescent="0.35">
      <c r="A25" s="17" t="s">
        <v>289</v>
      </c>
      <c r="B25" s="18"/>
      <c r="C25" s="18"/>
    </row>
    <row r="26" spans="1:21" x14ac:dyDescent="0.35">
      <c r="G26" s="1" t="s">
        <v>207</v>
      </c>
    </row>
    <row r="27" spans="1:21" x14ac:dyDescent="0.35">
      <c r="B27" t="s">
        <v>290</v>
      </c>
      <c r="D27" s="34">
        <v>502</v>
      </c>
      <c r="E27" t="s">
        <v>168</v>
      </c>
      <c r="G27" s="15" t="s">
        <v>291</v>
      </c>
    </row>
    <row r="28" spans="1:21" x14ac:dyDescent="0.35">
      <c r="B28" t="s">
        <v>292</v>
      </c>
      <c r="D28" s="34">
        <v>250</v>
      </c>
      <c r="E28" t="s">
        <v>293</v>
      </c>
      <c r="G28" s="15" t="s">
        <v>294</v>
      </c>
    </row>
    <row r="29" spans="1:21" x14ac:dyDescent="0.35">
      <c r="B29" t="s">
        <v>295</v>
      </c>
      <c r="D29" s="34">
        <f>D28/1.341</f>
        <v>186.42803877703207</v>
      </c>
      <c r="E29" t="s">
        <v>118</v>
      </c>
    </row>
    <row r="30" spans="1:21" x14ac:dyDescent="0.35">
      <c r="B30" t="s">
        <v>296</v>
      </c>
      <c r="D30" s="34">
        <v>2080</v>
      </c>
      <c r="E30" t="s">
        <v>220</v>
      </c>
      <c r="G30" s="15" t="s">
        <v>294</v>
      </c>
      <c r="I30" s="8"/>
    </row>
    <row r="31" spans="1:21" x14ac:dyDescent="0.35">
      <c r="B31" t="s">
        <v>20</v>
      </c>
      <c r="D31" s="34">
        <f>D29*0.003412*D30</f>
        <v>1323.0723340790455</v>
      </c>
      <c r="E31" t="s">
        <v>297</v>
      </c>
    </row>
    <row r="32" spans="1:21" x14ac:dyDescent="0.35">
      <c r="B32" t="s">
        <v>146</v>
      </c>
      <c r="D32" s="41">
        <f>(D27*D29)/(D31*10^6)</f>
        <v>7.0734511678239686E-5</v>
      </c>
      <c r="E32" t="s">
        <v>146</v>
      </c>
    </row>
  </sheetData>
  <hyperlinks>
    <hyperlink ref="G27" r:id="rId1" xr:uid="{89D540DE-65F8-419E-8E02-FD08F0D4350B}"/>
    <hyperlink ref="G28" r:id="rId2" xr:uid="{2BEBA02A-CA41-4A57-93D0-D9F4D2610A4F}"/>
    <hyperlink ref="G30" r:id="rId3" xr:uid="{098A2275-9E62-4836-8A3D-FE6E71782B1D}"/>
  </hyperlinks>
  <pageMargins left="0.7" right="0.7" top="0.75" bottom="0.75" header="0.3" footer="0.3"/>
  <legacyDrawing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C2D184-069E-47A4-BC3F-9F054759DD84}">
  <dimension ref="A1:K35"/>
  <sheetViews>
    <sheetView workbookViewId="0"/>
  </sheetViews>
  <sheetFormatPr defaultColWidth="8.81640625" defaultRowHeight="14.5" x14ac:dyDescent="0.35"/>
  <cols>
    <col min="3" max="3" width="30.26953125" customWidth="1"/>
    <col min="7" max="7" width="12" bestFit="1" customWidth="1"/>
  </cols>
  <sheetData>
    <row r="1" spans="1:11" x14ac:dyDescent="0.35">
      <c r="A1" s="17" t="s">
        <v>165</v>
      </c>
      <c r="B1" s="18"/>
      <c r="C1" s="18"/>
      <c r="D1" s="18"/>
      <c r="E1" s="18"/>
      <c r="F1" s="18"/>
      <c r="G1" s="18"/>
    </row>
    <row r="2" spans="1:11" x14ac:dyDescent="0.35">
      <c r="A2" s="24" t="s">
        <v>166</v>
      </c>
    </row>
    <row r="3" spans="1:11" x14ac:dyDescent="0.35">
      <c r="A3" s="24" t="s">
        <v>192</v>
      </c>
    </row>
    <row r="4" spans="1:11" x14ac:dyDescent="0.35">
      <c r="A4" s="24"/>
    </row>
    <row r="5" spans="1:11" x14ac:dyDescent="0.35">
      <c r="A5" s="1" t="s">
        <v>167</v>
      </c>
      <c r="G5" s="1"/>
      <c r="K5" s="1"/>
    </row>
    <row r="6" spans="1:11" x14ac:dyDescent="0.35">
      <c r="A6" t="s">
        <v>180</v>
      </c>
      <c r="D6">
        <f>AVERAGE(760,1000)</f>
        <v>880</v>
      </c>
      <c r="E6" t="s">
        <v>168</v>
      </c>
    </row>
    <row r="7" spans="1:11" x14ac:dyDescent="0.35">
      <c r="A7" t="s">
        <v>182</v>
      </c>
      <c r="D7">
        <f>AVERAGE(373.1,597)</f>
        <v>485.05</v>
      </c>
      <c r="E7" t="s">
        <v>168</v>
      </c>
    </row>
    <row r="9" spans="1:11" x14ac:dyDescent="0.35">
      <c r="A9" s="1" t="s">
        <v>169</v>
      </c>
    </row>
    <row r="11" spans="1:11" x14ac:dyDescent="0.35">
      <c r="A11" t="s">
        <v>181</v>
      </c>
      <c r="D11">
        <f>AVERAGE(975,1200)</f>
        <v>1087.5</v>
      </c>
      <c r="E11" t="s">
        <v>168</v>
      </c>
    </row>
    <row r="12" spans="1:11" x14ac:dyDescent="0.35">
      <c r="A12" t="s">
        <v>182</v>
      </c>
      <c r="D12">
        <f>AVERAGE(1492.5,2238.8)</f>
        <v>1865.65</v>
      </c>
      <c r="E12" t="s">
        <v>168</v>
      </c>
    </row>
    <row r="14" spans="1:11" x14ac:dyDescent="0.35">
      <c r="A14" t="s">
        <v>172</v>
      </c>
    </row>
    <row r="15" spans="1:11" x14ac:dyDescent="0.35">
      <c r="A15" t="s">
        <v>174</v>
      </c>
      <c r="D15">
        <v>1.5</v>
      </c>
      <c r="E15" t="s">
        <v>173</v>
      </c>
    </row>
    <row r="16" spans="1:11" x14ac:dyDescent="0.35">
      <c r="A16" t="s">
        <v>176</v>
      </c>
      <c r="D16">
        <v>70</v>
      </c>
      <c r="E16" t="s">
        <v>175</v>
      </c>
    </row>
    <row r="18" spans="1:7" x14ac:dyDescent="0.35">
      <c r="A18" t="s">
        <v>184</v>
      </c>
      <c r="G18">
        <f>(D6)*(1.5*1000000)</f>
        <v>1320000000</v>
      </c>
    </row>
    <row r="19" spans="1:7" x14ac:dyDescent="0.35">
      <c r="A19" t="s">
        <v>177</v>
      </c>
      <c r="G19">
        <f>(1.5*1000000)*(0.7*8760)</f>
        <v>9198000000</v>
      </c>
    </row>
    <row r="20" spans="1:7" x14ac:dyDescent="0.35">
      <c r="A20" t="s">
        <v>178</v>
      </c>
      <c r="G20">
        <f>G19*3412</f>
        <v>31383576000000</v>
      </c>
    </row>
    <row r="21" spans="1:7" x14ac:dyDescent="0.35">
      <c r="A21" t="s">
        <v>183</v>
      </c>
      <c r="G21">
        <f>G18/G20</f>
        <v>4.2060216464815867E-5</v>
      </c>
    </row>
    <row r="22" spans="1:7" x14ac:dyDescent="0.35">
      <c r="A22" t="s">
        <v>186</v>
      </c>
      <c r="G22">
        <f>(D7*(1.5*1000000))/G20</f>
        <v>2.3183304541203336E-5</v>
      </c>
    </row>
    <row r="24" spans="1:7" x14ac:dyDescent="0.35">
      <c r="A24" t="s">
        <v>185</v>
      </c>
      <c r="G24">
        <f>(D11)*(1.5*1000000)</f>
        <v>1631250000</v>
      </c>
    </row>
    <row r="25" spans="1:7" x14ac:dyDescent="0.35">
      <c r="A25" t="s">
        <v>177</v>
      </c>
      <c r="G25">
        <f>(1.5*1000000)*(0.7*8760)</f>
        <v>9198000000</v>
      </c>
    </row>
    <row r="26" spans="1:7" x14ac:dyDescent="0.35">
      <c r="A26" t="s">
        <v>178</v>
      </c>
      <c r="G26">
        <f>G25*3412</f>
        <v>31383576000000</v>
      </c>
    </row>
    <row r="27" spans="1:7" x14ac:dyDescent="0.35">
      <c r="A27" t="s">
        <v>183</v>
      </c>
      <c r="G27">
        <f>G24/G26</f>
        <v>5.1977824324417333E-5</v>
      </c>
    </row>
    <row r="28" spans="1:7" x14ac:dyDescent="0.35">
      <c r="A28" t="s">
        <v>186</v>
      </c>
      <c r="G28">
        <f>(D12*(1.5*1000000))/G26</f>
        <v>8.9170048690436044E-5</v>
      </c>
    </row>
    <row r="30" spans="1:7" x14ac:dyDescent="0.35">
      <c r="A30" t="s">
        <v>170</v>
      </c>
    </row>
    <row r="32" spans="1:7" x14ac:dyDescent="0.35">
      <c r="A32" t="s">
        <v>171</v>
      </c>
      <c r="G32" s="12">
        <f>(G21*0.75)+(G27*0.25)</f>
        <v>4.4539618429716232E-5</v>
      </c>
    </row>
    <row r="33" spans="1:7" x14ac:dyDescent="0.35">
      <c r="A33" t="s">
        <v>179</v>
      </c>
      <c r="G33" s="9">
        <f>G32*0.6</f>
        <v>2.6723771057829738E-5</v>
      </c>
    </row>
    <row r="34" spans="1:7" x14ac:dyDescent="0.35">
      <c r="G34" s="9"/>
    </row>
    <row r="35" spans="1:7" x14ac:dyDescent="0.35">
      <c r="A35" t="s">
        <v>187</v>
      </c>
      <c r="G35" s="9">
        <f>(G22*0.75)+(G28*0.25)</f>
        <v>3.9679990578511508E-5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463D77-55A0-4A3F-A167-AF9495B144EE}">
  <dimension ref="A1:H29"/>
  <sheetViews>
    <sheetView zoomScale="130" zoomScaleNormal="130" workbookViewId="0"/>
  </sheetViews>
  <sheetFormatPr defaultColWidth="8.81640625" defaultRowHeight="14.5" x14ac:dyDescent="0.35"/>
  <cols>
    <col min="1" max="1" width="18.453125" customWidth="1"/>
    <col min="2" max="2" width="13.7265625" customWidth="1"/>
    <col min="3" max="3" width="10.7265625" customWidth="1"/>
    <col min="5" max="5" width="12" bestFit="1" customWidth="1"/>
  </cols>
  <sheetData>
    <row r="1" spans="1:8" x14ac:dyDescent="0.35">
      <c r="A1" s="17" t="s">
        <v>280</v>
      </c>
      <c r="B1" s="18"/>
      <c r="C1" s="18"/>
      <c r="D1" s="18"/>
      <c r="E1" s="18"/>
      <c r="F1" s="18"/>
      <c r="G1" s="18"/>
      <c r="H1" s="18"/>
    </row>
    <row r="3" spans="1:8" x14ac:dyDescent="0.35">
      <c r="A3" t="s">
        <v>194</v>
      </c>
      <c r="E3" s="39">
        <f>2758*1.03</f>
        <v>2840.7400000000002</v>
      </c>
      <c r="F3" t="s">
        <v>282</v>
      </c>
      <c r="H3" t="s">
        <v>285</v>
      </c>
    </row>
    <row r="4" spans="1:8" x14ac:dyDescent="0.35">
      <c r="A4" t="s">
        <v>281</v>
      </c>
      <c r="E4">
        <v>18</v>
      </c>
      <c r="F4" t="s">
        <v>118</v>
      </c>
      <c r="H4" s="15" t="s">
        <v>284</v>
      </c>
    </row>
    <row r="5" spans="1:8" x14ac:dyDescent="0.35">
      <c r="A5" t="s">
        <v>56</v>
      </c>
      <c r="E5">
        <f>18*365</f>
        <v>6570</v>
      </c>
      <c r="F5" t="s">
        <v>251</v>
      </c>
      <c r="H5" t="s">
        <v>283</v>
      </c>
    </row>
    <row r="7" spans="1:8" x14ac:dyDescent="0.35">
      <c r="A7" t="s">
        <v>202</v>
      </c>
      <c r="E7">
        <f>E4*E5</f>
        <v>118260</v>
      </c>
      <c r="F7" t="s">
        <v>200</v>
      </c>
    </row>
    <row r="8" spans="1:8" x14ac:dyDescent="0.35">
      <c r="A8" t="s">
        <v>201</v>
      </c>
      <c r="E8">
        <f>E7*0.003412</f>
        <v>403.50312000000002</v>
      </c>
      <c r="F8" t="s">
        <v>203</v>
      </c>
    </row>
    <row r="9" spans="1:8" x14ac:dyDescent="0.35">
      <c r="A9" t="s">
        <v>206</v>
      </c>
      <c r="E9" s="12">
        <f>E3/(E8*10^6)</f>
        <v>7.0401933942914745E-6</v>
      </c>
      <c r="F9" t="s">
        <v>206</v>
      </c>
    </row>
    <row r="12" spans="1:8" x14ac:dyDescent="0.35">
      <c r="A12" s="17" t="s">
        <v>268</v>
      </c>
      <c r="B12" s="18"/>
      <c r="C12" s="18"/>
    </row>
    <row r="14" spans="1:8" x14ac:dyDescent="0.35">
      <c r="A14" t="s">
        <v>288</v>
      </c>
    </row>
    <row r="16" spans="1:8" x14ac:dyDescent="0.35">
      <c r="A16" t="s">
        <v>267</v>
      </c>
      <c r="B16" s="8">
        <v>862500</v>
      </c>
      <c r="C16" t="s">
        <v>87</v>
      </c>
    </row>
    <row r="17" spans="1:3" x14ac:dyDescent="0.35">
      <c r="A17" t="s">
        <v>266</v>
      </c>
      <c r="B17" s="8">
        <v>1500000</v>
      </c>
      <c r="C17" t="s">
        <v>87</v>
      </c>
    </row>
    <row r="18" spans="1:3" x14ac:dyDescent="0.35">
      <c r="A18" t="s">
        <v>265</v>
      </c>
      <c r="B18" s="8">
        <f>AVERAGE(B16,B17)</f>
        <v>1181250</v>
      </c>
      <c r="C18" t="s">
        <v>87</v>
      </c>
    </row>
    <row r="20" spans="1:3" x14ac:dyDescent="0.35">
      <c r="A20" t="s">
        <v>84</v>
      </c>
      <c r="B20" s="32">
        <v>8760</v>
      </c>
      <c r="C20" t="s">
        <v>251</v>
      </c>
    </row>
    <row r="21" spans="1:3" x14ac:dyDescent="0.35">
      <c r="A21" t="s">
        <v>264</v>
      </c>
      <c r="B21" s="32">
        <v>6051100</v>
      </c>
      <c r="C21" t="s">
        <v>263</v>
      </c>
    </row>
    <row r="23" spans="1:3" x14ac:dyDescent="0.35">
      <c r="A23" t="s">
        <v>262</v>
      </c>
      <c r="B23">
        <f>B20*B21</f>
        <v>53007636000</v>
      </c>
      <c r="C23" t="s">
        <v>261</v>
      </c>
    </row>
    <row r="24" spans="1:3" x14ac:dyDescent="0.35">
      <c r="A24" t="s">
        <v>83</v>
      </c>
      <c r="B24" s="12">
        <f>B18/B23</f>
        <v>2.2284525195577483E-5</v>
      </c>
      <c r="C24" t="s">
        <v>260</v>
      </c>
    </row>
    <row r="28" spans="1:3" x14ac:dyDescent="0.35">
      <c r="A28" s="1" t="s">
        <v>299</v>
      </c>
    </row>
    <row r="29" spans="1:3" x14ac:dyDescent="0.35">
      <c r="A29" s="1" t="s">
        <v>300</v>
      </c>
    </row>
  </sheetData>
  <hyperlinks>
    <hyperlink ref="H4" r:id="rId1" xr:uid="{0EBADC85-7E7A-4D8B-B878-F45654EA16CE}"/>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30D489-B45F-43AF-8E94-CF692044B143}">
  <dimension ref="A1:M45"/>
  <sheetViews>
    <sheetView topLeftCell="A10" workbookViewId="0">
      <selection activeCell="O7" sqref="O7"/>
    </sheetView>
  </sheetViews>
  <sheetFormatPr defaultColWidth="8.81640625" defaultRowHeight="14.5" x14ac:dyDescent="0.35"/>
  <cols>
    <col min="1" max="1" width="35" customWidth="1"/>
    <col min="2" max="13" width="13.26953125" customWidth="1"/>
  </cols>
  <sheetData>
    <row r="1" spans="1:13" s="3" customFormat="1" ht="43.5" x14ac:dyDescent="0.35">
      <c r="A1" s="4" t="s">
        <v>47</v>
      </c>
      <c r="B1" s="2" t="s">
        <v>2</v>
      </c>
      <c r="C1" s="2" t="s">
        <v>3</v>
      </c>
      <c r="D1" s="2" t="s">
        <v>4</v>
      </c>
      <c r="E1" s="2" t="s">
        <v>5</v>
      </c>
      <c r="F1" s="2" t="s">
        <v>6</v>
      </c>
      <c r="G1" s="2" t="s">
        <v>7</v>
      </c>
      <c r="H1" s="2" t="s">
        <v>8</v>
      </c>
      <c r="I1" s="2" t="s">
        <v>9</v>
      </c>
      <c r="J1" s="2" t="s">
        <v>10</v>
      </c>
      <c r="K1" s="2" t="s">
        <v>11</v>
      </c>
      <c r="L1" s="2" t="s">
        <v>391</v>
      </c>
      <c r="M1" s="2" t="s">
        <v>392</v>
      </c>
    </row>
    <row r="2" spans="1:13" x14ac:dyDescent="0.35">
      <c r="A2" s="5" t="s">
        <v>12</v>
      </c>
      <c r="B2" s="12">
        <f>Boilers!$A$18</f>
        <v>5.6711966224873446E-5</v>
      </c>
      <c r="C2" s="12">
        <f>Boilers!$G$43</f>
        <v>1.4986595988547842E-5</v>
      </c>
      <c r="D2" s="12">
        <f>Boilers!A39</f>
        <v>1.5989491110961776E-5</v>
      </c>
      <c r="E2" s="10">
        <f>C2</f>
        <v>1.4986595988547842E-5</v>
      </c>
      <c r="F2" s="12">
        <f>Boilers!$G$44</f>
        <v>9.436004881678272E-6</v>
      </c>
      <c r="G2" s="40">
        <v>0</v>
      </c>
      <c r="H2" s="10">
        <f>F2</f>
        <v>9.436004881678272E-6</v>
      </c>
      <c r="I2" s="10">
        <f>F2</f>
        <v>9.436004881678272E-6</v>
      </c>
      <c r="J2" s="10">
        <f>F2</f>
        <v>9.436004881678272E-6</v>
      </c>
      <c r="K2" s="12">
        <f>Boilers!A60</f>
        <v>2.3984236666442662E-5</v>
      </c>
      <c r="L2" s="12">
        <f>K2</f>
        <v>2.3984236666442662E-5</v>
      </c>
      <c r="M2" s="12">
        <f t="shared" ref="M2:M9" si="0">L2</f>
        <v>2.3984236666442662E-5</v>
      </c>
    </row>
    <row r="3" spans="1:13" x14ac:dyDescent="0.35">
      <c r="A3" s="5" t="s">
        <v>13</v>
      </c>
      <c r="B3" s="10">
        <f t="shared" ref="B3:K3" si="1">B2</f>
        <v>5.6711966224873446E-5</v>
      </c>
      <c r="C3" s="10">
        <f t="shared" si="1"/>
        <v>1.4986595988547842E-5</v>
      </c>
      <c r="D3" s="10">
        <f t="shared" si="1"/>
        <v>1.5989491110961776E-5</v>
      </c>
      <c r="E3" s="10">
        <f t="shared" si="1"/>
        <v>1.4986595988547842E-5</v>
      </c>
      <c r="F3" s="10">
        <f t="shared" si="1"/>
        <v>9.436004881678272E-6</v>
      </c>
      <c r="G3" s="40">
        <f t="shared" si="1"/>
        <v>0</v>
      </c>
      <c r="H3" s="10">
        <f t="shared" si="1"/>
        <v>9.436004881678272E-6</v>
      </c>
      <c r="I3" s="10">
        <f t="shared" si="1"/>
        <v>9.436004881678272E-6</v>
      </c>
      <c r="J3" s="10">
        <f t="shared" si="1"/>
        <v>9.436004881678272E-6</v>
      </c>
      <c r="K3" s="10">
        <f t="shared" si="1"/>
        <v>2.3984236666442662E-5</v>
      </c>
      <c r="L3" s="10">
        <f t="shared" ref="L3:M3" si="2">K3</f>
        <v>2.3984236666442662E-5</v>
      </c>
      <c r="M3" s="10">
        <f t="shared" si="0"/>
        <v>2.3984236666442662E-5</v>
      </c>
    </row>
    <row r="4" spans="1:13" x14ac:dyDescent="0.35">
      <c r="A4" s="5" t="s">
        <v>14</v>
      </c>
      <c r="B4" s="12">
        <f>'NB Medium Temp'!D40</f>
        <v>3.4771933032458345E-5</v>
      </c>
      <c r="C4" s="10">
        <f>D4</f>
        <v>3.1780367029653324E-5</v>
      </c>
      <c r="D4" s="12">
        <f>'NB Medium Temp'!D41</f>
        <v>3.1780367029653324E-5</v>
      </c>
      <c r="E4" s="10">
        <f>C4</f>
        <v>3.1780367029653324E-5</v>
      </c>
      <c r="F4" s="10">
        <f>D4</f>
        <v>3.1780367029653324E-5</v>
      </c>
      <c r="G4" s="40">
        <v>0</v>
      </c>
      <c r="H4" s="10">
        <f>F4</f>
        <v>3.1780367029653324E-5</v>
      </c>
      <c r="I4" s="10">
        <f>F4</f>
        <v>3.1780367029653324E-5</v>
      </c>
      <c r="J4" s="10">
        <f>F4</f>
        <v>3.1780367029653324E-5</v>
      </c>
      <c r="K4" s="10">
        <f>D4</f>
        <v>3.1780367029653324E-5</v>
      </c>
      <c r="L4" s="10">
        <f t="shared" ref="L4:M4" si="3">K4</f>
        <v>3.1780367029653324E-5</v>
      </c>
      <c r="M4" s="10">
        <f t="shared" si="0"/>
        <v>3.1780367029653324E-5</v>
      </c>
    </row>
    <row r="5" spans="1:13" x14ac:dyDescent="0.35">
      <c r="A5" s="5" t="s">
        <v>15</v>
      </c>
      <c r="B5" s="12">
        <f>'NB High Temp'!F10</f>
        <v>1.7204637228083889E-4</v>
      </c>
      <c r="C5" s="12">
        <f>'NB High Temp'!F45</f>
        <v>4.5951806950193628E-6</v>
      </c>
      <c r="D5" s="12">
        <f>'NB High Temp'!F56</f>
        <v>2.0725243194734525E-5</v>
      </c>
      <c r="E5" s="10">
        <f>C5</f>
        <v>4.5951806950193628E-6</v>
      </c>
      <c r="F5" s="10">
        <f>D5*(F2/D2)</f>
        <v>1.2230751723262388E-5</v>
      </c>
      <c r="G5" s="40">
        <v>0</v>
      </c>
      <c r="H5" s="10">
        <f>F5</f>
        <v>1.2230751723262388E-5</v>
      </c>
      <c r="I5" s="10">
        <f>F5</f>
        <v>1.2230751723262388E-5</v>
      </c>
      <c r="J5" s="10">
        <f>F5</f>
        <v>1.2230751723262388E-5</v>
      </c>
      <c r="K5" s="12">
        <f>'NB High Temp'!F67</f>
        <v>3.265784625690839E-5</v>
      </c>
      <c r="L5" s="12">
        <f t="shared" ref="L5:M5" si="4">K5</f>
        <v>3.265784625690839E-5</v>
      </c>
      <c r="M5" s="12">
        <f t="shared" si="0"/>
        <v>3.265784625690839E-5</v>
      </c>
    </row>
    <row r="6" spans="1:13" x14ac:dyDescent="0.35">
      <c r="A6" s="5" t="s">
        <v>16</v>
      </c>
      <c r="B6" s="12">
        <f>Cooling!$B$49</f>
        <v>4.4520366169683022E-5</v>
      </c>
      <c r="C6" s="10">
        <f>$D$6</f>
        <v>1.8088159747275158E-5</v>
      </c>
      <c r="D6" s="12">
        <f>Cooling!$B$27</f>
        <v>1.8088159747275158E-5</v>
      </c>
      <c r="E6" s="10">
        <f>$D$6</f>
        <v>1.8088159747275158E-5</v>
      </c>
      <c r="F6" s="10">
        <f>$D$6</f>
        <v>1.8088159747275158E-5</v>
      </c>
      <c r="G6" s="40">
        <v>0</v>
      </c>
      <c r="H6" s="10">
        <f>$D$6</f>
        <v>1.8088159747275158E-5</v>
      </c>
      <c r="I6" s="10">
        <f>$D$6</f>
        <v>1.8088159747275158E-5</v>
      </c>
      <c r="J6" s="10">
        <f>$D$6</f>
        <v>1.8088159747275158E-5</v>
      </c>
      <c r="K6" s="10">
        <f>$D$6*(K2/D2)</f>
        <v>2.7132239620912736E-5</v>
      </c>
      <c r="L6" s="10">
        <f t="shared" ref="L6:M6" si="5">K6</f>
        <v>2.7132239620912736E-5</v>
      </c>
      <c r="M6" s="10">
        <f t="shared" si="0"/>
        <v>2.7132239620912736E-5</v>
      </c>
    </row>
    <row r="7" spans="1:13" x14ac:dyDescent="0.35">
      <c r="A7" s="5" t="s">
        <v>17</v>
      </c>
      <c r="B7" s="12">
        <f>'Machine Drive'!$U$22</f>
        <v>1.4733459973606227E-4</v>
      </c>
      <c r="C7" s="10">
        <f>$F$7</f>
        <v>7.0734511678239686E-5</v>
      </c>
      <c r="D7" s="10">
        <f>$F$7</f>
        <v>7.0734511678239686E-5</v>
      </c>
      <c r="E7" s="10">
        <f>$F$7</f>
        <v>7.0734511678239686E-5</v>
      </c>
      <c r="F7" s="12">
        <f>'Machine Drive'!D32</f>
        <v>7.0734511678239686E-5</v>
      </c>
      <c r="G7" s="40">
        <v>0</v>
      </c>
      <c r="H7" s="10">
        <f>$F$7</f>
        <v>7.0734511678239686E-5</v>
      </c>
      <c r="I7" s="10">
        <f>$F$7</f>
        <v>7.0734511678239686E-5</v>
      </c>
      <c r="J7" s="10">
        <f>$F$7</f>
        <v>7.0734511678239686E-5</v>
      </c>
      <c r="K7" s="10">
        <f>$F$7</f>
        <v>7.0734511678239686E-5</v>
      </c>
      <c r="L7" s="10">
        <f t="shared" ref="L7:M7" si="6">K7</f>
        <v>7.0734511678239686E-5</v>
      </c>
      <c r="M7" s="10">
        <f t="shared" si="0"/>
        <v>7.0734511678239686E-5</v>
      </c>
    </row>
    <row r="8" spans="1:13" x14ac:dyDescent="0.35">
      <c r="A8" s="5" t="s">
        <v>18</v>
      </c>
      <c r="B8" s="12">
        <f>Electrochemical!$G32</f>
        <v>4.4539618429716232E-5</v>
      </c>
      <c r="C8" s="40">
        <v>0</v>
      </c>
      <c r="D8" s="40">
        <v>0</v>
      </c>
      <c r="E8" s="40">
        <v>0</v>
      </c>
      <c r="F8" s="40">
        <v>0</v>
      </c>
      <c r="G8" s="40">
        <v>0</v>
      </c>
      <c r="H8" s="40">
        <v>0</v>
      </c>
      <c r="I8" s="40">
        <v>0</v>
      </c>
      <c r="J8" s="40">
        <v>0</v>
      </c>
      <c r="K8" s="40">
        <v>0</v>
      </c>
      <c r="L8" s="40">
        <f t="shared" ref="L8:M8" si="7">K8</f>
        <v>0</v>
      </c>
      <c r="M8" s="40">
        <f t="shared" si="0"/>
        <v>0</v>
      </c>
    </row>
    <row r="9" spans="1:13" x14ac:dyDescent="0.35">
      <c r="A9" s="5" t="s">
        <v>19</v>
      </c>
      <c r="B9" s="12">
        <f>Other!E9</f>
        <v>7.0401933942914745E-6</v>
      </c>
      <c r="C9" s="10">
        <f>D9*(C2/D2)</f>
        <v>2.0886792055175448E-5</v>
      </c>
      <c r="D9" s="12">
        <f>Other!B24</f>
        <v>2.2284525195577483E-5</v>
      </c>
      <c r="E9" s="10">
        <f>C9</f>
        <v>2.0886792055175448E-5</v>
      </c>
      <c r="F9" s="10">
        <f>D9*(F2/D2)</f>
        <v>1.3150943145851209E-5</v>
      </c>
      <c r="G9" s="40">
        <v>0</v>
      </c>
      <c r="H9" s="10">
        <f>F9</f>
        <v>1.3150943145851209E-5</v>
      </c>
      <c r="I9" s="10">
        <f>F9</f>
        <v>1.3150943145851209E-5</v>
      </c>
      <c r="J9" s="10">
        <f>F9</f>
        <v>1.3150943145851209E-5</v>
      </c>
      <c r="K9" s="10">
        <f>D9*(K2/D2)</f>
        <v>3.3426787793366228E-5</v>
      </c>
      <c r="L9" s="10">
        <f t="shared" ref="L9:M9" si="8">K9</f>
        <v>3.3426787793366228E-5</v>
      </c>
      <c r="M9" s="10">
        <f t="shared" si="0"/>
        <v>3.3426787793366228E-5</v>
      </c>
    </row>
    <row r="12" spans="1:13" x14ac:dyDescent="0.35">
      <c r="A12" s="13" t="s">
        <v>81</v>
      </c>
    </row>
    <row r="13" spans="1:13" x14ac:dyDescent="0.35">
      <c r="A13" t="s">
        <v>286</v>
      </c>
    </row>
    <row r="41" spans="1:1" x14ac:dyDescent="0.35">
      <c r="A41" t="s">
        <v>384</v>
      </c>
    </row>
    <row r="42" spans="1:1" x14ac:dyDescent="0.35">
      <c r="A42" t="s">
        <v>386</v>
      </c>
    </row>
    <row r="43" spans="1:1" x14ac:dyDescent="0.35">
      <c r="A43" t="s">
        <v>385</v>
      </c>
    </row>
    <row r="44" spans="1:1" x14ac:dyDescent="0.35">
      <c r="A44" t="s">
        <v>387</v>
      </c>
    </row>
    <row r="45" spans="1:1" x14ac:dyDescent="0.35">
      <c r="A45" t="s">
        <v>388</v>
      </c>
    </row>
  </sheetData>
  <pageMargins left="0.7" right="0.7" top="0.75" bottom="0.75" header="0.3" footer="0.3"/>
  <drawing r:id="rId1"/>
</worksheet>
</file>

<file path=docMetadata/LabelInfo.xml><?xml version="1.0" encoding="utf-8"?>
<clbl:labelList xmlns:clbl="http://schemas.microsoft.com/office/2020/mipLabelMetadata">
  <clbl:label id="{c7ef1c8b-ba63-4702-8e74-5094387a97de}" enabled="0" method="" siteId="{c7ef1c8b-ba63-4702-8e74-5094387a97de}"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About</vt:lpstr>
      <vt:lpstr>Boilers</vt:lpstr>
      <vt:lpstr>Cooling</vt:lpstr>
      <vt:lpstr>NB Medium Temp</vt:lpstr>
      <vt:lpstr>NB High Temp</vt:lpstr>
      <vt:lpstr>Machine Drive</vt:lpstr>
      <vt:lpstr>Electrochemical</vt:lpstr>
      <vt:lpstr>Other</vt:lpstr>
      <vt:lpstr>Aggregation</vt:lpstr>
      <vt:lpstr>IECCpUAEU</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 Rissman</dc:creator>
  <cp:lastModifiedBy>Dan O'Brien</cp:lastModifiedBy>
  <dcterms:created xsi:type="dcterms:W3CDTF">2024-08-15T22:42:40Z</dcterms:created>
  <dcterms:modified xsi:type="dcterms:W3CDTF">2025-03-17T18:29:48Z</dcterms:modified>
</cp:coreProperties>
</file>