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24226"/>
  <mc:AlternateContent xmlns:mc="http://schemas.openxmlformats.org/markup-compatibility/2006">
    <mc:Choice Requires="x15">
      <x15ac:absPath xmlns:x15ac="http://schemas.microsoft.com/office/spreadsheetml/2010/11/ac" url="C:\Modeling\EPS\US\eps-us\InputData\trans\BVS\"/>
    </mc:Choice>
  </mc:AlternateContent>
  <xr:revisionPtr revIDLastSave="0" documentId="13_ncr:1_{116D7EF2-3C86-4E89-8090-35539B011F07}" xr6:coauthVersionLast="47" xr6:coauthVersionMax="47" xr10:uidLastSave="{00000000-0000-0000-0000-000000000000}"/>
  <bookViews>
    <workbookView xWindow="35745" yWindow="1065" windowWidth="21660" windowHeight="15840" activeTab="1" xr2:uid="{00000000-000D-0000-FFFF-FFFF00000000}"/>
  </bookViews>
  <sheets>
    <sheet name="About" sheetId="1" r:id="rId1"/>
    <sheet name="Passenger Vehicle Calculations" sheetId="114" r:id="rId2"/>
    <sheet name="Commercial Vehicles" sheetId="117" r:id="rId3"/>
    <sheet name="psgr" sheetId="17" r:id="rId4"/>
    <sheet name="BVS-psgr-LDVs" sheetId="2" r:id="rId5"/>
    <sheet name="BVS-psgr-HDVs" sheetId="101" r:id="rId6"/>
    <sheet name="BVS-psgr-aircraft" sheetId="105" r:id="rId7"/>
    <sheet name="BVP-psgr-rail" sheetId="104" r:id="rId8"/>
    <sheet name="BVS-psgr-ships" sheetId="103" r:id="rId9"/>
    <sheet name="BVS-psgr-motorbikes" sheetId="102" r:id="rId10"/>
    <sheet name="frgt" sheetId="106" r:id="rId11"/>
    <sheet name="BVS-frgt-LDVs" sheetId="107" r:id="rId12"/>
    <sheet name="BVS-frgt-HDVs" sheetId="108" r:id="rId13"/>
    <sheet name="BVS-frgt-aircraft" sheetId="109" r:id="rId14"/>
    <sheet name="BVS-frgt-rail" sheetId="110" r:id="rId15"/>
    <sheet name="BVS-frgt-ships" sheetId="111" r:id="rId16"/>
    <sheet name="BVS-frgt-motorbikes" sheetId="112" r:id="rId1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50" i="114" l="1"/>
  <c r="J54" i="114"/>
  <c r="I54" i="114"/>
  <c r="H54" i="114"/>
  <c r="G66" i="114" s="1"/>
  <c r="J34" i="114"/>
  <c r="I34" i="114"/>
  <c r="H34" i="114"/>
  <c r="G34" i="114"/>
  <c r="G54" i="114"/>
  <c r="D54" i="114"/>
  <c r="D34" i="114"/>
  <c r="E34" i="114"/>
  <c r="E54" i="114"/>
  <c r="D66" i="114" s="1"/>
  <c r="F54" i="114"/>
  <c r="F34" i="114"/>
  <c r="H41" i="114"/>
  <c r="H21" i="114"/>
  <c r="I21" i="114"/>
  <c r="J21" i="114" s="1"/>
  <c r="G41" i="114"/>
  <c r="F41" i="114"/>
  <c r="E41" i="114"/>
  <c r="D41" i="114"/>
  <c r="D21" i="114"/>
  <c r="E21" i="114"/>
  <c r="F21" i="114"/>
  <c r="G21" i="114"/>
  <c r="H43" i="114"/>
  <c r="G43" i="114"/>
  <c r="F43" i="114"/>
  <c r="E43" i="114"/>
  <c r="D43" i="114"/>
  <c r="C66" i="114" s="1"/>
  <c r="H23" i="114"/>
  <c r="I23" i="114" s="1"/>
  <c r="J23" i="114" s="1"/>
  <c r="G23" i="114"/>
  <c r="F23" i="114"/>
  <c r="E23" i="114"/>
  <c r="D23" i="114"/>
  <c r="D45" i="114"/>
  <c r="D25" i="114"/>
  <c r="E45" i="114"/>
  <c r="E25" i="114"/>
  <c r="F45" i="114"/>
  <c r="F25" i="114"/>
  <c r="G45" i="114"/>
  <c r="G25" i="114"/>
  <c r="D42" i="114"/>
  <c r="J22" i="114"/>
  <c r="I22" i="114"/>
  <c r="H22" i="114"/>
  <c r="G22" i="114"/>
  <c r="F22" i="114"/>
  <c r="E22" i="114"/>
  <c r="D22" i="114"/>
  <c r="J41" i="114"/>
  <c r="I41" i="114"/>
  <c r="J40" i="114"/>
  <c r="I40" i="114"/>
  <c r="H40" i="114"/>
  <c r="G40" i="114"/>
  <c r="F40" i="114"/>
  <c r="E40" i="114"/>
  <c r="D40" i="114"/>
  <c r="B56" i="114"/>
  <c r="B51" i="114"/>
  <c r="I43" i="114"/>
  <c r="J43" i="114" s="1"/>
  <c r="E39" i="114"/>
  <c r="F39" i="114" s="1"/>
  <c r="G39" i="114" s="1"/>
  <c r="H39" i="114" s="1"/>
  <c r="I39" i="114" s="1"/>
  <c r="J39" i="114" s="1"/>
  <c r="C79" i="114" a="1"/>
  <c r="C79" i="114" s="1"/>
  <c r="G109" i="114"/>
  <c r="G108" i="114"/>
  <c r="G107" i="114"/>
  <c r="G106" i="114"/>
  <c r="G105" i="114"/>
  <c r="G104" i="114"/>
  <c r="G103" i="114"/>
  <c r="G102" i="114"/>
  <c r="G101" i="114"/>
  <c r="G100" i="114"/>
  <c r="G99" i="114"/>
  <c r="B31" i="114"/>
  <c r="B36" i="114" s="1"/>
  <c r="G20" i="114"/>
  <c r="F20" i="114"/>
  <c r="E20" i="114"/>
  <c r="D20" i="114"/>
  <c r="I76" i="114"/>
  <c r="J76" i="114" s="1"/>
  <c r="J20" i="114"/>
  <c r="G4" i="114"/>
  <c r="H4" i="114"/>
  <c r="I4" i="114"/>
  <c r="J4" i="114"/>
  <c r="K4" i="114"/>
  <c r="L4" i="114"/>
  <c r="M4" i="114"/>
  <c r="G5" i="114"/>
  <c r="H5" i="114"/>
  <c r="I5" i="114"/>
  <c r="J5" i="114"/>
  <c r="K5" i="114"/>
  <c r="L5" i="114"/>
  <c r="M5" i="114"/>
  <c r="F5" i="114"/>
  <c r="F4" i="114"/>
  <c r="E4" i="114"/>
  <c r="E5" i="114"/>
  <c r="D5" i="114"/>
  <c r="D4" i="114"/>
  <c r="E2" i="108"/>
  <c r="F2" i="108"/>
  <c r="G2" i="108"/>
  <c r="G6" i="108" s="1"/>
  <c r="H2" i="108"/>
  <c r="I2" i="108"/>
  <c r="J2" i="108"/>
  <c r="K2" i="108"/>
  <c r="K8" i="108" s="1"/>
  <c r="L2" i="108"/>
  <c r="L6" i="108" s="1"/>
  <c r="M2" i="108"/>
  <c r="E6" i="108"/>
  <c r="F6" i="108"/>
  <c r="H6" i="108"/>
  <c r="I6" i="108"/>
  <c r="J6" i="108"/>
  <c r="K6" i="108"/>
  <c r="M6" i="108"/>
  <c r="E8" i="108"/>
  <c r="F8" i="108"/>
  <c r="H8" i="108"/>
  <c r="I8" i="108"/>
  <c r="J8" i="108"/>
  <c r="M8" i="108"/>
  <c r="D8" i="108"/>
  <c r="D6" i="108"/>
  <c r="D2" i="108"/>
  <c r="E6" i="107"/>
  <c r="F6" i="107"/>
  <c r="G6" i="107"/>
  <c r="H6" i="107"/>
  <c r="I6" i="107"/>
  <c r="J6" i="107"/>
  <c r="K6" i="107"/>
  <c r="L6" i="107"/>
  <c r="M6" i="107"/>
  <c r="E8" i="107"/>
  <c r="F8" i="107"/>
  <c r="G8" i="107"/>
  <c r="H8" i="107"/>
  <c r="I8" i="107"/>
  <c r="J8" i="107"/>
  <c r="K8" i="107"/>
  <c r="L8" i="107"/>
  <c r="M8" i="107"/>
  <c r="D8" i="107"/>
  <c r="D6" i="107"/>
  <c r="E2" i="107"/>
  <c r="F2" i="107"/>
  <c r="G2" i="107"/>
  <c r="H2" i="107"/>
  <c r="I2" i="107"/>
  <c r="J2" i="107"/>
  <c r="K2" i="107"/>
  <c r="L2" i="107"/>
  <c r="M2" i="107"/>
  <c r="D2" i="107"/>
  <c r="E2" i="101"/>
  <c r="F2" i="101"/>
  <c r="G2" i="101"/>
  <c r="H2" i="101"/>
  <c r="H6" i="101" s="1"/>
  <c r="I2" i="101"/>
  <c r="J2" i="101"/>
  <c r="J6" i="101" s="1"/>
  <c r="K2" i="101"/>
  <c r="K8" i="101" s="1"/>
  <c r="L2" i="101"/>
  <c r="L6" i="101" s="1"/>
  <c r="M2" i="101"/>
  <c r="E6" i="101"/>
  <c r="F6" i="101"/>
  <c r="G6" i="101"/>
  <c r="I6" i="101"/>
  <c r="M6" i="101"/>
  <c r="E8" i="101"/>
  <c r="F8" i="101"/>
  <c r="G8" i="101"/>
  <c r="H8" i="101"/>
  <c r="I8" i="101"/>
  <c r="M8" i="101"/>
  <c r="D8" i="101"/>
  <c r="D6" i="101"/>
  <c r="D2" i="101"/>
  <c r="D25" i="117"/>
  <c r="D23" i="117"/>
  <c r="B8" i="117"/>
  <c r="B7" i="117"/>
  <c r="F66" i="114" l="1"/>
  <c r="E66" i="114"/>
  <c r="I66" i="114"/>
  <c r="J66" i="114" s="1"/>
  <c r="K66" i="114" s="1"/>
  <c r="L66" i="114" s="1"/>
  <c r="M66" i="114" s="1"/>
  <c r="N66" i="114" s="1"/>
  <c r="O66" i="114" s="1"/>
  <c r="P66" i="114" s="1"/>
  <c r="Q66" i="114" s="1"/>
  <c r="R66" i="114" s="1"/>
  <c r="S66" i="114" s="1"/>
  <c r="T66" i="114" s="1"/>
  <c r="U66" i="114" s="1"/>
  <c r="V66" i="114" s="1"/>
  <c r="W66" i="114" s="1"/>
  <c r="X66" i="114" s="1"/>
  <c r="Y66" i="114" s="1"/>
  <c r="Z66" i="114" s="1"/>
  <c r="AA66" i="114" s="1"/>
  <c r="AB66" i="114" s="1"/>
  <c r="AC66" i="114" s="1"/>
  <c r="AD66" i="114" s="1"/>
  <c r="AE66" i="114" s="1"/>
  <c r="AF66" i="114" s="1"/>
  <c r="AG66" i="114" s="1"/>
  <c r="H66" i="114"/>
  <c r="P79" i="114" a="1"/>
  <c r="P79" i="114" s="1"/>
  <c r="H65" i="114" s="1"/>
  <c r="F65" i="114"/>
  <c r="G65" i="114"/>
  <c r="E65" i="114"/>
  <c r="C65" i="114"/>
  <c r="D65" i="114"/>
  <c r="G8" i="108"/>
  <c r="L8" i="108"/>
  <c r="K6" i="101"/>
  <c r="J8" i="101"/>
  <c r="L8" i="101"/>
  <c r="D24" i="117"/>
  <c r="Y36" i="117" s="1"/>
  <c r="B36" i="117"/>
  <c r="Z36" i="117"/>
  <c r="P36" i="117"/>
  <c r="C36" i="117"/>
  <c r="B11" i="117" s="1"/>
  <c r="K36" i="117"/>
  <c r="J11" i="117" s="1"/>
  <c r="D36" i="117"/>
  <c r="C11" i="117" s="1"/>
  <c r="L36" i="117"/>
  <c r="K11" i="117" s="1"/>
  <c r="T36" i="117"/>
  <c r="AB36" i="117"/>
  <c r="H36" i="117"/>
  <c r="G11" i="117" s="1"/>
  <c r="E36" i="117"/>
  <c r="D11" i="117" s="1"/>
  <c r="M36" i="117"/>
  <c r="U36" i="117"/>
  <c r="AC36" i="117"/>
  <c r="Q36" i="117"/>
  <c r="R36" i="117"/>
  <c r="N36" i="117"/>
  <c r="V36" i="117"/>
  <c r="I65" i="114" l="1"/>
  <c r="J65" i="114" s="1"/>
  <c r="K65" i="114" s="1"/>
  <c r="L65" i="114" s="1"/>
  <c r="M65" i="114" s="1"/>
  <c r="N65" i="114" s="1"/>
  <c r="O65" i="114" s="1"/>
  <c r="P65" i="114" s="1"/>
  <c r="Q65" i="114" s="1"/>
  <c r="R65" i="114" s="1"/>
  <c r="S65" i="114" s="1"/>
  <c r="T65" i="114" s="1"/>
  <c r="U65" i="114" s="1"/>
  <c r="V65" i="114" s="1"/>
  <c r="W65" i="114" s="1"/>
  <c r="X65" i="114" s="1"/>
  <c r="Y65" i="114" s="1"/>
  <c r="Z65" i="114" s="1"/>
  <c r="AA65" i="114" s="1"/>
  <c r="AB65" i="114" s="1"/>
  <c r="AC65" i="114" s="1"/>
  <c r="AD65" i="114" s="1"/>
  <c r="AE65" i="114" s="1"/>
  <c r="AF65" i="114" s="1"/>
  <c r="AG65" i="114" s="1"/>
  <c r="X36" i="117"/>
  <c r="G36" i="117"/>
  <c r="F11" i="117" s="1"/>
  <c r="O36" i="117"/>
  <c r="W36" i="117"/>
  <c r="J36" i="117"/>
  <c r="I11" i="117" s="1"/>
  <c r="AA36" i="117"/>
  <c r="F36" i="117"/>
  <c r="E11" i="117" s="1"/>
  <c r="I36" i="117"/>
  <c r="H11" i="117" s="1"/>
  <c r="S36" i="117"/>
  <c r="AD36" i="117"/>
  <c r="E19" i="114" l="1"/>
  <c r="F19" i="114" s="1"/>
  <c r="G19" i="114" s="1"/>
  <c r="H19" i="114" s="1"/>
  <c r="I19" i="114" s="1"/>
  <c r="J19" i="114" s="1"/>
  <c r="AF69" i="114" l="1"/>
  <c r="AE2" i="2" s="1"/>
  <c r="AE8" i="2" s="1"/>
  <c r="G70" i="114"/>
  <c r="F6" i="2" s="1"/>
  <c r="G69" i="114" l="1"/>
  <c r="F2" i="2" s="1"/>
  <c r="F8" i="2" s="1"/>
  <c r="T70" i="114"/>
  <c r="S6" i="2" s="1"/>
  <c r="AB69" i="114"/>
  <c r="AA2" i="2" s="1"/>
  <c r="AA8" i="2" s="1"/>
  <c r="H70" i="114"/>
  <c r="G6" i="2" s="1"/>
  <c r="K70" i="114"/>
  <c r="J6" i="2" s="1"/>
  <c r="AB70" i="114"/>
  <c r="AA6" i="2" s="1"/>
  <c r="S69" i="114"/>
  <c r="R2" i="2" s="1"/>
  <c r="R8" i="2" s="1"/>
  <c r="O70" i="114"/>
  <c r="N6" i="2" s="1"/>
  <c r="P70" i="114"/>
  <c r="O6" i="2" s="1"/>
  <c r="V69" i="114"/>
  <c r="U2" i="2" s="1"/>
  <c r="U8" i="2" s="1"/>
  <c r="Q69" i="114"/>
  <c r="P2" i="2" s="1"/>
  <c r="P8" i="2" s="1"/>
  <c r="M70" i="114"/>
  <c r="L6" i="2" s="1"/>
  <c r="AD70" i="114"/>
  <c r="AC6" i="2" s="1"/>
  <c r="M69" i="114"/>
  <c r="L2" i="2" s="1"/>
  <c r="L8" i="2" s="1"/>
  <c r="O69" i="114"/>
  <c r="N2" i="2" s="1"/>
  <c r="N8" i="2" s="1"/>
  <c r="P69" i="114"/>
  <c r="O2" i="2" s="1"/>
  <c r="O8" i="2" s="1"/>
  <c r="L70" i="114"/>
  <c r="K6" i="2" s="1"/>
  <c r="AC70" i="114"/>
  <c r="AB6" i="2" s="1"/>
  <c r="T69" i="114"/>
  <c r="S2" i="2" s="1"/>
  <c r="S8" i="2" s="1"/>
  <c r="AC69" i="114"/>
  <c r="AB2" i="2" s="1"/>
  <c r="AB8" i="2" s="1"/>
  <c r="J70" i="114"/>
  <c r="I6" i="2" s="1"/>
  <c r="X69" i="114"/>
  <c r="W2" i="2" s="1"/>
  <c r="W8" i="2" s="1"/>
  <c r="K69" i="114"/>
  <c r="J2" i="2" s="1"/>
  <c r="J8" i="2" s="1"/>
  <c r="N69" i="114"/>
  <c r="M2" i="2" s="1"/>
  <c r="M8" i="2" s="1"/>
  <c r="S70" i="114"/>
  <c r="R6" i="2" s="1"/>
  <c r="J69" i="114"/>
  <c r="I2" i="2" s="1"/>
  <c r="I8" i="2" s="1"/>
  <c r="AA69" i="114"/>
  <c r="Z2" i="2" s="1"/>
  <c r="Z8" i="2" s="1"/>
  <c r="W70" i="114"/>
  <c r="V6" i="2" s="1"/>
  <c r="X70" i="114"/>
  <c r="W6" i="2" s="1"/>
  <c r="AD69" i="114"/>
  <c r="AC2" i="2" s="1"/>
  <c r="AC8" i="2" s="1"/>
  <c r="AA70" i="114"/>
  <c r="Z6" i="2" s="1"/>
  <c r="R69" i="114"/>
  <c r="Q2" i="2" s="1"/>
  <c r="Q8" i="2" s="1"/>
  <c r="N70" i="114"/>
  <c r="M6" i="2" s="1"/>
  <c r="AE70" i="114"/>
  <c r="AD6" i="2" s="1"/>
  <c r="AF70" i="114"/>
  <c r="AE6" i="2" s="1"/>
  <c r="I70" i="114"/>
  <c r="H6" i="2" s="1"/>
  <c r="I69" i="114"/>
  <c r="H2" i="2" s="1"/>
  <c r="H8" i="2" s="1"/>
  <c r="Z69" i="114"/>
  <c r="Y2" i="2" s="1"/>
  <c r="Y8" i="2" s="1"/>
  <c r="V70" i="114"/>
  <c r="U6" i="2" s="1"/>
  <c r="W69" i="114"/>
  <c r="V2" i="2" s="1"/>
  <c r="V8" i="2" s="1"/>
  <c r="Q70" i="114"/>
  <c r="P6" i="2" s="1"/>
  <c r="H69" i="114"/>
  <c r="G2" i="2" s="1"/>
  <c r="G8" i="2" s="1"/>
  <c r="Y69" i="114"/>
  <c r="X2" i="2" s="1"/>
  <c r="X8" i="2" s="1"/>
  <c r="U70" i="114"/>
  <c r="T6" i="2" s="1"/>
  <c r="L69" i="114"/>
  <c r="K2" i="2" s="1"/>
  <c r="K8" i="2" s="1"/>
  <c r="U69" i="114"/>
  <c r="T2" i="2" s="1"/>
  <c r="T8" i="2" s="1"/>
  <c r="AE69" i="114"/>
  <c r="AD2" i="2" s="1"/>
  <c r="AD8" i="2" s="1"/>
  <c r="Y70" i="114"/>
  <c r="X6" i="2" s="1"/>
  <c r="Z70" i="114"/>
  <c r="Y6" i="2" s="1"/>
  <c r="R70" i="114"/>
  <c r="Q6" i="2" s="1"/>
  <c r="F70" i="114"/>
  <c r="F69" i="114"/>
  <c r="E2" i="2" s="1"/>
  <c r="E8" i="2" s="1"/>
  <c r="E6" i="2" l="1"/>
  <c r="E70" i="114" l="1"/>
  <c r="E69" i="114"/>
  <c r="D2" i="2" s="1"/>
  <c r="D8" i="2" s="1"/>
  <c r="D6" i="2" l="1"/>
  <c r="D70" i="114" l="1"/>
  <c r="D69" i="114"/>
  <c r="C2" i="2" s="1"/>
  <c r="C6" i="2" l="1"/>
  <c r="C69" i="114" l="1"/>
  <c r="B2" i="2" s="1"/>
  <c r="C70" i="114"/>
  <c r="B6"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Daniel O'Brien</author>
    <author>tc={94EC4F1A-4D24-4F44-A34B-386F9FB62127}</author>
    <author>tc={9DBAEA6F-524D-4D30-93F7-3DE2900676A6}</author>
  </authors>
  <commentList>
    <comment ref="K19" authorId="0" shapeId="0" xr:uid="{DFD8252E-7E14-48C3-89C2-2C7A608E1296}">
      <text>
        <r>
          <rPr>
            <b/>
            <sz val="9"/>
            <color indexed="81"/>
            <rFont val="Tahoma"/>
            <family val="2"/>
          </rPr>
          <t>Daniel O'Brien:</t>
        </r>
        <r>
          <rPr>
            <sz val="9"/>
            <color indexed="81"/>
            <rFont val="Tahoma"/>
            <family val="2"/>
          </rPr>
          <t xml:space="preserve">
Where data is available, we take the total ev subsidy spend and divide by the total sales of EVs in the state</t>
        </r>
      </text>
    </comment>
    <comment ref="I21" authorId="0" shapeId="0" xr:uid="{DC8CC06D-E747-4DF6-BAB3-83E7FCB980AE}">
      <text>
        <r>
          <rPr>
            <b/>
            <sz val="9"/>
            <color indexed="81"/>
            <rFont val="Tahoma"/>
            <family val="2"/>
          </rPr>
          <t>Daniel O'Brien:</t>
        </r>
        <r>
          <rPr>
            <sz val="9"/>
            <color indexed="81"/>
            <rFont val="Tahoma"/>
            <family val="2"/>
          </rPr>
          <t xml:space="preserve">
BEV standard rebate reduced to 1500 on 1/1/25
</t>
        </r>
      </text>
    </comment>
    <comment ref="D31" authorId="1" shapeId="0" xr:uid="{94EC4F1A-4D24-4F44-A34B-386F9FB62127}">
      <text>
        <t>[Threaded comment]
Your version of Excel allows you to read this threaded comment; however, any edits to it will get removed if the file is opened in a newer version of Excel. Learn more: https://go.microsoft.com/fwlink/?linkid=870924
Comment:
    Adjust weighting for PA - only first 500 people get it</t>
      </text>
    </comment>
    <comment ref="D51" authorId="2" shapeId="0" xr:uid="{9DBAEA6F-524D-4D30-93F7-3DE2900676A6}">
      <text>
        <t>[Threaded comment]
Your version of Excel allows you to read this threaded comment; however, any edits to it will get removed if the file is opened in a newer version of Excel. Learn more: https://go.microsoft.com/fwlink/?linkid=870924
Comment:
    Adjust weighting for PA - only first 500 people get it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<sst xmlns="http://schemas.openxmlformats.org/spreadsheetml/2006/main" count="272" uniqueCount="128">
  <si>
    <t>Sources:</t>
  </si>
  <si>
    <t>battery electric vehicle</t>
  </si>
  <si>
    <t>natural gas vehicle</t>
  </si>
  <si>
    <t>gasoline vehicle</t>
  </si>
  <si>
    <t>diesel vehicle</t>
  </si>
  <si>
    <t>plugin hybrid vehicle</t>
  </si>
  <si>
    <t>LPG vehicle</t>
  </si>
  <si>
    <t>hydrogen vehicle</t>
  </si>
  <si>
    <t>Subsidy (2012 USD)</t>
  </si>
  <si>
    <t>BVS BAU Vehicle Subsidy</t>
  </si>
  <si>
    <t>State EV Subsidy Amounts</t>
  </si>
  <si>
    <t>This list only includes rebates on the EV itself, not on charging equipment.</t>
  </si>
  <si>
    <t>It also omits states that do not offer a rebate but do exempt EVs from sales, use, or excise taxes.</t>
  </si>
  <si>
    <t>TC</t>
  </si>
  <si>
    <t>https://www.energysage.com/electric-vehicles/costs-and-benefits-evs/ev-tax-credits/</t>
  </si>
  <si>
    <t>https://www.tesla.com/support/incentives</t>
  </si>
  <si>
    <t>Note: Could be an optimistic estimate</t>
  </si>
  <si>
    <t>State</t>
  </si>
  <si>
    <t>Population, millions (June 2022)</t>
  </si>
  <si>
    <t>Category</t>
  </si>
  <si>
    <t>CO</t>
  </si>
  <si>
    <t>LDV</t>
  </si>
  <si>
    <t>CT</t>
  </si>
  <si>
    <t>https://afdc.energy.gov/laws/11609</t>
  </si>
  <si>
    <t>DE</t>
  </si>
  <si>
    <t>NY</t>
  </si>
  <si>
    <t>TX</t>
  </si>
  <si>
    <t>Note: only 1 year program</t>
  </si>
  <si>
    <t>CA</t>
  </si>
  <si>
    <t>LA</t>
  </si>
  <si>
    <t>ME</t>
  </si>
  <si>
    <t>MD</t>
  </si>
  <si>
    <t>MA</t>
  </si>
  <si>
    <t>NJ</t>
  </si>
  <si>
    <t>OR</t>
  </si>
  <si>
    <t>VT</t>
  </si>
  <si>
    <t>Rest of country</t>
  </si>
  <si>
    <t>USA</t>
  </si>
  <si>
    <t>Note: Pennsylvania offers a $1750 rebate, but only to the first 250 qualified applicants.</t>
  </si>
  <si>
    <t>Total Tax Credit (2012$)</t>
  </si>
  <si>
    <t>battery electric vehicles</t>
  </si>
  <si>
    <t>plugin hybrid vehicles</t>
  </si>
  <si>
    <t>Pop-Weighted State Avg Tax Credit (2012$)</t>
  </si>
  <si>
    <t>Federal EV Subsidy Amount (2012$)</t>
  </si>
  <si>
    <t>2022 to 2012 $</t>
  </si>
  <si>
    <t>Federal IRA Incentives</t>
  </si>
  <si>
    <t>https://energyinnovation.org/publication/analyzing-the-impact-of-the-inflation-reduction-act-on-electric-vehicle-uptake-in-the-united-states/</t>
  </si>
  <si>
    <t>ICCT and Energy Innovation</t>
  </si>
  <si>
    <t>Methodology:</t>
  </si>
  <si>
    <t>Calculations:</t>
  </si>
  <si>
    <t>2022 $ to 2012 $</t>
  </si>
  <si>
    <t>Fraction of buses owned by private entities (see trans/FoVObE)</t>
  </si>
  <si>
    <t>The credit caps are $7,500 for vehicles under 14,000 lbs and $40,000 for vehicles over 14,000 lbs (class 4 and above). We need to calculate</t>
  </si>
  <si>
    <t>a weighted average credit for our freight LDV category, which includes vehicle classes 2b-6.</t>
  </si>
  <si>
    <t>AEO classifications (see AEO table footnotes)</t>
  </si>
  <si>
    <t>Class</t>
  </si>
  <si>
    <t>Weight</t>
  </si>
  <si>
    <t>Commercial light trucks</t>
  </si>
  <si>
    <t>2b</t>
  </si>
  <si>
    <t>8,501-10,000 lbs</t>
  </si>
  <si>
    <t>Light Medium trucks</t>
  </si>
  <si>
    <t>10,001-14,000 lbs</t>
  </si>
  <si>
    <t>Medium trucks</t>
  </si>
  <si>
    <t>14,001-26,000 lbs</t>
  </si>
  <si>
    <t>Weighted Average calculated relative to AEO sales</t>
  </si>
  <si>
    <t>Sales (thousands)</t>
  </si>
  <si>
    <t>Total Commercial Light Truck Sales</t>
  </si>
  <si>
    <t>Light Medium Subtotal</t>
  </si>
  <si>
    <t>Medium Subtotal</t>
  </si>
  <si>
    <t>Weighted Average Credit</t>
  </si>
  <si>
    <t>For commercial vehicle credits, we find that the credit caps of $7,500 for vehicles under 14,000 pounds or $40,000 for vehicles over 14,000 pounds apply in all years. We apply the credit to all new sales of commercial trucks, using a weighted average credit value for our freight LDV category which covers both light and medium duty trucks. We also apply the credit to a fraction of buses, excluding buses purchased by the government. The credit runs from 2023-2032.</t>
  </si>
  <si>
    <t>Commercial Vehicle Credit (2022 $)</t>
  </si>
  <si>
    <t>Passenger Vehicle Credit (2022 $)</t>
  </si>
  <si>
    <t>Psgr HDV (2012 $)</t>
  </si>
  <si>
    <t>Freight HDV (2012 $)</t>
  </si>
  <si>
    <t>Psgr LDV (2012 $)</t>
  </si>
  <si>
    <t>Credit Amount (2012 $)</t>
  </si>
  <si>
    <t>Source: EIA AEO 2023, Tables 44 and 49</t>
  </si>
  <si>
    <t>AEO 2023</t>
  </si>
  <si>
    <t>values from original IRA analysis</t>
  </si>
  <si>
    <t>Foreign Entities of Concern Multiplier</t>
  </si>
  <si>
    <t>BloombergNEF, MarkLines, Department of Energy</t>
  </si>
  <si>
    <t>We assume a 56% cut in our original analysis to represent FEOC restrictions for the year 2024, based on BNEF data. We assume more restrictive guidance starting in 2025 will reduce the credit amount by 75%.</t>
  </si>
  <si>
    <t>Future Inflation Assumption</t>
  </si>
  <si>
    <t>US average share of EVs leased vs purchased</t>
  </si>
  <si>
    <t>https://www.experian.com/blogs/ask-experian/electric-vehicle-trends/</t>
  </si>
  <si>
    <t>MN</t>
  </si>
  <si>
    <t>PA</t>
  </si>
  <si>
    <t>RI</t>
  </si>
  <si>
    <t>https://tax.colorado.gov/sites/tax/files/documents/ITT_Innovative_Motor_Vehicle_Credit_Feb_2024.pdf</t>
  </si>
  <si>
    <t>https://www.nyserda.ny.gov/All-Programs/Drive-Clean-Rebate-For-Electric-Cars-Program/Rebate-Data/Rebate-Stats</t>
  </si>
  <si>
    <t>https://cleanvehiclerebate.org/en/rebate-statistics</t>
  </si>
  <si>
    <t>Note: value was previously 1500 but after digging I don’t believe LA has ever had a state tax credit</t>
  </si>
  <si>
    <t>suspended all ev rebate programs starting in 2024</t>
  </si>
  <si>
    <t>no longer funds program</t>
  </si>
  <si>
    <t>Note; renewed on annual basis, only for first 500</t>
  </si>
  <si>
    <t>up to 4k if low income</t>
  </si>
  <si>
    <t>up to 3.2k if low income</t>
  </si>
  <si>
    <t>From BLS CPI tables</t>
  </si>
  <si>
    <t>Inflation adjuster</t>
  </si>
  <si>
    <t>2012............................................................................. .</t>
  </si>
  <si>
    <t>2013............................................................................. .</t>
  </si>
  <si>
    <t>2014............................................................................. .</t>
  </si>
  <si>
    <t>2015............................................................................. .</t>
  </si>
  <si>
    <t>2016............................................................................. .</t>
  </si>
  <si>
    <t>2017............................................................................. .</t>
  </si>
  <si>
    <t>2018............................................................................. .</t>
  </si>
  <si>
    <t>2019............................................................................. .</t>
  </si>
  <si>
    <t>2020............................................................................. .</t>
  </si>
  <si>
    <t>2021............................................................................. .</t>
  </si>
  <si>
    <t>2022............................................................................. .</t>
  </si>
  <si>
    <t>2023............................................................................. .</t>
  </si>
  <si>
    <t>2024............................................................................. .</t>
  </si>
  <si>
    <t>assumed fwd inflation</t>
  </si>
  <si>
    <t>Inflation Historical Data and Assumptions</t>
  </si>
  <si>
    <t>PHEV Subsidies</t>
  </si>
  <si>
    <t>BEV</t>
  </si>
  <si>
    <t>PHEV</t>
  </si>
  <si>
    <t>State Rebates + Tax Credits Updated 1/30/25</t>
  </si>
  <si>
    <t>https://data.delaware.gov/Energy-and-Environment/State-Rebates-for-Alternative-Fuel-Vehicles/8z8z-di7f/explore</t>
  </si>
  <si>
    <t>BEV Subsidies</t>
  </si>
  <si>
    <t>https://www.energy.ca.gov/data-reports/energy-almanac/zero-emission-vehicle-and-infrastructure-statistics-collection/new-zev</t>
  </si>
  <si>
    <t>data 1</t>
  </si>
  <si>
    <t>data 2</t>
  </si>
  <si>
    <t>https://www.nyserda.ny.gov/All-Programs/Drive-Clean-Rebate-For-Electric-Cars-Program/Rebate-Data/Map-of-EV-Registrations</t>
  </si>
  <si>
    <t>https://portal.ct.gov/ceq/ar-23-gold/2023-ceq-annual-report-ebook/personal-impact---waste-diversion/transportation</t>
  </si>
  <si>
    <t>https://evrebate.oregon.gov/rebate-statistics</t>
  </si>
  <si>
    <t>https://www.oregon.gov/energy/Data-and-Reports/Pages/Oregon-Electric-Vehicle-Dashboard.aspx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</si>
</sst>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44" formatCode="_(&quot;$&quot;* #,##0.00_);_(&quot;$&quot;* \(#,##0.00\);_(&quot;$&quot;* &quot;-&quot;??_);_(@_)"/>
    <numFmt numFmtId="164" formatCode="0.0%"/>
    <numFmt numFmtId="165" formatCode="&quot;$&quot;#,##0"/>
    <numFmt numFmtId="166" formatCode="m\-d"/>
  </numFmts>
  <fonts count="20" x14ac:knownFonts="1">
    <font>
      <sz val="11"/>
      <color theme="1"/>
      <name val="Calibri"/>
      <family val="2"/>
      <scheme val="minor"/>
    </font>
    <font>
      <b/>
      <sz val="11"/>
      <color theme="1"/>
      <name val="Calibri"/>
      <family val="2"/>
      <scheme val="minor"/>
    </font>
    <font>
      <sz val="9"/>
      <color indexed="8"/>
      <name val="Calibri"/>
      <family val="2"/>
    </font>
    <font>
      <b/>
      <sz val="9"/>
      <color indexed="8"/>
      <name val="Calibri"/>
      <family val="2"/>
    </font>
    <font>
      <b/>
      <sz val="12"/>
      <color indexed="30"/>
      <name val="Calibri"/>
      <family val="2"/>
    </font>
    <font>
      <u/>
      <sz val="11"/>
      <color theme="10"/>
      <name val="Calibri"/>
      <family val="2"/>
      <scheme val="minor"/>
    </font>
    <font>
      <sz val="11"/>
      <color theme="1"/>
      <name val="Calibri"/>
      <family val="2"/>
      <scheme val="minor"/>
    </font>
    <font>
      <b/>
      <sz val="11"/>
      <color theme="1"/>
      <name val="Calibri"/>
      <family val="2"/>
    </font>
    <font>
      <sz val="11"/>
      <color theme="1"/>
      <name val="Calibri"/>
      <family val="2"/>
    </font>
    <font>
      <u/>
      <sz val="11"/>
      <color theme="10"/>
      <name val="Arial"/>
      <family val="2"/>
    </font>
    <font>
      <u/>
      <sz val="11"/>
      <color theme="10"/>
      <name val="Calibri"/>
      <family val="2"/>
    </font>
    <font>
      <i/>
      <sz val="11"/>
      <color theme="1"/>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9"/>
      <color rgb="FF000000"/>
      <name val="Calibri"/>
      <family val="2"/>
    </font>
    <font>
      <b/>
      <sz val="9"/>
      <color rgb="FF000000"/>
      <name val="Calibri"/>
      <family val="2"/>
    </font>
    <font>
      <sz val="9"/>
      <color indexed="81"/>
      <name val="Tahoma"/>
      <family val="2"/>
    </font>
    <font>
      <b/>
      <sz val="9"/>
      <color indexed="81"/>
      <name val="Tahoma"/>
      <family val="2"/>
    </font>
  </fonts>
  <fills count="8">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FFFF00"/>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9" tint="0.79998168889431442"/>
        <bgColor indexed="64"/>
      </patternFill>
    </fill>
  </fills>
  <borders count="5">
    <border>
      <left/>
      <right/>
      <top/>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s>
  <cellStyleXfs count="33">
    <xf numFmtId="0" fontId="0" fillId="0" borderId="0"/>
    <xf numFmtId="0" fontId="2" fillId="0" borderId="0"/>
    <xf numFmtId="0" fontId="2" fillId="0" borderId="1" applyNumberFormat="0" applyProtection="0">
      <alignment wrapText="1"/>
    </xf>
    <xf numFmtId="0" fontId="3" fillId="0" borderId="2" applyNumberFormat="0" applyProtection="0">
      <alignment wrapText="1"/>
    </xf>
    <xf numFmtId="0" fontId="2" fillId="0" borderId="3" applyNumberFormat="0" applyFont="0" applyProtection="0">
      <alignment wrapText="1"/>
    </xf>
    <xf numFmtId="0" fontId="3" fillId="0" borderId="4" applyNumberFormat="0" applyProtection="0">
      <alignment wrapText="1"/>
    </xf>
    <xf numFmtId="0" fontId="2" fillId="0" borderId="0" applyNumberFormat="0" applyFill="0" applyBorder="0" applyAlignment="0" applyProtection="0"/>
    <xf numFmtId="0" fontId="4" fillId="0" borderId="0" applyNumberFormat="0" applyProtection="0">
      <alignment horizontal="left"/>
    </xf>
    <xf numFmtId="0" fontId="5" fillId="0" borderId="0" applyNumberFormat="0" applyFill="0" applyBorder="0" applyAlignment="0" applyProtection="0"/>
    <xf numFmtId="0" fontId="2" fillId="0" borderId="3">
      <alignment wrapText="1"/>
    </xf>
    <xf numFmtId="0" fontId="2" fillId="0" borderId="0"/>
    <xf numFmtId="0" fontId="2" fillId="0" borderId="1">
      <alignment wrapText="1"/>
    </xf>
    <xf numFmtId="0" fontId="3" fillId="0" borderId="4">
      <alignment wrapText="1"/>
    </xf>
    <xf numFmtId="0" fontId="3" fillId="0" borderId="2">
      <alignment wrapText="1"/>
    </xf>
    <xf numFmtId="0" fontId="4" fillId="0" borderId="0">
      <alignment horizontal="left"/>
    </xf>
    <xf numFmtId="0" fontId="6" fillId="0" borderId="0"/>
    <xf numFmtId="0" fontId="2" fillId="0" borderId="0"/>
    <xf numFmtId="0" fontId="2" fillId="0" borderId="3">
      <alignment wrapText="1"/>
    </xf>
    <xf numFmtId="0" fontId="2" fillId="0" borderId="0"/>
    <xf numFmtId="0" fontId="2" fillId="0" borderId="1">
      <alignment wrapText="1"/>
    </xf>
    <xf numFmtId="0" fontId="3" fillId="0" borderId="4">
      <alignment wrapText="1"/>
    </xf>
    <xf numFmtId="0" fontId="3" fillId="0" borderId="2">
      <alignment wrapText="1"/>
    </xf>
    <xf numFmtId="0" fontId="4" fillId="0" borderId="0">
      <alignment horizontal="left"/>
    </xf>
    <xf numFmtId="0" fontId="6" fillId="0" borderId="0"/>
    <xf numFmtId="0" fontId="2" fillId="0" borderId="3">
      <alignment wrapText="1"/>
    </xf>
    <xf numFmtId="0" fontId="2" fillId="0" borderId="0"/>
    <xf numFmtId="0" fontId="2" fillId="0" borderId="1">
      <alignment wrapText="1"/>
    </xf>
    <xf numFmtId="0" fontId="3" fillId="0" borderId="4">
      <alignment wrapText="1"/>
    </xf>
    <xf numFmtId="0" fontId="3" fillId="0" borderId="2">
      <alignment wrapText="1"/>
    </xf>
    <xf numFmtId="0" fontId="4" fillId="0" borderId="0">
      <alignment horizontal="left"/>
    </xf>
    <xf numFmtId="9" fontId="6" fillId="0" borderId="0" applyFont="0" applyFill="0" applyBorder="0" applyAlignment="0" applyProtection="0"/>
    <xf numFmtId="0" fontId="12" fillId="0" borderId="0"/>
    <xf numFmtId="44" fontId="12" fillId="0" borderId="0" applyFont="0" applyFill="0" applyBorder="0" applyAlignment="0" applyProtection="0"/>
  </cellStyleXfs>
  <cellXfs count="47">
    <xf numFmtId="0" fontId="0" fillId="0" borderId="0" xfId="0"/>
    <xf numFmtId="0" fontId="1" fillId="0" borderId="0" xfId="0" applyFont="1"/>
    <xf numFmtId="0" fontId="1" fillId="0" borderId="0" xfId="0" applyFont="1" applyAlignment="1">
      <alignment wrapText="1"/>
    </xf>
    <xf numFmtId="0" fontId="0" fillId="0" borderId="0" xfId="0" applyAlignment="1">
      <alignment horizontal="left"/>
    </xf>
    <xf numFmtId="0" fontId="5" fillId="0" borderId="0" xfId="8" applyFill="1"/>
    <xf numFmtId="6" fontId="0" fillId="0" borderId="0" xfId="0" applyNumberFormat="1"/>
    <xf numFmtId="6" fontId="1" fillId="0" borderId="0" xfId="0" applyNumberFormat="1" applyFont="1"/>
    <xf numFmtId="0" fontId="7" fillId="0" borderId="0" xfId="0" applyFont="1"/>
    <xf numFmtId="0" fontId="8" fillId="0" borderId="0" xfId="0" applyFont="1"/>
    <xf numFmtId="0" fontId="9" fillId="0" borderId="0" xfId="0" applyFont="1"/>
    <xf numFmtId="164" fontId="8" fillId="0" borderId="0" xfId="0" applyNumberFormat="1" applyFont="1"/>
    <xf numFmtId="9" fontId="8" fillId="0" borderId="0" xfId="0" applyNumberFormat="1" applyFont="1"/>
    <xf numFmtId="0" fontId="10" fillId="0" borderId="0" xfId="0" applyFont="1"/>
    <xf numFmtId="38" fontId="8" fillId="0" borderId="0" xfId="0" applyNumberFormat="1" applyFont="1" applyAlignment="1">
      <alignment horizontal="right"/>
    </xf>
    <xf numFmtId="6" fontId="11" fillId="0" borderId="0" xfId="0" applyNumberFormat="1" applyFont="1"/>
    <xf numFmtId="9" fontId="0" fillId="0" borderId="0" xfId="30" applyFont="1"/>
    <xf numFmtId="164" fontId="0" fillId="0" borderId="0" xfId="0" applyNumberFormat="1"/>
    <xf numFmtId="164" fontId="0" fillId="0" borderId="0" xfId="30" applyNumberFormat="1" applyFont="1"/>
    <xf numFmtId="1" fontId="0" fillId="0" borderId="0" xfId="0" applyNumberFormat="1"/>
    <xf numFmtId="0" fontId="1" fillId="2" borderId="0" xfId="0" applyFont="1" applyFill="1"/>
    <xf numFmtId="0" fontId="13" fillId="3" borderId="0" xfId="31" applyFont="1" applyFill="1"/>
    <xf numFmtId="0" fontId="14" fillId="3" borderId="0" xfId="31" applyFont="1" applyFill="1" applyAlignment="1">
      <alignment horizontal="right"/>
    </xf>
    <xf numFmtId="0" fontId="12" fillId="0" borderId="0" xfId="31"/>
    <xf numFmtId="0" fontId="15" fillId="0" borderId="0" xfId="31" applyFont="1" applyAlignment="1">
      <alignment wrapText="1"/>
    </xf>
    <xf numFmtId="0" fontId="6" fillId="0" borderId="0" xfId="31" applyFont="1"/>
    <xf numFmtId="0" fontId="15" fillId="0" borderId="0" xfId="31" applyFont="1"/>
    <xf numFmtId="165" fontId="15" fillId="0" borderId="0" xfId="31" applyNumberFormat="1" applyFont="1"/>
    <xf numFmtId="0" fontId="15" fillId="0" borderId="0" xfId="31" applyFont="1" applyAlignment="1">
      <alignment horizontal="right" wrapText="1"/>
    </xf>
    <xf numFmtId="166" fontId="15" fillId="0" borderId="0" xfId="31" applyNumberFormat="1" applyFont="1" applyAlignment="1">
      <alignment wrapText="1"/>
    </xf>
    <xf numFmtId="0" fontId="16" fillId="0" borderId="0" xfId="31" applyFont="1"/>
    <xf numFmtId="0" fontId="17" fillId="0" borderId="0" xfId="31" applyFont="1"/>
    <xf numFmtId="0" fontId="17" fillId="0" borderId="0" xfId="31" applyFont="1" applyAlignment="1">
      <alignment horizontal="right"/>
    </xf>
    <xf numFmtId="0" fontId="16" fillId="0" borderId="0" xfId="31" applyFont="1" applyAlignment="1">
      <alignment horizontal="right"/>
    </xf>
    <xf numFmtId="10" fontId="16" fillId="0" borderId="0" xfId="31" applyNumberFormat="1" applyFont="1" applyAlignment="1">
      <alignment horizontal="right"/>
    </xf>
    <xf numFmtId="44" fontId="6" fillId="0" borderId="0" xfId="32" applyFont="1"/>
    <xf numFmtId="165" fontId="12" fillId="0" borderId="0" xfId="31" applyNumberFormat="1"/>
    <xf numFmtId="9" fontId="0" fillId="4" borderId="0" xfId="0" applyNumberFormat="1" applyFill="1"/>
    <xf numFmtId="0" fontId="8" fillId="0" borderId="0" xfId="31" applyFont="1"/>
    <xf numFmtId="1" fontId="8" fillId="0" borderId="0" xfId="31" applyNumberFormat="1" applyFont="1"/>
    <xf numFmtId="10" fontId="12" fillId="0" borderId="0" xfId="31" applyNumberFormat="1"/>
    <xf numFmtId="10" fontId="12" fillId="5" borderId="0" xfId="31" applyNumberFormat="1" applyFill="1"/>
    <xf numFmtId="10" fontId="6" fillId="5" borderId="0" xfId="31" applyNumberFormat="1" applyFont="1" applyFill="1"/>
    <xf numFmtId="1" fontId="8" fillId="0" borderId="0" xfId="0" applyNumberFormat="1" applyFont="1"/>
    <xf numFmtId="3" fontId="8" fillId="0" borderId="0" xfId="0" applyNumberFormat="1" applyFont="1"/>
    <xf numFmtId="0" fontId="11" fillId="0" borderId="0" xfId="31" applyFont="1"/>
    <xf numFmtId="0" fontId="12" fillId="6" borderId="0" xfId="31" applyFill="1"/>
    <xf numFmtId="0" fontId="12" fillId="7" borderId="0" xfId="31" applyFill="1"/>
  </cellXfs>
  <cellStyles count="33">
    <cellStyle name="Body: normal cell" xfId="4" xr:uid="{00000000-0005-0000-0000-000000000000}"/>
    <cellStyle name="Body: normal cell 2" xfId="24" xr:uid="{18BAE46B-2E2B-4189-9E60-EEC8494BA028}"/>
    <cellStyle name="Body: normal cell 3" xfId="17" xr:uid="{46606A30-9DB6-4D96-9D39-18DB8C25C045}"/>
    <cellStyle name="Body: normal cell 4" xfId="9" xr:uid="{23D7D41B-0FA5-4B15-8ACE-D94C027772C4}"/>
    <cellStyle name="Currency 2" xfId="32" xr:uid="{C53AF8AC-2A66-4CBB-880E-1554F67B4888}"/>
    <cellStyle name="Font: Calibri, 9pt regular" xfId="6" xr:uid="{00000000-0005-0000-0000-000001000000}"/>
    <cellStyle name="Font: Calibri, 9pt regular 2" xfId="25" xr:uid="{97A6AFB7-D07D-4277-A8A5-6AA031407B07}"/>
    <cellStyle name="Font: Calibri, 9pt regular 3" xfId="18" xr:uid="{0009694E-C95B-4F43-83D7-2529DBC1B2D2}"/>
    <cellStyle name="Font: Calibri, 9pt regular 4" xfId="10" xr:uid="{4997676D-DE0F-4BF4-98C6-34E7B74441C2}"/>
    <cellStyle name="Footnotes: top row" xfId="2" xr:uid="{00000000-0005-0000-0000-000002000000}"/>
    <cellStyle name="Footnotes: top row 2" xfId="26" xr:uid="{97AB559D-7086-41BA-8641-AC105062AF6A}"/>
    <cellStyle name="Footnotes: top row 3" xfId="19" xr:uid="{D97984EB-4776-4DB2-9C83-81983F1B6E98}"/>
    <cellStyle name="Footnotes: top row 4" xfId="11" xr:uid="{F3BA1A2C-AD77-4812-ACFA-6C7A7B962945}"/>
    <cellStyle name="Header: bottom row" xfId="5" xr:uid="{00000000-0005-0000-0000-000003000000}"/>
    <cellStyle name="Header: bottom row 2" xfId="27" xr:uid="{1D7C7530-C012-4975-BABC-640C7522786E}"/>
    <cellStyle name="Header: bottom row 3" xfId="20" xr:uid="{D4A074B3-C733-4663-AFD1-0229ED226851}"/>
    <cellStyle name="Header: bottom row 4" xfId="12" xr:uid="{040BC27B-CB03-4FDE-8B80-4B13E048F2D8}"/>
    <cellStyle name="Hyperlink" xfId="8" builtinId="8"/>
    <cellStyle name="Normal" xfId="0" builtinId="0"/>
    <cellStyle name="Normal 2" xfId="1" xr:uid="{00000000-0005-0000-0000-000006000000}"/>
    <cellStyle name="Normal 3" xfId="23" xr:uid="{F75C00A9-4AB0-4B9A-85F1-1BA242EDAF83}"/>
    <cellStyle name="Normal 4" xfId="16" xr:uid="{D654EA3C-A2C4-4D73-9768-00B5086DE48E}"/>
    <cellStyle name="Normal 5" xfId="15" xr:uid="{0C79D543-A7BB-495E-ADE9-28C4F0835F44}"/>
    <cellStyle name="Normal 6" xfId="31" xr:uid="{0E9D232A-CBEC-4F0A-BBF4-253233F3584B}"/>
    <cellStyle name="Parent row" xfId="3" xr:uid="{00000000-0005-0000-0000-000007000000}"/>
    <cellStyle name="Parent row 2" xfId="28" xr:uid="{1C336998-EB49-46ED-B880-BDD7385C1A9F}"/>
    <cellStyle name="Parent row 3" xfId="21" xr:uid="{E39AA093-46A1-425E-9FAB-5E5D22915C9B}"/>
    <cellStyle name="Parent row 4" xfId="13" xr:uid="{766EEC84-3128-426E-8720-CF77BEFFA340}"/>
    <cellStyle name="Percent" xfId="30" builtinId="5"/>
    <cellStyle name="Table title" xfId="7" xr:uid="{00000000-0005-0000-0000-000008000000}"/>
    <cellStyle name="Table title 2" xfId="29" xr:uid="{75C5CFB8-5852-4F3E-A011-ECC9372E7F45}"/>
    <cellStyle name="Table title 3" xfId="22" xr:uid="{D3D003D1-845D-4DC8-878D-F5771072DB44}"/>
    <cellStyle name="Table title 4" xfId="14" xr:uid="{09C4790A-A5AC-4A4C-A2DC-60844BB56B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10</xdr:row>
      <xdr:rowOff>1</xdr:rowOff>
    </xdr:from>
    <xdr:to>
      <xdr:col>1</xdr:col>
      <xdr:colOff>4826000</xdr:colOff>
      <xdr:row>28</xdr:row>
      <xdr:rowOff>123093</xdr:rowOff>
    </xdr:to>
    <xdr:pic>
      <xdr:nvPicPr>
        <xdr:cNvPr id="2" name="Picture 1">
          <a:extLst>
            <a:ext uri="{FF2B5EF4-FFF2-40B4-BE49-F238E27FC236}">
              <a16:creationId xmlns:a16="http://schemas.microsoft.com/office/drawing/2014/main" id="{A770E37F-B482-C48F-69E5-AB265CCAA341}"/>
            </a:ext>
          </a:extLst>
        </xdr:cNvPr>
        <xdr:cNvPicPr>
          <a:picLocks noChangeAspect="1"/>
        </xdr:cNvPicPr>
      </xdr:nvPicPr>
      <xdr:blipFill>
        <a:blip xmlns:r="http://schemas.openxmlformats.org/officeDocument/2006/relationships" r:embed="rId1"/>
        <a:stretch>
          <a:fillRect/>
        </a:stretch>
      </xdr:blipFill>
      <xdr:spPr>
        <a:xfrm>
          <a:off x="609600" y="1809751"/>
          <a:ext cx="4829175" cy="337746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Olivia Ashmoore" id="{157D1DBA-3E37-421C-B718-F98423D1625B}" userId="S::olivia@energyinnovation.org::75aa6550-3462-4480-900f-0bd2e542e876"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1" dT="2025-01-24T19:38:54.68" personId="{157D1DBA-3E37-421C-B718-F98423D1625B}" id="{94EC4F1A-4D24-4F44-A34B-386F9FB62127}">
    <text>Adjust weighting for PA - only first 500 people get it</text>
  </threadedComment>
  <threadedComment ref="D51" dT="2025-01-24T19:38:54.68" personId="{157D1DBA-3E37-421C-B718-F98423D1625B}" id="{9DBAEA6F-524D-4D30-93F7-3DE2900676A6}">
    <text>Adjust weighting for PA - only first 500 people get it</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afdc.energy.gov/laws/11609" TargetMode="External"/><Relationship Id="rId2" Type="http://schemas.openxmlformats.org/officeDocument/2006/relationships/hyperlink" Target="https://www.tesla.com/support/incentives" TargetMode="External"/><Relationship Id="rId1" Type="http://schemas.openxmlformats.org/officeDocument/2006/relationships/hyperlink" Target="https://www.energysage.com/electric-vehicles/costs-and-benefits-evs/ev-tax-credits/"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3"/>
  <sheetViews>
    <sheetView workbookViewId="0">
      <selection activeCell="B37" sqref="B37"/>
    </sheetView>
  </sheetViews>
  <sheetFormatPr defaultRowHeight="14.5" x14ac:dyDescent="0.35"/>
  <cols>
    <col min="2" max="2" width="69.26953125" customWidth="1"/>
  </cols>
  <sheetData>
    <row r="1" spans="1:2" x14ac:dyDescent="0.35">
      <c r="A1" s="1" t="s">
        <v>9</v>
      </c>
    </row>
    <row r="3" spans="1:2" x14ac:dyDescent="0.35">
      <c r="A3" s="1" t="s">
        <v>0</v>
      </c>
      <c r="B3" s="19" t="s">
        <v>45</v>
      </c>
    </row>
    <row r="4" spans="1:2" x14ac:dyDescent="0.35">
      <c r="B4" t="s">
        <v>47</v>
      </c>
    </row>
    <row r="5" spans="1:2" x14ac:dyDescent="0.35">
      <c r="B5" s="3">
        <v>2023</v>
      </c>
    </row>
    <row r="6" spans="1:2" x14ac:dyDescent="0.35">
      <c r="B6" t="s">
        <v>46</v>
      </c>
    </row>
    <row r="7" spans="1:2" x14ac:dyDescent="0.35">
      <c r="B7" s="4"/>
    </row>
    <row r="8" spans="1:2" x14ac:dyDescent="0.35">
      <c r="B8" s="19" t="s">
        <v>80</v>
      </c>
    </row>
    <row r="9" spans="1:2" x14ac:dyDescent="0.35">
      <c r="B9" t="s">
        <v>81</v>
      </c>
    </row>
    <row r="12" spans="1:2" x14ac:dyDescent="0.35">
      <c r="B12" s="3"/>
    </row>
    <row r="14" spans="1:2" x14ac:dyDescent="0.35">
      <c r="B14" s="4"/>
    </row>
    <row r="26" spans="1:2" x14ac:dyDescent="0.35">
      <c r="B26" s="3"/>
    </row>
    <row r="28" spans="1:2" x14ac:dyDescent="0.35">
      <c r="B28" s="4"/>
    </row>
    <row r="31" spans="1:2" x14ac:dyDescent="0.35">
      <c r="A31" s="1"/>
    </row>
    <row r="32" spans="1:2" x14ac:dyDescent="0.35">
      <c r="A32" t="s">
        <v>83</v>
      </c>
    </row>
    <row r="33" spans="1:1" x14ac:dyDescent="0.35">
      <c r="A33" s="36">
        <v>0.03</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3CC6-8591-4A07-9E4B-1DE39D29E87F}">
  <dimension ref="A1:AG109"/>
  <sheetViews>
    <sheetView tabSelected="1" topLeftCell="A37" zoomScale="70" zoomScaleNormal="70" workbookViewId="0">
      <selection activeCell="R53" sqref="R53"/>
    </sheetView>
  </sheetViews>
  <sheetFormatPr defaultColWidth="8.7265625" defaultRowHeight="14.5" x14ac:dyDescent="0.35"/>
  <cols>
    <col min="1" max="1" width="45.453125" customWidth="1"/>
    <col min="2" max="2" width="15.7265625" customWidth="1"/>
    <col min="3" max="3" width="19.1796875" customWidth="1"/>
  </cols>
  <sheetData>
    <row r="1" spans="1:31" x14ac:dyDescent="0.35">
      <c r="A1" s="1" t="s">
        <v>43</v>
      </c>
    </row>
    <row r="2" spans="1:31" x14ac:dyDescent="0.35">
      <c r="A2" t="s">
        <v>82</v>
      </c>
    </row>
    <row r="3" spans="1:31" x14ac:dyDescent="0.35">
      <c r="B3">
        <v>2021</v>
      </c>
      <c r="C3">
        <v>2022</v>
      </c>
      <c r="D3">
        <v>2023</v>
      </c>
      <c r="E3">
        <v>2024</v>
      </c>
      <c r="F3">
        <v>2025</v>
      </c>
      <c r="G3">
        <v>2026</v>
      </c>
      <c r="H3">
        <v>2027</v>
      </c>
      <c r="I3">
        <v>2028</v>
      </c>
      <c r="J3">
        <v>2029</v>
      </c>
      <c r="K3">
        <v>2030</v>
      </c>
      <c r="L3">
        <v>2031</v>
      </c>
      <c r="M3">
        <v>2032</v>
      </c>
      <c r="N3">
        <v>2033</v>
      </c>
      <c r="O3">
        <v>2034</v>
      </c>
      <c r="P3">
        <v>2035</v>
      </c>
      <c r="Q3">
        <v>2036</v>
      </c>
      <c r="R3">
        <v>2037</v>
      </c>
      <c r="S3">
        <v>2038</v>
      </c>
      <c r="T3">
        <v>2039</v>
      </c>
      <c r="U3">
        <v>2040</v>
      </c>
      <c r="V3">
        <v>2041</v>
      </c>
      <c r="W3">
        <v>2042</v>
      </c>
      <c r="X3">
        <v>2043</v>
      </c>
      <c r="Y3">
        <v>2044</v>
      </c>
      <c r="Z3">
        <v>2045</v>
      </c>
      <c r="AA3">
        <v>2046</v>
      </c>
      <c r="AB3">
        <v>2047</v>
      </c>
      <c r="AC3">
        <v>2048</v>
      </c>
      <c r="AD3">
        <v>2049</v>
      </c>
      <c r="AE3">
        <v>2050</v>
      </c>
    </row>
    <row r="4" spans="1:31" x14ac:dyDescent="0.35">
      <c r="A4" s="5" t="s">
        <v>40</v>
      </c>
      <c r="B4">
        <v>2435.88</v>
      </c>
      <c r="C4">
        <v>1697.08</v>
      </c>
      <c r="D4">
        <f>D9*(1-0.56)</f>
        <v>1795.2747999999999</v>
      </c>
      <c r="E4">
        <f t="shared" ref="E4" si="0">E9*(1-0.56)</f>
        <v>1761.5091999999997</v>
      </c>
      <c r="F4">
        <f>F9*(1-0.75)</f>
        <v>1102.7774999999999</v>
      </c>
      <c r="G4">
        <f t="shared" ref="G4:M4" si="1">G9*(1-0.75)</f>
        <v>1057.2825</v>
      </c>
      <c r="H4">
        <f t="shared" si="1"/>
        <v>1022.79</v>
      </c>
      <c r="I4">
        <f t="shared" si="1"/>
        <v>1024.8150000000001</v>
      </c>
      <c r="J4">
        <f t="shared" si="1"/>
        <v>1031.5474999999999</v>
      </c>
      <c r="K4">
        <f t="shared" si="1"/>
        <v>1089.8074999999999</v>
      </c>
      <c r="L4">
        <f t="shared" si="1"/>
        <v>1145.5925</v>
      </c>
      <c r="M4">
        <f t="shared" si="1"/>
        <v>1156.375</v>
      </c>
      <c r="N4">
        <v>0</v>
      </c>
      <c r="O4">
        <v>0</v>
      </c>
      <c r="P4">
        <v>0</v>
      </c>
      <c r="Q4">
        <v>0</v>
      </c>
      <c r="R4">
        <v>0</v>
      </c>
      <c r="S4">
        <v>0</v>
      </c>
      <c r="T4">
        <v>0</v>
      </c>
      <c r="U4">
        <v>0</v>
      </c>
      <c r="V4">
        <v>0</v>
      </c>
      <c r="W4">
        <v>0</v>
      </c>
      <c r="X4">
        <v>0</v>
      </c>
      <c r="Y4">
        <v>0</v>
      </c>
      <c r="Z4">
        <v>0</v>
      </c>
      <c r="AA4">
        <v>0</v>
      </c>
      <c r="AB4">
        <v>0</v>
      </c>
      <c r="AC4">
        <v>0</v>
      </c>
      <c r="AD4">
        <v>0</v>
      </c>
      <c r="AE4">
        <v>0</v>
      </c>
    </row>
    <row r="5" spans="1:31" x14ac:dyDescent="0.35">
      <c r="A5" s="5" t="s">
        <v>41</v>
      </c>
      <c r="B5">
        <v>6652.72</v>
      </c>
      <c r="C5">
        <v>3617.05</v>
      </c>
      <c r="D5">
        <f>D10*(1-0.56)</f>
        <v>1795.2747999999999</v>
      </c>
      <c r="E5">
        <f t="shared" ref="E5" si="2">E10*(1-0.56)</f>
        <v>1761.5091999999997</v>
      </c>
      <c r="F5">
        <f>F10*(1-0.75)</f>
        <v>1102.7774999999999</v>
      </c>
      <c r="G5">
        <f t="shared" ref="G5:M5" si="3">G10*(1-0.75)</f>
        <v>1057.2825</v>
      </c>
      <c r="H5">
        <f t="shared" si="3"/>
        <v>1022.79</v>
      </c>
      <c r="I5">
        <f t="shared" si="3"/>
        <v>1024.8150000000001</v>
      </c>
      <c r="J5">
        <f t="shared" si="3"/>
        <v>1031.5474999999999</v>
      </c>
      <c r="K5">
        <f t="shared" si="3"/>
        <v>1089.8074999999999</v>
      </c>
      <c r="L5">
        <f t="shared" si="3"/>
        <v>1145.5925</v>
      </c>
      <c r="M5">
        <f t="shared" si="3"/>
        <v>1156.375</v>
      </c>
      <c r="N5">
        <v>0</v>
      </c>
      <c r="O5">
        <v>0</v>
      </c>
      <c r="P5">
        <v>0</v>
      </c>
      <c r="Q5">
        <v>0</v>
      </c>
      <c r="R5">
        <v>0</v>
      </c>
      <c r="S5">
        <v>0</v>
      </c>
      <c r="T5">
        <v>0</v>
      </c>
      <c r="U5">
        <v>0</v>
      </c>
      <c r="V5">
        <v>0</v>
      </c>
      <c r="W5">
        <v>0</v>
      </c>
      <c r="X5">
        <v>0</v>
      </c>
      <c r="Y5">
        <v>0</v>
      </c>
      <c r="Z5">
        <v>0</v>
      </c>
      <c r="AA5">
        <v>0</v>
      </c>
      <c r="AB5">
        <v>0</v>
      </c>
      <c r="AC5">
        <v>0</v>
      </c>
      <c r="AD5">
        <v>0</v>
      </c>
      <c r="AE5">
        <v>0</v>
      </c>
    </row>
    <row r="6" spans="1:31" x14ac:dyDescent="0.35">
      <c r="A6" s="5"/>
    </row>
    <row r="7" spans="1:31" x14ac:dyDescent="0.35">
      <c r="A7" s="5" t="s">
        <v>79</v>
      </c>
    </row>
    <row r="8" spans="1:31" x14ac:dyDescent="0.35">
      <c r="B8">
        <v>2021</v>
      </c>
      <c r="C8">
        <v>2022</v>
      </c>
      <c r="D8">
        <v>2023</v>
      </c>
      <c r="E8">
        <v>2024</v>
      </c>
      <c r="F8">
        <v>2025</v>
      </c>
      <c r="G8">
        <v>2026</v>
      </c>
      <c r="H8">
        <v>2027</v>
      </c>
      <c r="I8">
        <v>2028</v>
      </c>
      <c r="J8">
        <v>2029</v>
      </c>
      <c r="K8">
        <v>2030</v>
      </c>
      <c r="L8">
        <v>2031</v>
      </c>
      <c r="M8">
        <v>2032</v>
      </c>
      <c r="N8">
        <v>2033</v>
      </c>
      <c r="O8">
        <v>2034</v>
      </c>
      <c r="P8">
        <v>2035</v>
      </c>
      <c r="Q8">
        <v>2036</v>
      </c>
      <c r="R8">
        <v>2037</v>
      </c>
      <c r="S8">
        <v>2038</v>
      </c>
      <c r="T8">
        <v>2039</v>
      </c>
      <c r="U8">
        <v>2040</v>
      </c>
      <c r="V8">
        <v>2041</v>
      </c>
      <c r="W8">
        <v>2042</v>
      </c>
      <c r="X8">
        <v>2043</v>
      </c>
      <c r="Y8">
        <v>2044</v>
      </c>
      <c r="Z8">
        <v>2045</v>
      </c>
      <c r="AA8">
        <v>2046</v>
      </c>
      <c r="AB8">
        <v>2047</v>
      </c>
      <c r="AC8">
        <v>2048</v>
      </c>
      <c r="AD8">
        <v>2049</v>
      </c>
      <c r="AE8">
        <v>2050</v>
      </c>
    </row>
    <row r="9" spans="1:31" x14ac:dyDescent="0.35">
      <c r="A9" s="5" t="s">
        <v>40</v>
      </c>
      <c r="B9">
        <v>2435.88</v>
      </c>
      <c r="C9">
        <v>1697.08</v>
      </c>
      <c r="D9">
        <v>4080.17</v>
      </c>
      <c r="E9">
        <v>4003.43</v>
      </c>
      <c r="F9">
        <v>4411.1099999999997</v>
      </c>
      <c r="G9">
        <v>4229.13</v>
      </c>
      <c r="H9">
        <v>4091.16</v>
      </c>
      <c r="I9">
        <v>4099.26</v>
      </c>
      <c r="J9">
        <v>4126.1899999999996</v>
      </c>
      <c r="K9">
        <v>4359.2299999999996</v>
      </c>
      <c r="L9">
        <v>4582.37</v>
      </c>
      <c r="M9">
        <v>4625.5</v>
      </c>
      <c r="N9">
        <v>0</v>
      </c>
      <c r="O9">
        <v>0</v>
      </c>
      <c r="P9">
        <v>0</v>
      </c>
      <c r="Q9">
        <v>0</v>
      </c>
      <c r="R9">
        <v>0</v>
      </c>
      <c r="S9">
        <v>0</v>
      </c>
      <c r="T9">
        <v>0</v>
      </c>
      <c r="U9">
        <v>0</v>
      </c>
      <c r="V9">
        <v>0</v>
      </c>
      <c r="W9">
        <v>0</v>
      </c>
      <c r="X9">
        <v>0</v>
      </c>
      <c r="Y9">
        <v>0</v>
      </c>
      <c r="Z9">
        <v>0</v>
      </c>
      <c r="AA9">
        <v>0</v>
      </c>
      <c r="AB9">
        <v>0</v>
      </c>
      <c r="AC9">
        <v>0</v>
      </c>
      <c r="AD9">
        <v>0</v>
      </c>
      <c r="AE9">
        <v>0</v>
      </c>
    </row>
    <row r="10" spans="1:31" x14ac:dyDescent="0.35">
      <c r="A10" s="5" t="s">
        <v>41</v>
      </c>
      <c r="B10">
        <v>6652.72</v>
      </c>
      <c r="C10">
        <v>3617.05</v>
      </c>
      <c r="D10">
        <v>4080.17</v>
      </c>
      <c r="E10">
        <v>4003.43</v>
      </c>
      <c r="F10">
        <v>4411.1099999999997</v>
      </c>
      <c r="G10">
        <v>4229.13</v>
      </c>
      <c r="H10">
        <v>4091.16</v>
      </c>
      <c r="I10">
        <v>4099.26</v>
      </c>
      <c r="J10">
        <v>4126.1899999999996</v>
      </c>
      <c r="K10">
        <v>4359.2299999999996</v>
      </c>
      <c r="L10">
        <v>4582.37</v>
      </c>
      <c r="M10">
        <v>4625.5</v>
      </c>
      <c r="N10">
        <v>0</v>
      </c>
      <c r="O10">
        <v>0</v>
      </c>
      <c r="P10">
        <v>0</v>
      </c>
      <c r="Q10">
        <v>0</v>
      </c>
      <c r="R10">
        <v>0</v>
      </c>
      <c r="S10">
        <v>0</v>
      </c>
      <c r="T10">
        <v>0</v>
      </c>
      <c r="U10">
        <v>0</v>
      </c>
      <c r="V10">
        <v>0</v>
      </c>
      <c r="W10">
        <v>0</v>
      </c>
      <c r="X10">
        <v>0</v>
      </c>
      <c r="Y10">
        <v>0</v>
      </c>
      <c r="Z10">
        <v>0</v>
      </c>
      <c r="AA10">
        <v>0</v>
      </c>
      <c r="AB10">
        <v>0</v>
      </c>
      <c r="AC10">
        <v>0</v>
      </c>
      <c r="AD10">
        <v>0</v>
      </c>
      <c r="AE10">
        <v>0</v>
      </c>
    </row>
    <row r="11" spans="1:31" x14ac:dyDescent="0.35">
      <c r="A11" s="5"/>
    </row>
    <row r="12" spans="1:31" x14ac:dyDescent="0.35">
      <c r="A12" s="6" t="s">
        <v>10</v>
      </c>
    </row>
    <row r="13" spans="1:31" x14ac:dyDescent="0.35">
      <c r="A13" s="5" t="s">
        <v>11</v>
      </c>
    </row>
    <row r="14" spans="1:31" x14ac:dyDescent="0.35">
      <c r="A14" s="5" t="s">
        <v>12</v>
      </c>
    </row>
    <row r="15" spans="1:31" x14ac:dyDescent="0.35">
      <c r="A15" s="7" t="s">
        <v>118</v>
      </c>
      <c r="B15" s="7"/>
    </row>
    <row r="16" spans="1:31" x14ac:dyDescent="0.35">
      <c r="A16" s="8" t="s">
        <v>13</v>
      </c>
      <c r="B16" s="8"/>
      <c r="C16" s="9" t="s">
        <v>14</v>
      </c>
    </row>
    <row r="17" spans="1:18" x14ac:dyDescent="0.35">
      <c r="A17" s="7" t="s">
        <v>120</v>
      </c>
      <c r="B17" s="8"/>
      <c r="C17" s="9" t="s">
        <v>15</v>
      </c>
    </row>
    <row r="18" spans="1:18" x14ac:dyDescent="0.35">
      <c r="A18" s="8" t="s">
        <v>16</v>
      </c>
      <c r="B18" s="8"/>
    </row>
    <row r="19" spans="1:18" x14ac:dyDescent="0.35">
      <c r="A19" s="8" t="s">
        <v>17</v>
      </c>
      <c r="B19" s="8" t="s">
        <v>18</v>
      </c>
      <c r="C19" s="8" t="s">
        <v>19</v>
      </c>
      <c r="D19" s="8">
        <v>2020</v>
      </c>
      <c r="E19" s="8">
        <f t="shared" ref="E19:J19" si="4">D19+1</f>
        <v>2021</v>
      </c>
      <c r="F19" s="8">
        <f t="shared" si="4"/>
        <v>2022</v>
      </c>
      <c r="G19" s="8">
        <f t="shared" si="4"/>
        <v>2023</v>
      </c>
      <c r="H19" s="8">
        <f t="shared" si="4"/>
        <v>2024</v>
      </c>
      <c r="I19" s="8">
        <f t="shared" si="4"/>
        <v>2025</v>
      </c>
      <c r="J19" s="8">
        <f t="shared" si="4"/>
        <v>2026</v>
      </c>
      <c r="K19" t="s">
        <v>122</v>
      </c>
      <c r="L19" t="s">
        <v>123</v>
      </c>
    </row>
    <row r="20" spans="1:18" x14ac:dyDescent="0.35">
      <c r="A20" s="37" t="s">
        <v>20</v>
      </c>
      <c r="B20" s="37">
        <v>5.6849999999999996</v>
      </c>
      <c r="C20" s="37" t="s">
        <v>21</v>
      </c>
      <c r="D20" s="38">
        <f>2000*D76+4000*(1-D76)</f>
        <v>3506.6</v>
      </c>
      <c r="E20" s="38">
        <f>1500*E76+2500*(1-E76)</f>
        <v>2190.8000000000002</v>
      </c>
      <c r="F20" s="38">
        <f>1500*F76+2500*(1-F76)</f>
        <v>2359</v>
      </c>
      <c r="G20" s="38">
        <f>0.5*(1500*G76+2500*(1-G76))+0.5*(5000)</f>
        <v>3641.35</v>
      </c>
      <c r="H20" s="38">
        <v>5000</v>
      </c>
      <c r="I20" s="38">
        <v>3500</v>
      </c>
      <c r="J20" s="38">
        <f>I20</f>
        <v>3500</v>
      </c>
      <c r="K20" s="37" t="s">
        <v>89</v>
      </c>
    </row>
    <row r="21" spans="1:18" x14ac:dyDescent="0.35">
      <c r="A21" s="37" t="s">
        <v>22</v>
      </c>
      <c r="B21" s="37">
        <v>3.5710000000000002</v>
      </c>
      <c r="C21" s="37" t="s">
        <v>21</v>
      </c>
      <c r="D21" s="38">
        <f>613500/(7880-5480)</f>
        <v>255.625</v>
      </c>
      <c r="E21" s="38">
        <f>1079750/(12513-7880)</f>
        <v>233.05633498812864</v>
      </c>
      <c r="F21" s="38">
        <f>1468250/(18509-12513)</f>
        <v>244.87158105403603</v>
      </c>
      <c r="G21" s="38">
        <f>7744000/(27709-18509)</f>
        <v>841.73913043478262</v>
      </c>
      <c r="H21" s="38">
        <f>11982750/(27146*27709/44313)</f>
        <v>705.92888732943345</v>
      </c>
      <c r="I21" s="38">
        <f>H21*1500/2250</f>
        <v>470.61925821962228</v>
      </c>
      <c r="J21" s="38">
        <f>I21</f>
        <v>470.61925821962228</v>
      </c>
      <c r="K21" s="37" t="s">
        <v>125</v>
      </c>
      <c r="L21" t="s">
        <v>125</v>
      </c>
      <c r="R21" s="9" t="s">
        <v>23</v>
      </c>
    </row>
    <row r="22" spans="1:18" x14ac:dyDescent="0.35">
      <c r="A22" s="8" t="s">
        <v>24</v>
      </c>
      <c r="B22" s="8">
        <v>0.96799999999999997</v>
      </c>
      <c r="C22" s="8" t="s">
        <v>21</v>
      </c>
      <c r="D22" s="42">
        <f>852000/311</f>
        <v>2739.5498392282957</v>
      </c>
      <c r="E22" s="42">
        <f>2500</f>
        <v>2500</v>
      </c>
      <c r="F22" s="42">
        <f>2500</f>
        <v>2500</v>
      </c>
      <c r="G22" s="42">
        <f>2500</f>
        <v>2500</v>
      </c>
      <c r="H22" s="42">
        <f>2500</f>
        <v>2500</v>
      </c>
      <c r="I22" s="42">
        <f>2500</f>
        <v>2500</v>
      </c>
      <c r="J22" s="42">
        <f>2500</f>
        <v>2500</v>
      </c>
      <c r="K22" t="s">
        <v>119</v>
      </c>
    </row>
    <row r="23" spans="1:18" ht="15.75" customHeight="1" x14ac:dyDescent="0.35">
      <c r="A23" s="8" t="s">
        <v>25</v>
      </c>
      <c r="B23" s="8">
        <v>8.3800000000000008</v>
      </c>
      <c r="C23" s="10" t="s">
        <v>21</v>
      </c>
      <c r="D23" s="42">
        <f>17436700/10692</f>
        <v>1630.8174335952115</v>
      </c>
      <c r="E23" s="42">
        <f>18953100/20836</f>
        <v>909.63236705701672</v>
      </c>
      <c r="F23" s="42">
        <f>16215000/28241</f>
        <v>574.16522077830109</v>
      </c>
      <c r="G23" s="42">
        <f>26945500/48746</f>
        <v>552.77356090756166</v>
      </c>
      <c r="H23" s="42">
        <f>19221500/54664</f>
        <v>351.62995755890529</v>
      </c>
      <c r="I23" s="42">
        <f>H23</f>
        <v>351.62995755890529</v>
      </c>
      <c r="J23" s="42">
        <f>I23</f>
        <v>351.62995755890529</v>
      </c>
      <c r="K23" s="10" t="s">
        <v>90</v>
      </c>
      <c r="L23" s="10" t="s">
        <v>124</v>
      </c>
      <c r="M23" s="11"/>
    </row>
    <row r="24" spans="1:18" ht="15.75" customHeight="1" x14ac:dyDescent="0.35">
      <c r="A24" s="8" t="s">
        <v>26</v>
      </c>
      <c r="B24" s="8">
        <v>28.64</v>
      </c>
      <c r="C24" s="8" t="s">
        <v>21</v>
      </c>
      <c r="D24" s="8">
        <v>2500</v>
      </c>
      <c r="E24" s="8">
        <v>0</v>
      </c>
      <c r="F24" s="8">
        <v>0</v>
      </c>
      <c r="G24" s="8">
        <v>0</v>
      </c>
      <c r="H24" s="8">
        <v>0</v>
      </c>
      <c r="I24" s="8">
        <v>0</v>
      </c>
      <c r="J24" s="8">
        <v>0</v>
      </c>
      <c r="K24" s="8" t="s">
        <v>27</v>
      </c>
      <c r="L24" s="10"/>
      <c r="M24" s="11"/>
    </row>
    <row r="25" spans="1:18" ht="15.75" customHeight="1" x14ac:dyDescent="0.35">
      <c r="A25" s="8" t="s">
        <v>28</v>
      </c>
      <c r="B25" s="8">
        <v>39.35</v>
      </c>
      <c r="C25" s="8" t="s">
        <v>21</v>
      </c>
      <c r="D25" s="42">
        <f>80255483/(100377+5569)</f>
        <v>757.51310101372394</v>
      </c>
      <c r="E25" s="42">
        <f>103494583/(152400+7866)</f>
        <v>645.76755518949744</v>
      </c>
      <c r="F25" s="42">
        <f>88529166/(256315+5761)</f>
        <v>337.79959248462279</v>
      </c>
      <c r="G25" s="42">
        <f>310602850/(371002+3666)</f>
        <v>829.00821527325525</v>
      </c>
      <c r="H25" s="8">
        <v>0</v>
      </c>
      <c r="I25" s="8">
        <v>0</v>
      </c>
      <c r="J25" s="8">
        <v>0</v>
      </c>
      <c r="K25" s="8" t="s">
        <v>91</v>
      </c>
      <c r="L25" s="10" t="s">
        <v>121</v>
      </c>
      <c r="M25" s="11"/>
    </row>
    <row r="26" spans="1:18" ht="15.75" customHeight="1" x14ac:dyDescent="0.35">
      <c r="A26" s="8" t="s">
        <v>29</v>
      </c>
      <c r="B26" s="8">
        <v>4.665</v>
      </c>
      <c r="C26" s="8" t="s">
        <v>21</v>
      </c>
      <c r="D26" s="13">
        <v>0</v>
      </c>
      <c r="E26" s="13">
        <v>0</v>
      </c>
      <c r="F26" s="13">
        <v>0</v>
      </c>
      <c r="G26" s="13">
        <v>0</v>
      </c>
      <c r="H26" s="13">
        <v>0</v>
      </c>
      <c r="I26" s="13">
        <v>0</v>
      </c>
      <c r="J26" s="13">
        <v>0</v>
      </c>
      <c r="K26" s="8" t="s">
        <v>92</v>
      </c>
      <c r="L26" s="10"/>
      <c r="M26" s="11"/>
    </row>
    <row r="27" spans="1:18" ht="15.5" customHeight="1" x14ac:dyDescent="0.35">
      <c r="A27" s="7" t="s">
        <v>30</v>
      </c>
      <c r="B27" s="7">
        <v>1.341</v>
      </c>
      <c r="C27" s="7" t="s">
        <v>21</v>
      </c>
      <c r="D27" s="8">
        <v>2000</v>
      </c>
      <c r="E27" s="8">
        <v>2000</v>
      </c>
      <c r="F27" s="8">
        <v>2000</v>
      </c>
      <c r="G27" s="8">
        <v>2000</v>
      </c>
      <c r="H27" s="8">
        <v>2000</v>
      </c>
      <c r="I27" s="8">
        <v>0</v>
      </c>
      <c r="J27" s="8">
        <v>0</v>
      </c>
      <c r="K27" s="7" t="s">
        <v>93</v>
      </c>
      <c r="R27" s="12"/>
    </row>
    <row r="28" spans="1:18" ht="15.75" customHeight="1" x14ac:dyDescent="0.35">
      <c r="A28" s="7" t="s">
        <v>86</v>
      </c>
      <c r="B28" s="7">
        <v>5.7169999999999996</v>
      </c>
      <c r="C28" s="7" t="s">
        <v>21</v>
      </c>
      <c r="D28" s="8">
        <v>0</v>
      </c>
      <c r="E28" s="8">
        <v>0</v>
      </c>
      <c r="F28" s="8">
        <v>0</v>
      </c>
      <c r="G28" s="8">
        <v>2500</v>
      </c>
      <c r="H28" s="8">
        <v>2500</v>
      </c>
      <c r="I28" s="8">
        <v>0</v>
      </c>
      <c r="J28" s="8">
        <v>0</v>
      </c>
      <c r="K28" s="7" t="s">
        <v>94</v>
      </c>
    </row>
    <row r="29" spans="1:18" ht="15.75" customHeight="1" x14ac:dyDescent="0.35">
      <c r="A29" s="7" t="s">
        <v>31</v>
      </c>
      <c r="B29" s="7">
        <v>6.0380000000000003</v>
      </c>
      <c r="C29" s="7" t="s">
        <v>21</v>
      </c>
      <c r="D29" s="8">
        <v>2500</v>
      </c>
      <c r="E29" s="8">
        <v>2500</v>
      </c>
      <c r="F29" s="8">
        <v>2500</v>
      </c>
      <c r="G29" s="8">
        <v>3000</v>
      </c>
      <c r="H29" s="8">
        <v>3000</v>
      </c>
      <c r="I29" s="8">
        <v>3000</v>
      </c>
      <c r="J29" s="8">
        <v>3000</v>
      </c>
    </row>
    <row r="30" spans="1:18" ht="15.75" customHeight="1" x14ac:dyDescent="0.35">
      <c r="A30" s="7" t="s">
        <v>32</v>
      </c>
      <c r="B30" s="7">
        <v>6.8730000000000002</v>
      </c>
      <c r="C30" s="7" t="s">
        <v>21</v>
      </c>
      <c r="D30" s="8">
        <v>2500</v>
      </c>
      <c r="E30" s="8">
        <v>2500</v>
      </c>
      <c r="F30" s="8">
        <v>2500</v>
      </c>
      <c r="G30" s="8">
        <v>3500</v>
      </c>
      <c r="H30" s="8">
        <v>3500</v>
      </c>
      <c r="I30" s="8">
        <v>3500</v>
      </c>
      <c r="J30" s="8">
        <v>3500</v>
      </c>
    </row>
    <row r="31" spans="1:18" ht="15.75" customHeight="1" x14ac:dyDescent="0.35">
      <c r="A31" s="7" t="s">
        <v>87</v>
      </c>
      <c r="B31" s="7">
        <f>500/10^6</f>
        <v>5.0000000000000001E-4</v>
      </c>
      <c r="C31" s="7" t="s">
        <v>21</v>
      </c>
      <c r="D31" s="8">
        <v>0</v>
      </c>
      <c r="E31" s="8">
        <v>0</v>
      </c>
      <c r="F31" s="8">
        <v>0</v>
      </c>
      <c r="G31" s="8">
        <v>3000</v>
      </c>
      <c r="H31" s="8">
        <v>3000</v>
      </c>
      <c r="I31" s="8">
        <v>3000</v>
      </c>
      <c r="J31" s="8">
        <v>3000</v>
      </c>
      <c r="K31" t="s">
        <v>95</v>
      </c>
    </row>
    <row r="32" spans="1:18" ht="15.75" customHeight="1" x14ac:dyDescent="0.35">
      <c r="A32" s="7" t="s">
        <v>88</v>
      </c>
      <c r="B32" s="7">
        <v>1.0940000000000001</v>
      </c>
      <c r="C32" s="7" t="s">
        <v>21</v>
      </c>
      <c r="D32" s="8">
        <v>0</v>
      </c>
      <c r="E32" s="8">
        <v>0</v>
      </c>
      <c r="F32" s="8">
        <v>1500</v>
      </c>
      <c r="G32" s="8">
        <v>1500</v>
      </c>
      <c r="H32" s="8">
        <v>1500</v>
      </c>
      <c r="I32" s="8">
        <v>1500</v>
      </c>
      <c r="J32" s="8">
        <v>1500</v>
      </c>
    </row>
    <row r="33" spans="1:12" ht="15.75" customHeight="1" x14ac:dyDescent="0.35">
      <c r="A33" s="7" t="s">
        <v>33</v>
      </c>
      <c r="B33" s="7">
        <v>8.8849999999999998</v>
      </c>
      <c r="C33" s="7" t="s">
        <v>21</v>
      </c>
      <c r="D33" s="8">
        <v>2000</v>
      </c>
      <c r="E33" s="8">
        <v>2000</v>
      </c>
      <c r="F33" s="8">
        <v>2000</v>
      </c>
      <c r="G33" s="8">
        <v>2000</v>
      </c>
      <c r="H33" s="8">
        <v>2000</v>
      </c>
      <c r="I33" s="8">
        <v>2000</v>
      </c>
      <c r="J33" s="8">
        <v>2000</v>
      </c>
      <c r="K33" s="8" t="s">
        <v>96</v>
      </c>
    </row>
    <row r="34" spans="1:12" ht="15.75" customHeight="1" x14ac:dyDescent="0.35">
      <c r="A34" s="7" t="s">
        <v>34</v>
      </c>
      <c r="B34" s="7">
        <v>4.1760000000000002</v>
      </c>
      <c r="C34" s="7" t="s">
        <v>21</v>
      </c>
      <c r="D34" s="42">
        <f>9294500/3753</f>
        <v>2476.5520916600053</v>
      </c>
      <c r="E34" s="42">
        <f>14303500/7764</f>
        <v>1842.284904688305</v>
      </c>
      <c r="F34" s="42">
        <f>19442500/12379</f>
        <v>1570.6034413118991</v>
      </c>
      <c r="G34" s="42">
        <f>13295000/19790</f>
        <v>671.80394138453767</v>
      </c>
      <c r="H34" s="42">
        <f>G34</f>
        <v>671.80394138453767</v>
      </c>
      <c r="I34" s="42">
        <f>H34</f>
        <v>671.80394138453767</v>
      </c>
      <c r="J34" s="42">
        <f>I34</f>
        <v>671.80394138453767</v>
      </c>
      <c r="K34" t="s">
        <v>126</v>
      </c>
      <c r="L34" t="s">
        <v>127</v>
      </c>
    </row>
    <row r="35" spans="1:12" ht="15.75" customHeight="1" x14ac:dyDescent="0.35">
      <c r="A35" s="7" t="s">
        <v>35</v>
      </c>
      <c r="B35" s="7">
        <v>0.624</v>
      </c>
      <c r="C35" s="7" t="s">
        <v>21</v>
      </c>
      <c r="D35" s="43">
        <v>2200</v>
      </c>
      <c r="E35" s="43">
        <v>2200</v>
      </c>
      <c r="F35" s="43">
        <v>2200</v>
      </c>
      <c r="G35" s="43">
        <v>2200</v>
      </c>
      <c r="H35" s="43">
        <v>2200</v>
      </c>
      <c r="I35" s="43">
        <v>2200</v>
      </c>
      <c r="J35" s="43">
        <v>2200</v>
      </c>
      <c r="K35" s="8" t="s">
        <v>97</v>
      </c>
    </row>
    <row r="36" spans="1:12" ht="15.75" customHeight="1" x14ac:dyDescent="0.35">
      <c r="A36" s="8" t="s">
        <v>36</v>
      </c>
      <c r="B36" s="8">
        <f>B37-SUM(B20:B35)</f>
        <v>203.49250000000001</v>
      </c>
      <c r="C36" s="8"/>
      <c r="D36" s="8">
        <v>0</v>
      </c>
      <c r="E36" s="8">
        <v>0</v>
      </c>
      <c r="F36" s="8">
        <v>0</v>
      </c>
      <c r="G36" s="8">
        <v>0</v>
      </c>
      <c r="H36" s="8">
        <v>0</v>
      </c>
      <c r="I36" s="8">
        <v>0</v>
      </c>
      <c r="J36" s="8">
        <v>0</v>
      </c>
      <c r="K36" s="8"/>
    </row>
    <row r="37" spans="1:12" ht="15.75" customHeight="1" x14ac:dyDescent="0.35">
      <c r="A37" s="8" t="s">
        <v>37</v>
      </c>
      <c r="B37" s="8">
        <v>329.5</v>
      </c>
    </row>
    <row r="38" spans="1:12" ht="15.75" customHeight="1" x14ac:dyDescent="0.35">
      <c r="A38" s="8"/>
      <c r="B38" s="8"/>
      <c r="C38" s="8"/>
      <c r="D38" s="8"/>
      <c r="E38" s="8"/>
      <c r="F38" s="8"/>
      <c r="G38" s="8"/>
      <c r="H38" s="8"/>
      <c r="I38" s="8"/>
      <c r="J38" s="7"/>
    </row>
    <row r="39" spans="1:12" ht="15.75" customHeight="1" x14ac:dyDescent="0.35">
      <c r="A39" s="7" t="s">
        <v>115</v>
      </c>
      <c r="B39" s="8" t="s">
        <v>18</v>
      </c>
      <c r="C39" s="8" t="s">
        <v>19</v>
      </c>
      <c r="D39" s="8">
        <v>2020</v>
      </c>
      <c r="E39" s="8">
        <f t="shared" ref="E39" si="5">D39+1</f>
        <v>2021</v>
      </c>
      <c r="F39" s="8">
        <f t="shared" ref="F39" si="6">E39+1</f>
        <v>2022</v>
      </c>
      <c r="G39" s="8">
        <f t="shared" ref="G39" si="7">F39+1</f>
        <v>2023</v>
      </c>
      <c r="H39" s="8">
        <f t="shared" ref="H39" si="8">G39+1</f>
        <v>2024</v>
      </c>
      <c r="I39" s="8">
        <f t="shared" ref="I39" si="9">H39+1</f>
        <v>2025</v>
      </c>
      <c r="J39" s="8">
        <f t="shared" ref="J39" si="10">I39+1</f>
        <v>2026</v>
      </c>
    </row>
    <row r="40" spans="1:12" s="37" customFormat="1" ht="15.75" customHeight="1" x14ac:dyDescent="0.35">
      <c r="A40" s="37" t="s">
        <v>20</v>
      </c>
      <c r="B40" s="37">
        <v>5.6849999999999996</v>
      </c>
      <c r="C40" s="37" t="s">
        <v>21</v>
      </c>
      <c r="D40" s="38">
        <f>D20</f>
        <v>3506.6</v>
      </c>
      <c r="E40" s="38">
        <f t="shared" ref="E40:J40" si="11">E20</f>
        <v>2190.8000000000002</v>
      </c>
      <c r="F40" s="38">
        <f t="shared" si="11"/>
        <v>2359</v>
      </c>
      <c r="G40" s="38">
        <f t="shared" si="11"/>
        <v>3641.35</v>
      </c>
      <c r="H40" s="38">
        <f t="shared" si="11"/>
        <v>5000</v>
      </c>
      <c r="I40" s="38">
        <f t="shared" si="11"/>
        <v>3500</v>
      </c>
      <c r="J40" s="38">
        <f t="shared" si="11"/>
        <v>3500</v>
      </c>
    </row>
    <row r="41" spans="1:12" s="37" customFormat="1" ht="15.75" customHeight="1" x14ac:dyDescent="0.35">
      <c r="A41" s="37" t="s">
        <v>22</v>
      </c>
      <c r="B41" s="37">
        <v>3.5710000000000002</v>
      </c>
      <c r="C41" s="37" t="s">
        <v>21</v>
      </c>
      <c r="D41" s="38">
        <f>128000/255</f>
        <v>501.96078431372547</v>
      </c>
      <c r="E41" s="38">
        <f>537750/(8827-5893)</f>
        <v>183.28220858895705</v>
      </c>
      <c r="F41" s="38">
        <f>412000/(11615-8827)</f>
        <v>147.77618364418939</v>
      </c>
      <c r="G41" s="38">
        <f>512500/(16517-11615)</f>
        <v>104.54916360669115</v>
      </c>
      <c r="H41" s="38">
        <f>685000/(27146*16517/44313)</f>
        <v>67.69938302941182</v>
      </c>
      <c r="I41" s="38">
        <f>H41</f>
        <v>67.69938302941182</v>
      </c>
      <c r="J41" s="38">
        <f t="shared" ref="J41" si="12">I41</f>
        <v>67.69938302941182</v>
      </c>
    </row>
    <row r="42" spans="1:12" s="37" customFormat="1" ht="15.75" customHeight="1" x14ac:dyDescent="0.35">
      <c r="A42" s="8" t="s">
        <v>24</v>
      </c>
      <c r="B42" s="8">
        <v>0.96799999999999997</v>
      </c>
      <c r="C42" s="8" t="s">
        <v>21</v>
      </c>
      <c r="D42" s="42">
        <f>104500/97</f>
        <v>1077.319587628866</v>
      </c>
      <c r="E42" s="42">
        <v>1000</v>
      </c>
      <c r="F42" s="42">
        <v>1000</v>
      </c>
      <c r="G42" s="42">
        <v>1000</v>
      </c>
      <c r="H42" s="42">
        <v>1000</v>
      </c>
      <c r="I42" s="42">
        <v>1000</v>
      </c>
      <c r="J42" s="42">
        <v>1000</v>
      </c>
    </row>
    <row r="43" spans="1:12" s="37" customFormat="1" ht="15.75" customHeight="1" x14ac:dyDescent="0.35">
      <c r="A43" s="8" t="s">
        <v>25</v>
      </c>
      <c r="B43" s="8">
        <v>8.3800000000000008</v>
      </c>
      <c r="C43" s="10" t="s">
        <v>21</v>
      </c>
      <c r="D43" s="42">
        <f>4684500/6464</f>
        <v>724.7060643564356</v>
      </c>
      <c r="E43" s="42">
        <f>9996000/14360</f>
        <v>696.10027855153203</v>
      </c>
      <c r="F43" s="42">
        <f>5049700/14312</f>
        <v>352.82979318054777</v>
      </c>
      <c r="G43" s="42">
        <f>8627000/30164</f>
        <v>286.00318260177693</v>
      </c>
      <c r="H43" s="42">
        <f>7694000/35557</f>
        <v>216.38495936102595</v>
      </c>
      <c r="I43" s="42">
        <f>H43</f>
        <v>216.38495936102595</v>
      </c>
      <c r="J43" s="42">
        <f>I43</f>
        <v>216.38495936102595</v>
      </c>
    </row>
    <row r="44" spans="1:12" s="37" customFormat="1" ht="15.75" customHeight="1" x14ac:dyDescent="0.35">
      <c r="A44" s="8" t="s">
        <v>26</v>
      </c>
      <c r="B44" s="8">
        <v>28.64</v>
      </c>
      <c r="C44" s="8" t="s">
        <v>21</v>
      </c>
      <c r="D44" s="8">
        <v>2500</v>
      </c>
      <c r="E44" s="8">
        <v>0</v>
      </c>
      <c r="F44" s="8">
        <v>0</v>
      </c>
      <c r="G44" s="8">
        <v>0</v>
      </c>
      <c r="H44" s="8">
        <v>0</v>
      </c>
      <c r="I44" s="8">
        <v>0</v>
      </c>
      <c r="J44" s="8">
        <v>0</v>
      </c>
    </row>
    <row r="45" spans="1:12" s="37" customFormat="1" ht="15.75" customHeight="1" x14ac:dyDescent="0.35">
      <c r="A45" s="8" t="s">
        <v>28</v>
      </c>
      <c r="B45" s="8">
        <v>39.35</v>
      </c>
      <c r="C45" s="8" t="s">
        <v>21</v>
      </c>
      <c r="D45" s="42">
        <f>12007419/38153</f>
        <v>314.71755825229997</v>
      </c>
      <c r="E45" s="42">
        <f>10067604/53090</f>
        <v>189.6327745338105</v>
      </c>
      <c r="F45" s="42">
        <f>3681500/(43689)</f>
        <v>84.266062395568682</v>
      </c>
      <c r="G45" s="42">
        <f>8757316/(63496)</f>
        <v>137.9191760110873</v>
      </c>
      <c r="H45" s="8">
        <v>0</v>
      </c>
      <c r="I45" s="8">
        <v>0</v>
      </c>
      <c r="J45" s="8">
        <v>0</v>
      </c>
    </row>
    <row r="46" spans="1:12" s="37" customFormat="1" ht="15.75" customHeight="1" x14ac:dyDescent="0.35">
      <c r="A46" s="8" t="s">
        <v>29</v>
      </c>
      <c r="B46" s="8">
        <v>4.665</v>
      </c>
      <c r="C46" s="8" t="s">
        <v>21</v>
      </c>
      <c r="D46" s="13">
        <v>0</v>
      </c>
      <c r="E46" s="13">
        <v>0</v>
      </c>
      <c r="F46" s="13">
        <v>0</v>
      </c>
      <c r="G46" s="13">
        <v>0</v>
      </c>
      <c r="H46" s="13">
        <v>0</v>
      </c>
      <c r="I46" s="13">
        <v>0</v>
      </c>
      <c r="J46" s="13">
        <v>0</v>
      </c>
    </row>
    <row r="47" spans="1:12" s="37" customFormat="1" ht="15.75" customHeight="1" x14ac:dyDescent="0.35">
      <c r="A47" s="7" t="s">
        <v>30</v>
      </c>
      <c r="B47" s="7">
        <v>1.341</v>
      </c>
      <c r="C47" s="7" t="s">
        <v>21</v>
      </c>
      <c r="D47" s="8">
        <v>1000</v>
      </c>
      <c r="E47" s="8">
        <v>1000</v>
      </c>
      <c r="F47" s="8">
        <v>1000</v>
      </c>
      <c r="G47" s="8">
        <v>1000</v>
      </c>
      <c r="H47" s="8">
        <v>1000</v>
      </c>
      <c r="I47" s="8">
        <v>0</v>
      </c>
      <c r="J47" s="8">
        <v>0</v>
      </c>
    </row>
    <row r="48" spans="1:12" s="37" customFormat="1" ht="15.75" customHeight="1" x14ac:dyDescent="0.35">
      <c r="A48" s="7" t="s">
        <v>86</v>
      </c>
      <c r="B48" s="7">
        <v>5.7169999999999996</v>
      </c>
      <c r="C48" s="7" t="s">
        <v>21</v>
      </c>
      <c r="D48" s="8">
        <v>0</v>
      </c>
      <c r="E48" s="8">
        <v>0</v>
      </c>
      <c r="F48" s="8">
        <v>0</v>
      </c>
      <c r="G48" s="8">
        <v>2500</v>
      </c>
      <c r="H48" s="8">
        <v>2500</v>
      </c>
      <c r="I48" s="8">
        <v>0</v>
      </c>
      <c r="J48" s="8">
        <v>0</v>
      </c>
    </row>
    <row r="49" spans="1:33" s="37" customFormat="1" ht="15.75" customHeight="1" x14ac:dyDescent="0.35">
      <c r="A49" s="7" t="s">
        <v>31</v>
      </c>
      <c r="B49" s="7">
        <v>6.0380000000000003</v>
      </c>
      <c r="C49" s="7" t="s">
        <v>21</v>
      </c>
      <c r="D49" s="8">
        <v>2500</v>
      </c>
      <c r="E49" s="8">
        <v>2500</v>
      </c>
      <c r="F49" s="8">
        <v>2500</v>
      </c>
      <c r="G49" s="8">
        <v>3000</v>
      </c>
      <c r="H49" s="8">
        <v>3000</v>
      </c>
      <c r="I49" s="8">
        <v>3000</v>
      </c>
      <c r="J49" s="8">
        <v>3000</v>
      </c>
    </row>
    <row r="50" spans="1:33" s="37" customFormat="1" ht="15.75" customHeight="1" x14ac:dyDescent="0.35">
      <c r="A50" s="7" t="s">
        <v>32</v>
      </c>
      <c r="B50" s="7">
        <v>6.8730000000000002</v>
      </c>
      <c r="C50" s="7" t="s">
        <v>21</v>
      </c>
      <c r="D50" s="8">
        <v>2500</v>
      </c>
      <c r="E50" s="8">
        <v>2500</v>
      </c>
      <c r="F50" s="8">
        <v>2500</v>
      </c>
      <c r="G50" s="8">
        <f>G30*0.5</f>
        <v>1750</v>
      </c>
      <c r="H50" s="8">
        <v>0</v>
      </c>
      <c r="I50" s="8">
        <v>0</v>
      </c>
      <c r="J50" s="8">
        <v>0</v>
      </c>
    </row>
    <row r="51" spans="1:33" s="37" customFormat="1" ht="15.75" customHeight="1" x14ac:dyDescent="0.35">
      <c r="A51" s="7" t="s">
        <v>87</v>
      </c>
      <c r="B51" s="7">
        <f>500/10^6</f>
        <v>5.0000000000000001E-4</v>
      </c>
      <c r="C51" s="7" t="s">
        <v>21</v>
      </c>
      <c r="D51" s="8">
        <v>0</v>
      </c>
      <c r="E51" s="8">
        <v>0</v>
      </c>
      <c r="F51" s="8">
        <v>0</v>
      </c>
      <c r="G51" s="8">
        <v>1500</v>
      </c>
      <c r="H51" s="8">
        <v>1500</v>
      </c>
      <c r="I51" s="8">
        <v>1500</v>
      </c>
      <c r="J51" s="8">
        <v>1500</v>
      </c>
    </row>
    <row r="52" spans="1:33" s="37" customFormat="1" ht="15.75" customHeight="1" x14ac:dyDescent="0.35">
      <c r="A52" s="7" t="s">
        <v>88</v>
      </c>
      <c r="B52" s="7">
        <v>1.0940000000000001</v>
      </c>
      <c r="C52" s="7" t="s">
        <v>21</v>
      </c>
      <c r="D52" s="8">
        <v>0</v>
      </c>
      <c r="E52" s="8">
        <v>0</v>
      </c>
      <c r="F52" s="8">
        <v>1000</v>
      </c>
      <c r="G52" s="8">
        <v>1000</v>
      </c>
      <c r="H52" s="8">
        <v>1000</v>
      </c>
      <c r="I52" s="8">
        <v>1000</v>
      </c>
      <c r="J52" s="8">
        <v>1000</v>
      </c>
    </row>
    <row r="53" spans="1:33" s="37" customFormat="1" ht="15.75" customHeight="1" x14ac:dyDescent="0.35">
      <c r="A53" s="7" t="s">
        <v>33</v>
      </c>
      <c r="B53" s="7">
        <v>8.8849999999999998</v>
      </c>
      <c r="C53" s="7" t="s">
        <v>21</v>
      </c>
      <c r="D53" s="8">
        <v>2000</v>
      </c>
      <c r="E53" s="8">
        <v>2000</v>
      </c>
      <c r="F53" s="8">
        <v>2000</v>
      </c>
      <c r="G53" s="8">
        <v>0</v>
      </c>
      <c r="H53" s="8">
        <v>0</v>
      </c>
      <c r="I53" s="8">
        <v>0</v>
      </c>
      <c r="J53" s="8">
        <v>0</v>
      </c>
    </row>
    <row r="54" spans="1:33" s="37" customFormat="1" ht="15.75" customHeight="1" x14ac:dyDescent="0.35">
      <c r="A54" s="7" t="s">
        <v>34</v>
      </c>
      <c r="B54" s="7">
        <v>4.1760000000000002</v>
      </c>
      <c r="C54" s="7" t="s">
        <v>21</v>
      </c>
      <c r="D54" s="8">
        <f>1843000/1494</f>
        <v>1233.6010709504685</v>
      </c>
      <c r="E54" s="8">
        <f>4828500/4476</f>
        <v>1078.7533512064342</v>
      </c>
      <c r="F54" s="8">
        <f>5495500/4897</f>
        <v>1122.217684296508</v>
      </c>
      <c r="G54" s="42">
        <f>2876000/6464</f>
        <v>444.92574257425741</v>
      </c>
      <c r="H54" s="42">
        <f>G54</f>
        <v>444.92574257425741</v>
      </c>
      <c r="I54" s="42">
        <f>H54</f>
        <v>444.92574257425741</v>
      </c>
      <c r="J54" s="42">
        <f>I54</f>
        <v>444.92574257425741</v>
      </c>
    </row>
    <row r="55" spans="1:33" s="37" customFormat="1" ht="15.75" customHeight="1" x14ac:dyDescent="0.35">
      <c r="A55" s="7" t="s">
        <v>35</v>
      </c>
      <c r="B55" s="7">
        <v>0.624</v>
      </c>
      <c r="C55" s="7" t="s">
        <v>21</v>
      </c>
      <c r="D55" s="43">
        <v>1000</v>
      </c>
      <c r="E55" s="43">
        <v>1000</v>
      </c>
      <c r="F55" s="43">
        <v>1000</v>
      </c>
      <c r="G55" s="43">
        <v>1000</v>
      </c>
      <c r="H55" s="43">
        <v>1000</v>
      </c>
      <c r="I55" s="43">
        <v>1000</v>
      </c>
      <c r="J55" s="43">
        <v>1000</v>
      </c>
    </row>
    <row r="56" spans="1:33" s="37" customFormat="1" ht="15.75" customHeight="1" x14ac:dyDescent="0.35">
      <c r="A56" s="8" t="s">
        <v>36</v>
      </c>
      <c r="B56" s="8">
        <f>B57-SUM(B40:B55)</f>
        <v>203.49250000000001</v>
      </c>
      <c r="C56" s="8"/>
      <c r="D56" s="8">
        <v>0</v>
      </c>
      <c r="E56" s="8">
        <v>0</v>
      </c>
      <c r="F56" s="8">
        <v>0</v>
      </c>
      <c r="G56" s="8">
        <v>0</v>
      </c>
      <c r="H56" s="8">
        <v>0</v>
      </c>
      <c r="I56" s="8">
        <v>0</v>
      </c>
      <c r="J56" s="8">
        <v>0</v>
      </c>
    </row>
    <row r="57" spans="1:33" s="37" customFormat="1" ht="15.75" customHeight="1" x14ac:dyDescent="0.35">
      <c r="A57" s="8" t="s">
        <v>37</v>
      </c>
      <c r="B57" s="8">
        <v>329.5</v>
      </c>
    </row>
    <row r="58" spans="1:33" s="37" customFormat="1" ht="15.75" customHeight="1" x14ac:dyDescent="0.35"/>
    <row r="59" spans="1:33" x14ac:dyDescent="0.35">
      <c r="A59" s="14" t="s">
        <v>38</v>
      </c>
    </row>
    <row r="60" spans="1:33" x14ac:dyDescent="0.35">
      <c r="A60" s="5"/>
    </row>
    <row r="61" spans="1:33" x14ac:dyDescent="0.35">
      <c r="A61" s="5" t="s">
        <v>44</v>
      </c>
      <c r="B61" s="22">
        <v>0.88711067149387013</v>
      </c>
      <c r="C61" s="44" t="s">
        <v>98</v>
      </c>
    </row>
    <row r="62" spans="1:33" x14ac:dyDescent="0.35">
      <c r="A62" s="5"/>
    </row>
    <row r="63" spans="1:33" x14ac:dyDescent="0.35">
      <c r="A63" s="5" t="s">
        <v>42</v>
      </c>
    </row>
    <row r="64" spans="1:33" x14ac:dyDescent="0.35">
      <c r="C64">
        <v>2020</v>
      </c>
      <c r="D64">
        <v>2021</v>
      </c>
      <c r="E64">
        <v>2022</v>
      </c>
      <c r="F64">
        <v>2023</v>
      </c>
      <c r="G64">
        <v>2024</v>
      </c>
      <c r="H64">
        <v>2025</v>
      </c>
      <c r="I64">
        <v>2026</v>
      </c>
      <c r="J64">
        <v>2027</v>
      </c>
      <c r="K64">
        <v>2028</v>
      </c>
      <c r="L64">
        <v>2029</v>
      </c>
      <c r="M64">
        <v>2030</v>
      </c>
      <c r="N64">
        <v>2031</v>
      </c>
      <c r="O64">
        <v>2032</v>
      </c>
      <c r="P64">
        <v>2033</v>
      </c>
      <c r="Q64">
        <v>2034</v>
      </c>
      <c r="R64">
        <v>2035</v>
      </c>
      <c r="S64">
        <v>2036</v>
      </c>
      <c r="T64">
        <v>2037</v>
      </c>
      <c r="U64">
        <v>2038</v>
      </c>
      <c r="V64">
        <v>2039</v>
      </c>
      <c r="W64">
        <v>2040</v>
      </c>
      <c r="X64">
        <v>2041</v>
      </c>
      <c r="Y64">
        <v>2042</v>
      </c>
      <c r="Z64">
        <v>2043</v>
      </c>
      <c r="AA64">
        <v>2044</v>
      </c>
      <c r="AB64">
        <v>2045</v>
      </c>
      <c r="AC64">
        <v>2046</v>
      </c>
      <c r="AD64">
        <v>2047</v>
      </c>
      <c r="AE64">
        <v>2048</v>
      </c>
      <c r="AF64">
        <v>2049</v>
      </c>
      <c r="AG64">
        <v>2050</v>
      </c>
    </row>
    <row r="65" spans="1:33" x14ac:dyDescent="0.35">
      <c r="B65" t="s">
        <v>116</v>
      </c>
      <c r="C65" s="5">
        <f t="shared" ref="C65:I65" si="13">SUMPRODUCT(D20:D36,$B$20:$B$36)/SUM($B$20:$B$36)*K$79</f>
        <v>546.58540370871401</v>
      </c>
      <c r="D65" s="5">
        <f t="shared" si="13"/>
        <v>284.24236864339406</v>
      </c>
      <c r="E65" s="5">
        <f t="shared" si="13"/>
        <v>231.21682138187734</v>
      </c>
      <c r="F65" s="5">
        <f t="shared" si="13"/>
        <v>334.13793520947195</v>
      </c>
      <c r="G65" s="5">
        <f t="shared" si="13"/>
        <v>264.43888586266991</v>
      </c>
      <c r="H65" s="5">
        <f t="shared" si="13"/>
        <v>199.92712908586196</v>
      </c>
      <c r="I65" s="5">
        <f t="shared" si="13"/>
        <v>194.10400882122519</v>
      </c>
      <c r="J65" s="5">
        <f>I65*R$79/Q$79</f>
        <v>188.4504940011895</v>
      </c>
      <c r="K65" s="5">
        <f t="shared" ref="K65:R65" si="14">J65*S$79/R$79</f>
        <v>182.96164466134903</v>
      </c>
      <c r="L65" s="5">
        <f t="shared" si="14"/>
        <v>177.63266471975632</v>
      </c>
      <c r="M65" s="5">
        <f t="shared" si="14"/>
        <v>172.45889778617118</v>
      </c>
      <c r="N65" s="5">
        <f t="shared" si="14"/>
        <v>167.43582309337009</v>
      </c>
      <c r="O65" s="5">
        <f t="shared" si="14"/>
        <v>162.55905154696123</v>
      </c>
      <c r="P65" s="5">
        <f t="shared" si="14"/>
        <v>157.82432189025366</v>
      </c>
      <c r="Q65" s="5">
        <f t="shared" si="14"/>
        <v>153.22749698082879</v>
      </c>
      <c r="R65" s="5">
        <f t="shared" si="14"/>
        <v>148.76456017556194</v>
      </c>
      <c r="S65" s="5">
        <f t="shared" ref="S65:AG65" si="15">R65</f>
        <v>148.76456017556194</v>
      </c>
      <c r="T65" s="5">
        <f t="shared" si="15"/>
        <v>148.76456017556194</v>
      </c>
      <c r="U65" s="5">
        <f t="shared" si="15"/>
        <v>148.76456017556194</v>
      </c>
      <c r="V65" s="5">
        <f t="shared" si="15"/>
        <v>148.76456017556194</v>
      </c>
      <c r="W65" s="5">
        <f t="shared" si="15"/>
        <v>148.76456017556194</v>
      </c>
      <c r="X65" s="5">
        <f t="shared" si="15"/>
        <v>148.76456017556194</v>
      </c>
      <c r="Y65" s="5">
        <f t="shared" si="15"/>
        <v>148.76456017556194</v>
      </c>
      <c r="Z65" s="5">
        <f t="shared" si="15"/>
        <v>148.76456017556194</v>
      </c>
      <c r="AA65" s="5">
        <f t="shared" si="15"/>
        <v>148.76456017556194</v>
      </c>
      <c r="AB65" s="5">
        <f t="shared" si="15"/>
        <v>148.76456017556194</v>
      </c>
      <c r="AC65" s="5">
        <f t="shared" si="15"/>
        <v>148.76456017556194</v>
      </c>
      <c r="AD65" s="5">
        <f t="shared" si="15"/>
        <v>148.76456017556194</v>
      </c>
      <c r="AE65" s="5">
        <f t="shared" si="15"/>
        <v>148.76456017556194</v>
      </c>
      <c r="AF65" s="5">
        <f t="shared" si="15"/>
        <v>148.76456017556194</v>
      </c>
      <c r="AG65" s="5">
        <f t="shared" si="15"/>
        <v>148.76456017556194</v>
      </c>
    </row>
    <row r="66" spans="1:33" x14ac:dyDescent="0.35">
      <c r="A66" s="5"/>
      <c r="B66" t="s">
        <v>117</v>
      </c>
      <c r="C66" s="5">
        <f>SUMPRODUCT(D40:D56,$B$40:$B$56)/SUM($B$40:$B$56)*K$79</f>
        <v>457.66715073896358</v>
      </c>
      <c r="D66" s="5">
        <f t="shared" ref="D66:I66" si="16">SUMPRODUCT(E40:E56,$B$40:$B$56)/SUM($B$40:$B$56)*L$79</f>
        <v>215.72168420258612</v>
      </c>
      <c r="E66" s="5">
        <f t="shared" si="16"/>
        <v>188.02811316670545</v>
      </c>
      <c r="F66" s="5">
        <f t="shared" si="16"/>
        <v>181.15698643889937</v>
      </c>
      <c r="G66" s="5">
        <f t="shared" si="16"/>
        <v>152.76346597230366</v>
      </c>
      <c r="H66" s="5">
        <f t="shared" si="16"/>
        <v>96.20855199074947</v>
      </c>
      <c r="I66" s="5">
        <f t="shared" si="16"/>
        <v>93.406361156067433</v>
      </c>
      <c r="J66" s="5">
        <f t="shared" ref="J66:R66" si="17">I66*R$79/Q$79</f>
        <v>90.685787530162571</v>
      </c>
      <c r="K66" s="5">
        <f t="shared" si="17"/>
        <v>88.04445391277919</v>
      </c>
      <c r="L66" s="5">
        <f t="shared" si="17"/>
        <v>85.480052342504052</v>
      </c>
      <c r="M66" s="5">
        <f t="shared" si="17"/>
        <v>82.990342080101016</v>
      </c>
      <c r="N66" s="5">
        <f t="shared" si="17"/>
        <v>80.573147650583522</v>
      </c>
      <c r="O66" s="5">
        <f t="shared" si="17"/>
        <v>78.226356942314084</v>
      </c>
      <c r="P66" s="5">
        <f t="shared" si="17"/>
        <v>75.947919361469985</v>
      </c>
      <c r="Q66" s="5">
        <f t="shared" si="17"/>
        <v>73.735844040262123</v>
      </c>
      <c r="R66" s="5">
        <f t="shared" si="17"/>
        <v>71.588198097341873</v>
      </c>
      <c r="S66" s="5">
        <f t="shared" ref="S66" si="18">R66</f>
        <v>71.588198097341873</v>
      </c>
      <c r="T66" s="5">
        <f t="shared" ref="T66" si="19">S66</f>
        <v>71.588198097341873</v>
      </c>
      <c r="U66" s="5">
        <f t="shared" ref="U66" si="20">T66</f>
        <v>71.588198097341873</v>
      </c>
      <c r="V66" s="5">
        <f t="shared" ref="V66" si="21">U66</f>
        <v>71.588198097341873</v>
      </c>
      <c r="W66" s="5">
        <f t="shared" ref="W66" si="22">V66</f>
        <v>71.588198097341873</v>
      </c>
      <c r="X66" s="5">
        <f t="shared" ref="X66" si="23">W66</f>
        <v>71.588198097341873</v>
      </c>
      <c r="Y66" s="5">
        <f t="shared" ref="Y66" si="24">X66</f>
        <v>71.588198097341873</v>
      </c>
      <c r="Z66" s="5">
        <f t="shared" ref="Z66" si="25">Y66</f>
        <v>71.588198097341873</v>
      </c>
      <c r="AA66" s="5">
        <f t="shared" ref="AA66" si="26">Z66</f>
        <v>71.588198097341873</v>
      </c>
      <c r="AB66" s="5">
        <f t="shared" ref="AB66" si="27">AA66</f>
        <v>71.588198097341873</v>
      </c>
      <c r="AC66" s="5">
        <f t="shared" ref="AC66" si="28">AB66</f>
        <v>71.588198097341873</v>
      </c>
      <c r="AD66" s="5">
        <f t="shared" ref="AD66" si="29">AC66</f>
        <v>71.588198097341873</v>
      </c>
      <c r="AE66" s="5">
        <f t="shared" ref="AE66" si="30">AD66</f>
        <v>71.588198097341873</v>
      </c>
      <c r="AF66" s="5">
        <f t="shared" ref="AF66" si="31">AE66</f>
        <v>71.588198097341873</v>
      </c>
      <c r="AG66" s="5">
        <f t="shared" ref="AG66" si="32">AF66</f>
        <v>71.588198097341873</v>
      </c>
    </row>
    <row r="67" spans="1:33" x14ac:dyDescent="0.35">
      <c r="A67" s="5" t="s">
        <v>39</v>
      </c>
    </row>
    <row r="68" spans="1:33" x14ac:dyDescent="0.35">
      <c r="C68">
        <v>2021</v>
      </c>
      <c r="D68">
        <v>2022</v>
      </c>
      <c r="E68">
        <v>2023</v>
      </c>
      <c r="F68">
        <v>2024</v>
      </c>
      <c r="G68">
        <v>2025</v>
      </c>
      <c r="H68">
        <v>2026</v>
      </c>
      <c r="I68">
        <v>2027</v>
      </c>
      <c r="J68">
        <v>2028</v>
      </c>
      <c r="K68">
        <v>2029</v>
      </c>
      <c r="L68">
        <v>2030</v>
      </c>
      <c r="M68">
        <v>2031</v>
      </c>
      <c r="N68">
        <v>2032</v>
      </c>
      <c r="O68">
        <v>2033</v>
      </c>
      <c r="P68">
        <v>2034</v>
      </c>
      <c r="Q68">
        <v>2035</v>
      </c>
      <c r="R68">
        <v>2036</v>
      </c>
      <c r="S68">
        <v>2037</v>
      </c>
      <c r="T68">
        <v>2038</v>
      </c>
      <c r="U68">
        <v>2039</v>
      </c>
      <c r="V68">
        <v>2040</v>
      </c>
      <c r="W68">
        <v>2041</v>
      </c>
      <c r="X68">
        <v>2042</v>
      </c>
      <c r="Y68">
        <v>2043</v>
      </c>
      <c r="Z68">
        <v>2044</v>
      </c>
      <c r="AA68">
        <v>2045</v>
      </c>
      <c r="AB68">
        <v>2046</v>
      </c>
      <c r="AC68">
        <v>2047</v>
      </c>
      <c r="AD68">
        <v>2048</v>
      </c>
      <c r="AE68">
        <v>2049</v>
      </c>
      <c r="AF68">
        <v>2050</v>
      </c>
    </row>
    <row r="69" spans="1:33" x14ac:dyDescent="0.35">
      <c r="A69" s="5" t="s">
        <v>40</v>
      </c>
      <c r="B69" s="5"/>
      <c r="C69" s="5">
        <f t="shared" ref="C69:AF69" si="33">B4+D65</f>
        <v>2720.1223686433941</v>
      </c>
      <c r="D69" s="5">
        <f t="shared" si="33"/>
        <v>1928.2968213818772</v>
      </c>
      <c r="E69" s="5">
        <f t="shared" si="33"/>
        <v>2129.412735209472</v>
      </c>
      <c r="F69" s="5">
        <f t="shared" si="33"/>
        <v>2025.9480858626696</v>
      </c>
      <c r="G69" s="5">
        <f t="shared" si="33"/>
        <v>1302.7046290858618</v>
      </c>
      <c r="H69" s="5">
        <f t="shared" si="33"/>
        <v>1251.3865088212251</v>
      </c>
      <c r="I69" s="5">
        <f t="shared" si="33"/>
        <v>1211.2404940011895</v>
      </c>
      <c r="J69" s="5">
        <f t="shared" si="33"/>
        <v>1207.7766446613491</v>
      </c>
      <c r="K69" s="5">
        <f t="shared" si="33"/>
        <v>1209.1801647197562</v>
      </c>
      <c r="L69" s="5">
        <f t="shared" si="33"/>
        <v>1262.2663977861712</v>
      </c>
      <c r="M69" s="5">
        <f t="shared" si="33"/>
        <v>1313.0283230933701</v>
      </c>
      <c r="N69" s="5">
        <f t="shared" si="33"/>
        <v>1318.9340515469612</v>
      </c>
      <c r="O69" s="5">
        <f t="shared" si="33"/>
        <v>157.82432189025366</v>
      </c>
      <c r="P69" s="5">
        <f t="shared" si="33"/>
        <v>153.22749698082879</v>
      </c>
      <c r="Q69" s="5">
        <f t="shared" si="33"/>
        <v>148.76456017556194</v>
      </c>
      <c r="R69" s="5">
        <f t="shared" si="33"/>
        <v>148.76456017556194</v>
      </c>
      <c r="S69" s="5">
        <f t="shared" si="33"/>
        <v>148.76456017556194</v>
      </c>
      <c r="T69" s="5">
        <f t="shared" si="33"/>
        <v>148.76456017556194</v>
      </c>
      <c r="U69" s="5">
        <f t="shared" si="33"/>
        <v>148.76456017556194</v>
      </c>
      <c r="V69" s="5">
        <f t="shared" si="33"/>
        <v>148.76456017556194</v>
      </c>
      <c r="W69" s="5">
        <f t="shared" si="33"/>
        <v>148.76456017556194</v>
      </c>
      <c r="X69" s="5">
        <f t="shared" si="33"/>
        <v>148.76456017556194</v>
      </c>
      <c r="Y69" s="5">
        <f t="shared" si="33"/>
        <v>148.76456017556194</v>
      </c>
      <c r="Z69" s="5">
        <f t="shared" si="33"/>
        <v>148.76456017556194</v>
      </c>
      <c r="AA69" s="5">
        <f t="shared" si="33"/>
        <v>148.76456017556194</v>
      </c>
      <c r="AB69" s="5">
        <f t="shared" si="33"/>
        <v>148.76456017556194</v>
      </c>
      <c r="AC69" s="5">
        <f t="shared" si="33"/>
        <v>148.76456017556194</v>
      </c>
      <c r="AD69" s="5">
        <f t="shared" si="33"/>
        <v>148.76456017556194</v>
      </c>
      <c r="AE69" s="5">
        <f t="shared" si="33"/>
        <v>148.76456017556194</v>
      </c>
      <c r="AF69" s="5">
        <f t="shared" si="33"/>
        <v>148.76456017556194</v>
      </c>
    </row>
    <row r="70" spans="1:33" x14ac:dyDescent="0.35">
      <c r="A70" s="5" t="s">
        <v>41</v>
      </c>
      <c r="C70" s="5">
        <f t="shared" ref="C70:AF70" si="34">B5+D65</f>
        <v>6936.9623686433943</v>
      </c>
      <c r="D70" s="5">
        <f t="shared" si="34"/>
        <v>3848.2668213818774</v>
      </c>
      <c r="E70" s="5">
        <f t="shared" si="34"/>
        <v>2129.412735209472</v>
      </c>
      <c r="F70" s="5">
        <f t="shared" si="34"/>
        <v>2025.9480858626696</v>
      </c>
      <c r="G70" s="5">
        <f t="shared" si="34"/>
        <v>1302.7046290858618</v>
      </c>
      <c r="H70" s="5">
        <f t="shared" si="34"/>
        <v>1251.3865088212251</v>
      </c>
      <c r="I70" s="5">
        <f t="shared" si="34"/>
        <v>1211.2404940011895</v>
      </c>
      <c r="J70" s="5">
        <f t="shared" si="34"/>
        <v>1207.7766446613491</v>
      </c>
      <c r="K70" s="5">
        <f t="shared" si="34"/>
        <v>1209.1801647197562</v>
      </c>
      <c r="L70" s="5">
        <f t="shared" si="34"/>
        <v>1262.2663977861712</v>
      </c>
      <c r="M70" s="5">
        <f t="shared" si="34"/>
        <v>1313.0283230933701</v>
      </c>
      <c r="N70" s="5">
        <f t="shared" si="34"/>
        <v>1318.9340515469612</v>
      </c>
      <c r="O70" s="5">
        <f t="shared" si="34"/>
        <v>157.82432189025366</v>
      </c>
      <c r="P70" s="5">
        <f t="shared" si="34"/>
        <v>153.22749698082879</v>
      </c>
      <c r="Q70" s="5">
        <f t="shared" si="34"/>
        <v>148.76456017556194</v>
      </c>
      <c r="R70" s="5">
        <f t="shared" si="34"/>
        <v>148.76456017556194</v>
      </c>
      <c r="S70" s="5">
        <f t="shared" si="34"/>
        <v>148.76456017556194</v>
      </c>
      <c r="T70" s="5">
        <f t="shared" si="34"/>
        <v>148.76456017556194</v>
      </c>
      <c r="U70" s="5">
        <f t="shared" si="34"/>
        <v>148.76456017556194</v>
      </c>
      <c r="V70" s="5">
        <f t="shared" si="34"/>
        <v>148.76456017556194</v>
      </c>
      <c r="W70" s="5">
        <f t="shared" si="34"/>
        <v>148.76456017556194</v>
      </c>
      <c r="X70" s="5">
        <f t="shared" si="34"/>
        <v>148.76456017556194</v>
      </c>
      <c r="Y70" s="5">
        <f t="shared" si="34"/>
        <v>148.76456017556194</v>
      </c>
      <c r="Z70" s="5">
        <f t="shared" si="34"/>
        <v>148.76456017556194</v>
      </c>
      <c r="AA70" s="5">
        <f t="shared" si="34"/>
        <v>148.76456017556194</v>
      </c>
      <c r="AB70" s="5">
        <f t="shared" si="34"/>
        <v>148.76456017556194</v>
      </c>
      <c r="AC70" s="5">
        <f t="shared" si="34"/>
        <v>148.76456017556194</v>
      </c>
      <c r="AD70" s="5">
        <f t="shared" si="34"/>
        <v>148.76456017556194</v>
      </c>
      <c r="AE70" s="5">
        <f t="shared" si="34"/>
        <v>148.76456017556194</v>
      </c>
      <c r="AF70" s="5">
        <f t="shared" si="34"/>
        <v>148.76456017556194</v>
      </c>
    </row>
    <row r="73" spans="1:33" x14ac:dyDescent="0.35">
      <c r="D73" s="22" t="s">
        <v>84</v>
      </c>
      <c r="E73" s="22"/>
      <c r="F73" s="22"/>
      <c r="G73" s="22"/>
      <c r="H73" s="22"/>
      <c r="I73" s="22"/>
      <c r="J73" s="22"/>
    </row>
    <row r="74" spans="1:33" x14ac:dyDescent="0.35">
      <c r="D74" s="22" t="s">
        <v>85</v>
      </c>
      <c r="E74" s="22"/>
      <c r="F74" s="22"/>
      <c r="G74" s="22"/>
      <c r="H74" s="22"/>
      <c r="I74" s="22"/>
      <c r="J74" s="22"/>
    </row>
    <row r="75" spans="1:33" x14ac:dyDescent="0.35">
      <c r="D75" s="22">
        <v>2020</v>
      </c>
      <c r="E75" s="22">
        <v>2021</v>
      </c>
      <c r="F75" s="22">
        <v>2022</v>
      </c>
      <c r="G75" s="22">
        <v>2023</v>
      </c>
      <c r="H75" s="22">
        <v>2024</v>
      </c>
      <c r="I75" s="22">
        <v>2025</v>
      </c>
      <c r="J75" s="22">
        <v>2026</v>
      </c>
    </row>
    <row r="76" spans="1:33" x14ac:dyDescent="0.35">
      <c r="D76" s="39">
        <v>0.2467</v>
      </c>
      <c r="E76" s="39">
        <v>0.30919999999999997</v>
      </c>
      <c r="F76" s="39">
        <v>0.14099999999999999</v>
      </c>
      <c r="G76" s="39">
        <v>0.21729999999999999</v>
      </c>
      <c r="H76" s="39">
        <v>0.46560000000000001</v>
      </c>
      <c r="I76" s="40">
        <f>H76</f>
        <v>0.46560000000000001</v>
      </c>
      <c r="J76" s="41">
        <f>I76</f>
        <v>0.46560000000000001</v>
      </c>
    </row>
    <row r="78" spans="1:33" x14ac:dyDescent="0.35">
      <c r="B78" s="22"/>
      <c r="C78" s="22">
        <v>2012</v>
      </c>
      <c r="D78" s="22">
        <v>2013</v>
      </c>
      <c r="E78" s="22">
        <v>2014</v>
      </c>
      <c r="F78" s="22">
        <v>2015</v>
      </c>
      <c r="G78" s="22">
        <v>2016</v>
      </c>
      <c r="H78" s="22">
        <v>2017</v>
      </c>
      <c r="I78" s="22">
        <v>2018</v>
      </c>
      <c r="J78" s="22">
        <v>2019</v>
      </c>
      <c r="K78" s="22">
        <v>2020</v>
      </c>
      <c r="L78" s="22">
        <v>2021</v>
      </c>
      <c r="M78" s="22">
        <v>2022</v>
      </c>
      <c r="N78" s="22">
        <v>2023</v>
      </c>
      <c r="O78" s="22">
        <v>2024</v>
      </c>
      <c r="P78" s="22">
        <v>2025</v>
      </c>
      <c r="Q78" s="22">
        <v>2026</v>
      </c>
      <c r="R78" s="22">
        <v>2027</v>
      </c>
      <c r="S78" s="22">
        <v>2028</v>
      </c>
      <c r="T78" s="22">
        <v>2029</v>
      </c>
      <c r="U78" s="22">
        <v>2030</v>
      </c>
      <c r="V78" s="22">
        <v>2031</v>
      </c>
      <c r="W78" s="22">
        <v>2032</v>
      </c>
      <c r="X78" s="22">
        <v>2033</v>
      </c>
      <c r="Y78" s="22">
        <v>2034</v>
      </c>
      <c r="Z78" s="22">
        <v>2035</v>
      </c>
    </row>
    <row r="79" spans="1:33" x14ac:dyDescent="0.35">
      <c r="B79" s="22" t="s">
        <v>99</v>
      </c>
      <c r="C79" s="45" cm="1">
        <f t="array" ref="C79:O79">TRANSPOSE(G84:G96)</f>
        <v>1</v>
      </c>
      <c r="D79" s="45">
        <v>0.98556385942470071</v>
      </c>
      <c r="E79" s="45">
        <v>0.96983137334414704</v>
      </c>
      <c r="F79" s="45">
        <v>0.9686815713640794</v>
      </c>
      <c r="G79" s="45">
        <v>0.95661376543184151</v>
      </c>
      <c r="H79" s="45">
        <v>0.93665959530026111</v>
      </c>
      <c r="I79" s="45">
        <v>0.9143273584567535</v>
      </c>
      <c r="J79" s="45">
        <v>0.89805481563188172</v>
      </c>
      <c r="K79" s="45">
        <v>0.88711067149387013</v>
      </c>
      <c r="L79" s="45">
        <v>0.84730412960844359</v>
      </c>
      <c r="M79" s="45">
        <v>0.78452102304761584</v>
      </c>
      <c r="N79" s="45">
        <v>0.75350342301658668</v>
      </c>
      <c r="O79" s="45">
        <v>0.73191600598044548</v>
      </c>
      <c r="P79" s="46" cm="1">
        <f t="array" ref="P79:Z79">TRANSPOSE(G99:G109)</f>
        <v>0.71059806405868498</v>
      </c>
      <c r="Q79" s="46">
        <v>0.68990103306668438</v>
      </c>
      <c r="R79" s="46">
        <v>0.66980682822008197</v>
      </c>
      <c r="S79" s="46">
        <v>0.65029789147580774</v>
      </c>
      <c r="T79" s="46">
        <v>0.63135717619010456</v>
      </c>
      <c r="U79" s="46">
        <v>0.61296813222340252</v>
      </c>
      <c r="V79" s="46">
        <v>0.59511469147903162</v>
      </c>
      <c r="W79" s="46">
        <v>0.57778125386313739</v>
      </c>
      <c r="X79" s="46">
        <v>0.56095267365353152</v>
      </c>
      <c r="Y79" s="46">
        <v>0.54461424626556454</v>
      </c>
      <c r="Z79" s="46">
        <v>0.52875169540346068</v>
      </c>
    </row>
    <row r="82" spans="1:12" x14ac:dyDescent="0.35">
      <c r="A82" t="s">
        <v>114</v>
      </c>
      <c r="B82" s="16"/>
      <c r="C82" s="17"/>
      <c r="D82" s="17"/>
      <c r="E82" s="17"/>
      <c r="F82" s="17"/>
      <c r="G82" s="17"/>
      <c r="H82" s="17"/>
      <c r="I82" s="17"/>
      <c r="J82" s="17"/>
      <c r="K82" s="17"/>
      <c r="L82" s="15"/>
    </row>
    <row r="84" spans="1:12" x14ac:dyDescent="0.35">
      <c r="A84" t="s">
        <v>100</v>
      </c>
      <c r="B84">
        <v>228.85</v>
      </c>
      <c r="C84">
        <v>230.33799999999999</v>
      </c>
      <c r="D84">
        <v>229.59399999999999</v>
      </c>
      <c r="E84">
        <v>1.7</v>
      </c>
      <c r="F84">
        <v>2.1</v>
      </c>
      <c r="G84">
        <v>1</v>
      </c>
    </row>
    <row r="85" spans="1:12" x14ac:dyDescent="0.35">
      <c r="A85" t="s">
        <v>101</v>
      </c>
      <c r="B85">
        <v>232.36600000000001</v>
      </c>
      <c r="C85">
        <v>233.548</v>
      </c>
      <c r="D85">
        <v>232.95699999999999</v>
      </c>
      <c r="E85">
        <v>1.5</v>
      </c>
      <c r="F85">
        <v>1.5</v>
      </c>
      <c r="G85">
        <v>0.98556385942470071</v>
      </c>
    </row>
    <row r="86" spans="1:12" x14ac:dyDescent="0.35">
      <c r="A86" t="s">
        <v>102</v>
      </c>
      <c r="B86">
        <v>236.38399999999999</v>
      </c>
      <c r="C86">
        <v>237.08799999999999</v>
      </c>
      <c r="D86">
        <v>236.73599999999999</v>
      </c>
      <c r="E86">
        <v>0.8</v>
      </c>
      <c r="F86">
        <v>1.6</v>
      </c>
      <c r="G86">
        <v>0.96983137334414704</v>
      </c>
    </row>
    <row r="87" spans="1:12" x14ac:dyDescent="0.35">
      <c r="A87" t="s">
        <v>103</v>
      </c>
      <c r="B87">
        <v>236.26499999999999</v>
      </c>
      <c r="C87">
        <v>237.76900000000001</v>
      </c>
      <c r="D87">
        <v>237.017</v>
      </c>
      <c r="E87">
        <v>0.7</v>
      </c>
      <c r="F87">
        <v>0.1</v>
      </c>
      <c r="G87">
        <v>0.9686815713640794</v>
      </c>
    </row>
    <row r="88" spans="1:12" x14ac:dyDescent="0.35">
      <c r="A88" t="s">
        <v>104</v>
      </c>
      <c r="B88">
        <v>238.77799999999999</v>
      </c>
      <c r="C88">
        <v>241.23699999999999</v>
      </c>
      <c r="D88">
        <v>240.00700000000001</v>
      </c>
      <c r="E88">
        <v>2.1</v>
      </c>
      <c r="F88">
        <v>1.3</v>
      </c>
      <c r="G88">
        <v>0.95661376543184151</v>
      </c>
    </row>
    <row r="89" spans="1:12" x14ac:dyDescent="0.35">
      <c r="A89" t="s">
        <v>105</v>
      </c>
      <c r="B89">
        <v>244.07599999999999</v>
      </c>
      <c r="C89">
        <v>246.16300000000001</v>
      </c>
      <c r="D89">
        <v>245.12</v>
      </c>
      <c r="E89">
        <v>2.1</v>
      </c>
      <c r="F89">
        <v>2.1</v>
      </c>
      <c r="G89">
        <v>0.93665959530026111</v>
      </c>
    </row>
    <row r="90" spans="1:12" x14ac:dyDescent="0.35">
      <c r="A90" t="s">
        <v>106</v>
      </c>
      <c r="B90">
        <v>250.089</v>
      </c>
      <c r="C90">
        <v>252.125</v>
      </c>
      <c r="D90">
        <v>251.107</v>
      </c>
      <c r="E90">
        <v>1.9</v>
      </c>
      <c r="F90">
        <v>2.4</v>
      </c>
      <c r="G90">
        <v>0.9143273584567535</v>
      </c>
    </row>
    <row r="91" spans="1:12" x14ac:dyDescent="0.35">
      <c r="A91" t="s">
        <v>107</v>
      </c>
      <c r="B91">
        <v>254.41200000000001</v>
      </c>
      <c r="C91">
        <v>256.90300000000002</v>
      </c>
      <c r="D91">
        <v>255.65700000000001</v>
      </c>
      <c r="E91">
        <v>2.2999999999999998</v>
      </c>
      <c r="F91">
        <v>1.8</v>
      </c>
      <c r="G91">
        <v>0.89805481563188172</v>
      </c>
    </row>
    <row r="92" spans="1:12" x14ac:dyDescent="0.35">
      <c r="A92" t="s">
        <v>108</v>
      </c>
      <c r="B92">
        <v>257.55700000000002</v>
      </c>
      <c r="C92">
        <v>260.065</v>
      </c>
      <c r="D92">
        <v>258.81099999999998</v>
      </c>
      <c r="E92">
        <v>1.4</v>
      </c>
      <c r="F92">
        <v>1.2</v>
      </c>
      <c r="G92">
        <v>0.88711067149387013</v>
      </c>
    </row>
    <row r="93" spans="1:12" x14ac:dyDescent="0.35">
      <c r="A93" t="s">
        <v>109</v>
      </c>
      <c r="B93">
        <v>266.23599999999999</v>
      </c>
      <c r="C93">
        <v>275.70299999999997</v>
      </c>
      <c r="D93">
        <v>270.97000000000003</v>
      </c>
      <c r="E93">
        <v>7</v>
      </c>
      <c r="F93">
        <v>4.7</v>
      </c>
      <c r="G93">
        <v>0.84730412960844359</v>
      </c>
    </row>
    <row r="94" spans="1:12" x14ac:dyDescent="0.35">
      <c r="A94" t="s">
        <v>110</v>
      </c>
      <c r="B94">
        <v>288.34699999999998</v>
      </c>
      <c r="C94">
        <v>296.96300000000002</v>
      </c>
      <c r="D94">
        <v>292.65499999999997</v>
      </c>
      <c r="E94">
        <v>6.5</v>
      </c>
      <c r="F94">
        <v>8</v>
      </c>
      <c r="G94">
        <v>0.78452102304761584</v>
      </c>
    </row>
    <row r="95" spans="1:12" x14ac:dyDescent="0.35">
      <c r="A95" t="s">
        <v>111</v>
      </c>
      <c r="B95">
        <v>302.40800000000002</v>
      </c>
      <c r="C95">
        <v>306.99599999999998</v>
      </c>
      <c r="D95">
        <v>304.702</v>
      </c>
      <c r="G95">
        <v>0.75350342301658668</v>
      </c>
    </row>
    <row r="96" spans="1:12" x14ac:dyDescent="0.35">
      <c r="A96" t="s">
        <v>112</v>
      </c>
      <c r="B96">
        <v>312.14499999999998</v>
      </c>
      <c r="C96">
        <v>315.233</v>
      </c>
      <c r="D96">
        <v>313.68900000000002</v>
      </c>
      <c r="G96">
        <v>0.73191600598044548</v>
      </c>
    </row>
    <row r="98" spans="1:8" x14ac:dyDescent="0.35">
      <c r="F98" t="s">
        <v>113</v>
      </c>
      <c r="H98">
        <v>0.03</v>
      </c>
    </row>
    <row r="99" spans="1:8" x14ac:dyDescent="0.35">
      <c r="A99">
        <v>2025</v>
      </c>
      <c r="D99">
        <v>323.09967</v>
      </c>
      <c r="F99">
        <v>0.03</v>
      </c>
      <c r="G99" s="22">
        <f>D$84/D99</f>
        <v>0.71059806405868498</v>
      </c>
    </row>
    <row r="100" spans="1:8" x14ac:dyDescent="0.35">
      <c r="A100">
        <v>2026</v>
      </c>
      <c r="D100">
        <v>332.79266010000003</v>
      </c>
      <c r="F100">
        <v>0.03</v>
      </c>
      <c r="G100" s="22">
        <f t="shared" ref="G100:G109" si="35">D$84/D100</f>
        <v>0.68990103306668438</v>
      </c>
    </row>
    <row r="101" spans="1:8" x14ac:dyDescent="0.35">
      <c r="A101">
        <v>2027</v>
      </c>
      <c r="D101">
        <v>342.77643990300004</v>
      </c>
      <c r="F101">
        <v>0.03</v>
      </c>
      <c r="G101" s="22">
        <f t="shared" si="35"/>
        <v>0.66980682822008197</v>
      </c>
    </row>
    <row r="102" spans="1:8" x14ac:dyDescent="0.35">
      <c r="A102">
        <v>2028</v>
      </c>
      <c r="D102">
        <v>353.05973310009006</v>
      </c>
      <c r="F102">
        <v>0.03</v>
      </c>
      <c r="G102" s="22">
        <f t="shared" si="35"/>
        <v>0.65029789147580774</v>
      </c>
    </row>
    <row r="103" spans="1:8" x14ac:dyDescent="0.35">
      <c r="A103">
        <v>2029</v>
      </c>
      <c r="D103">
        <v>363.65152509309274</v>
      </c>
      <c r="F103">
        <v>0.03</v>
      </c>
      <c r="G103" s="22">
        <f t="shared" si="35"/>
        <v>0.63135717619010456</v>
      </c>
    </row>
    <row r="104" spans="1:8" x14ac:dyDescent="0.35">
      <c r="A104">
        <v>2030</v>
      </c>
      <c r="D104">
        <v>374.56107084588552</v>
      </c>
      <c r="F104">
        <v>0.03</v>
      </c>
      <c r="G104" s="22">
        <f t="shared" si="35"/>
        <v>0.61296813222340252</v>
      </c>
    </row>
    <row r="105" spans="1:8" x14ac:dyDescent="0.35">
      <c r="A105">
        <v>2031</v>
      </c>
      <c r="D105">
        <v>385.79790297126209</v>
      </c>
      <c r="F105">
        <v>0.03</v>
      </c>
      <c r="G105" s="22">
        <f t="shared" si="35"/>
        <v>0.59511469147903162</v>
      </c>
    </row>
    <row r="106" spans="1:8" x14ac:dyDescent="0.35">
      <c r="A106">
        <v>2032</v>
      </c>
      <c r="D106">
        <v>397.37184006039996</v>
      </c>
      <c r="F106">
        <v>0.03</v>
      </c>
      <c r="G106" s="22">
        <f t="shared" si="35"/>
        <v>0.57778125386313739</v>
      </c>
    </row>
    <row r="107" spans="1:8" x14ac:dyDescent="0.35">
      <c r="A107">
        <v>2033</v>
      </c>
      <c r="D107">
        <v>409.29299526221195</v>
      </c>
      <c r="F107">
        <v>0.03</v>
      </c>
      <c r="G107" s="22">
        <f t="shared" si="35"/>
        <v>0.56095267365353152</v>
      </c>
    </row>
    <row r="108" spans="1:8" x14ac:dyDescent="0.35">
      <c r="A108">
        <v>2034</v>
      </c>
      <c r="D108">
        <v>421.57178512007829</v>
      </c>
      <c r="F108">
        <v>0.03</v>
      </c>
      <c r="G108" s="22">
        <f t="shared" si="35"/>
        <v>0.54461424626556454</v>
      </c>
    </row>
    <row r="109" spans="1:8" x14ac:dyDescent="0.35">
      <c r="A109">
        <v>2035</v>
      </c>
      <c r="D109">
        <v>434.21893867368067</v>
      </c>
      <c r="F109">
        <v>0.03</v>
      </c>
      <c r="G109" s="22">
        <f t="shared" si="35"/>
        <v>0.52875169540346068</v>
      </c>
    </row>
  </sheetData>
  <hyperlinks>
    <hyperlink ref="C16" r:id="rId1" xr:uid="{0B42DB82-B744-4AA0-B817-45B85EC34540}"/>
    <hyperlink ref="C17" r:id="rId2" xr:uid="{C245D4AA-4F3C-42F0-8772-AD708218D115}"/>
    <hyperlink ref="R21" r:id="rId3" xr:uid="{52E38CEB-73A7-4855-878F-13F2616EA324}"/>
  </hyperlinks>
  <pageMargins left="0.7" right="0.7" top="0.75" bottom="0.75" header="0.3" footer="0.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700B1-78D7-456C-A4C4-AB085247994E}">
  <dimension ref="A1:AL776"/>
  <sheetViews>
    <sheetView topLeftCell="A8" workbookViewId="0">
      <selection activeCell="G23" sqref="G23"/>
    </sheetView>
  </sheetViews>
  <sheetFormatPr defaultColWidth="12.54296875" defaultRowHeight="15.75" customHeight="1" x14ac:dyDescent="0.3"/>
  <cols>
    <col min="1" max="1" width="51.81640625" style="22" customWidth="1"/>
    <col min="2" max="2" width="12.7265625" style="22" bestFit="1" customWidth="1"/>
    <col min="3" max="3" width="12.26953125" style="22" customWidth="1"/>
    <col min="4" max="4" width="9.54296875" style="22" customWidth="1"/>
    <col min="5" max="38" width="7.54296875" style="22" customWidth="1"/>
    <col min="39" max="16384" width="12.54296875" style="22"/>
  </cols>
  <sheetData>
    <row r="1" spans="1:38" ht="14.25" customHeight="1" x14ac:dyDescent="0.35">
      <c r="A1" s="20" t="s">
        <v>48</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row>
    <row r="2" spans="1:38" ht="104.5" x14ac:dyDescent="0.35">
      <c r="A2" s="23" t="s">
        <v>70</v>
      </c>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row>
    <row r="3" spans="1:38" ht="14.5" x14ac:dyDescent="0.35">
      <c r="A3" s="24"/>
      <c r="B3" s="24"/>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row>
    <row r="4" spans="1:38" ht="14.5" x14ac:dyDescent="0.35">
      <c r="A4" s="24" t="s">
        <v>71</v>
      </c>
      <c r="B4" s="34">
        <v>40000</v>
      </c>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4"/>
      <c r="AH4" s="24"/>
      <c r="AI4" s="24"/>
      <c r="AJ4" s="24"/>
      <c r="AK4" s="24"/>
      <c r="AL4" s="24"/>
    </row>
    <row r="5" spans="1:38" ht="14.25" customHeight="1" x14ac:dyDescent="0.35">
      <c r="A5" s="24" t="s">
        <v>72</v>
      </c>
      <c r="B5" s="34">
        <v>7500</v>
      </c>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row>
    <row r="6" spans="1:38" ht="14.25" customHeight="1" x14ac:dyDescent="0.35">
      <c r="A6" s="24"/>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row>
    <row r="7" spans="1:38" ht="13" x14ac:dyDescent="0.3">
      <c r="A7" s="25" t="s">
        <v>73</v>
      </c>
      <c r="B7" s="26">
        <f>B4*$B$16*$B$14</f>
        <v>27004</v>
      </c>
    </row>
    <row r="8" spans="1:38" ht="13" x14ac:dyDescent="0.3">
      <c r="A8" s="25" t="s">
        <v>74</v>
      </c>
      <c r="B8" s="26">
        <f>B4*B14</f>
        <v>31400</v>
      </c>
    </row>
    <row r="9" spans="1:38" ht="13" x14ac:dyDescent="0.3">
      <c r="A9" s="25"/>
      <c r="B9" s="26"/>
    </row>
    <row r="10" spans="1:38" ht="15.75" customHeight="1" x14ac:dyDescent="0.3">
      <c r="B10" s="22">
        <v>2023</v>
      </c>
      <c r="C10" s="22">
        <v>2024</v>
      </c>
      <c r="D10" s="22">
        <v>2025</v>
      </c>
      <c r="E10" s="22">
        <v>2026</v>
      </c>
      <c r="F10" s="22">
        <v>2027</v>
      </c>
      <c r="G10" s="22">
        <v>2028</v>
      </c>
      <c r="H10" s="22">
        <v>2029</v>
      </c>
      <c r="I10" s="22">
        <v>2030</v>
      </c>
      <c r="J10" s="22">
        <v>2031</v>
      </c>
      <c r="K10" s="22">
        <v>2032</v>
      </c>
    </row>
    <row r="11" spans="1:38" ht="15.75" customHeight="1" x14ac:dyDescent="0.3">
      <c r="A11" s="22" t="s">
        <v>75</v>
      </c>
      <c r="B11" s="35">
        <f>C36</f>
        <v>10121.162702145082</v>
      </c>
      <c r="C11" s="35">
        <f t="shared" ref="C11:K11" si="0">D36</f>
        <v>10059.772494365814</v>
      </c>
      <c r="D11" s="35">
        <f t="shared" si="0"/>
        <v>10050.763799597085</v>
      </c>
      <c r="E11" s="35">
        <f t="shared" si="0"/>
        <v>10127.428607069427</v>
      </c>
      <c r="F11" s="35">
        <f t="shared" si="0"/>
        <v>10269.11524721545</v>
      </c>
      <c r="G11" s="35">
        <f t="shared" si="0"/>
        <v>10350.781370900584</v>
      </c>
      <c r="H11" s="35">
        <f t="shared" si="0"/>
        <v>10353.674088089921</v>
      </c>
      <c r="I11" s="35">
        <f t="shared" si="0"/>
        <v>10294.239800360298</v>
      </c>
      <c r="J11" s="35">
        <f t="shared" si="0"/>
        <v>10251.903689786537</v>
      </c>
      <c r="K11" s="35">
        <f t="shared" si="0"/>
        <v>10279.777009851599</v>
      </c>
    </row>
    <row r="13" spans="1:38" ht="14.25" customHeight="1" x14ac:dyDescent="0.35">
      <c r="A13" s="20" t="s">
        <v>49</v>
      </c>
      <c r="B13" s="21"/>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row>
    <row r="14" spans="1:38" ht="13" x14ac:dyDescent="0.3">
      <c r="A14" s="25" t="s">
        <v>50</v>
      </c>
      <c r="B14" s="25">
        <v>0.78500000000000003</v>
      </c>
    </row>
    <row r="15" spans="1:38" ht="13" x14ac:dyDescent="0.3">
      <c r="A15" s="25"/>
    </row>
    <row r="16" spans="1:38" ht="13" x14ac:dyDescent="0.3">
      <c r="A16" s="25" t="s">
        <v>51</v>
      </c>
      <c r="B16" s="25">
        <v>0.86</v>
      </c>
    </row>
    <row r="17" spans="1:33" ht="13" x14ac:dyDescent="0.3">
      <c r="A17" s="25"/>
    </row>
    <row r="18" spans="1:33" ht="13" x14ac:dyDescent="0.3"/>
    <row r="19" spans="1:33" ht="13" x14ac:dyDescent="0.3">
      <c r="A19" s="25" t="s">
        <v>52</v>
      </c>
    </row>
    <row r="20" spans="1:33" ht="13" x14ac:dyDescent="0.3">
      <c r="A20" s="25" t="s">
        <v>53</v>
      </c>
    </row>
    <row r="21" spans="1:33" ht="13" x14ac:dyDescent="0.3"/>
    <row r="22" spans="1:33" ht="39" x14ac:dyDescent="0.3">
      <c r="A22" s="25" t="s">
        <v>54</v>
      </c>
      <c r="B22" s="25" t="s">
        <v>55</v>
      </c>
      <c r="C22" s="25" t="s">
        <v>56</v>
      </c>
      <c r="D22" s="23" t="s">
        <v>76</v>
      </c>
    </row>
    <row r="23" spans="1:33" ht="26" x14ac:dyDescent="0.3">
      <c r="A23" s="25" t="s">
        <v>57</v>
      </c>
      <c r="B23" s="27" t="s">
        <v>58</v>
      </c>
      <c r="C23" s="27" t="s">
        <v>59</v>
      </c>
      <c r="D23" s="26">
        <f>B5*B14</f>
        <v>5887.5</v>
      </c>
    </row>
    <row r="24" spans="1:33" ht="26" x14ac:dyDescent="0.3">
      <c r="A24" s="25" t="s">
        <v>60</v>
      </c>
      <c r="B24" s="23">
        <v>3</v>
      </c>
      <c r="C24" s="27" t="s">
        <v>61</v>
      </c>
      <c r="D24" s="26">
        <f>D23</f>
        <v>5887.5</v>
      </c>
    </row>
    <row r="25" spans="1:33" ht="26" x14ac:dyDescent="0.3">
      <c r="A25" s="25" t="s">
        <v>62</v>
      </c>
      <c r="B25" s="28">
        <v>44657</v>
      </c>
      <c r="C25" s="27" t="s">
        <v>63</v>
      </c>
      <c r="D25" s="26">
        <f>B4*B14</f>
        <v>31400</v>
      </c>
    </row>
    <row r="26" spans="1:33" ht="13" x14ac:dyDescent="0.3"/>
    <row r="27" spans="1:33" ht="13" x14ac:dyDescent="0.3">
      <c r="A27" s="25" t="s">
        <v>64</v>
      </c>
    </row>
    <row r="28" spans="1:33" ht="13" x14ac:dyDescent="0.3">
      <c r="A28" s="29" t="s">
        <v>77</v>
      </c>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row>
    <row r="29" spans="1:33" ht="13" x14ac:dyDescent="0.3">
      <c r="A29" s="30"/>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row>
    <row r="30" spans="1:33" ht="13" x14ac:dyDescent="0.3">
      <c r="A30" s="30" t="s">
        <v>65</v>
      </c>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row>
    <row r="31" spans="1:33" ht="13" x14ac:dyDescent="0.3">
      <c r="A31" s="29" t="s">
        <v>78</v>
      </c>
      <c r="B31" s="31">
        <v>2022</v>
      </c>
      <c r="C31" s="31">
        <v>2023</v>
      </c>
      <c r="D31" s="31">
        <v>2024</v>
      </c>
      <c r="E31" s="31">
        <v>2025</v>
      </c>
      <c r="F31" s="31">
        <v>2026</v>
      </c>
      <c r="G31" s="31">
        <v>2027</v>
      </c>
      <c r="H31" s="31">
        <v>2028</v>
      </c>
      <c r="I31" s="31">
        <v>2029</v>
      </c>
      <c r="J31" s="31">
        <v>2030</v>
      </c>
      <c r="K31" s="31">
        <v>2031</v>
      </c>
      <c r="L31" s="31">
        <v>2032</v>
      </c>
      <c r="M31" s="31">
        <v>2033</v>
      </c>
      <c r="N31" s="31">
        <v>2034</v>
      </c>
      <c r="O31" s="31">
        <v>2035</v>
      </c>
      <c r="P31" s="31">
        <v>2036</v>
      </c>
      <c r="Q31" s="31">
        <v>2037</v>
      </c>
      <c r="R31" s="31">
        <v>2038</v>
      </c>
      <c r="S31" s="31">
        <v>2039</v>
      </c>
      <c r="T31" s="31">
        <v>2040</v>
      </c>
      <c r="U31" s="31">
        <v>2041</v>
      </c>
      <c r="V31" s="31">
        <v>2042</v>
      </c>
      <c r="W31" s="31">
        <v>2043</v>
      </c>
      <c r="X31" s="31">
        <v>2044</v>
      </c>
      <c r="Y31" s="31">
        <v>2045</v>
      </c>
      <c r="Z31" s="31">
        <v>2046</v>
      </c>
      <c r="AA31" s="31">
        <v>2047</v>
      </c>
      <c r="AB31" s="31">
        <v>2048</v>
      </c>
      <c r="AC31" s="31">
        <v>2049</v>
      </c>
      <c r="AD31" s="31">
        <v>2050</v>
      </c>
      <c r="AE31" s="29"/>
      <c r="AF31" s="29"/>
    </row>
    <row r="32" spans="1:33" ht="13" x14ac:dyDescent="0.3">
      <c r="A32" s="29" t="s">
        <v>66</v>
      </c>
      <c r="B32" s="32">
        <v>652.15881300000001</v>
      </c>
      <c r="C32" s="32">
        <v>675.13665800000001</v>
      </c>
      <c r="D32" s="32">
        <v>689.60467500000004</v>
      </c>
      <c r="E32" s="32">
        <v>691.51690699999995</v>
      </c>
      <c r="F32" s="32">
        <v>688.42425500000002</v>
      </c>
      <c r="G32" s="32">
        <v>684.18414299999995</v>
      </c>
      <c r="H32" s="32">
        <v>682.62188700000002</v>
      </c>
      <c r="I32" s="32">
        <v>679.86218299999996</v>
      </c>
      <c r="J32" s="32">
        <v>678.07775900000001</v>
      </c>
      <c r="K32" s="32">
        <v>677.36639400000001</v>
      </c>
      <c r="L32" s="32">
        <v>675.92620799999997</v>
      </c>
      <c r="M32" s="32">
        <v>676.86370799999997</v>
      </c>
      <c r="N32" s="32">
        <v>681.45581100000004</v>
      </c>
      <c r="O32" s="32">
        <v>687.30078100000003</v>
      </c>
      <c r="P32" s="32">
        <v>692.37145999999996</v>
      </c>
      <c r="Q32" s="32">
        <v>698.31860400000005</v>
      </c>
      <c r="R32" s="32">
        <v>703.59320100000002</v>
      </c>
      <c r="S32" s="32">
        <v>709.57092299999999</v>
      </c>
      <c r="T32" s="32">
        <v>711.90655500000003</v>
      </c>
      <c r="U32" s="32">
        <v>714.37567100000001</v>
      </c>
      <c r="V32" s="32">
        <v>716.10638400000005</v>
      </c>
      <c r="W32" s="32">
        <v>717.97564699999998</v>
      </c>
      <c r="X32" s="32">
        <v>723.98962400000005</v>
      </c>
      <c r="Y32" s="32">
        <v>729.19946300000004</v>
      </c>
      <c r="Z32" s="32">
        <v>732.66320800000005</v>
      </c>
      <c r="AA32" s="32">
        <v>734.38165300000003</v>
      </c>
      <c r="AB32" s="32">
        <v>739.21014400000001</v>
      </c>
      <c r="AC32" s="32">
        <v>745.07336399999997</v>
      </c>
      <c r="AD32" s="32">
        <v>1035.5</v>
      </c>
      <c r="AE32" s="33"/>
      <c r="AF32" s="29"/>
    </row>
    <row r="33" spans="1:32" ht="13" x14ac:dyDescent="0.3">
      <c r="A33" s="29" t="s">
        <v>67</v>
      </c>
      <c r="B33" s="32">
        <v>252.12297100000001</v>
      </c>
      <c r="C33" s="32">
        <v>262.199432</v>
      </c>
      <c r="D33" s="32">
        <v>276.18127399999997</v>
      </c>
      <c r="E33" s="32">
        <v>286.01892099999998</v>
      </c>
      <c r="F33" s="32">
        <v>290.46655299999998</v>
      </c>
      <c r="G33" s="32">
        <v>292.43240400000002</v>
      </c>
      <c r="H33" s="32">
        <v>293.63424700000002</v>
      </c>
      <c r="I33" s="32">
        <v>296.173248</v>
      </c>
      <c r="J33" s="32">
        <v>298.12170400000002</v>
      </c>
      <c r="K33" s="32">
        <v>300.39685100000003</v>
      </c>
      <c r="L33" s="32">
        <v>303.257294</v>
      </c>
      <c r="M33" s="32">
        <v>305.71603399999998</v>
      </c>
      <c r="N33" s="32">
        <v>309.26257299999997</v>
      </c>
      <c r="O33" s="32">
        <v>314.79812600000002</v>
      </c>
      <c r="P33" s="32">
        <v>321.14746100000002</v>
      </c>
      <c r="Q33" s="32">
        <v>327.09249899999998</v>
      </c>
      <c r="R33" s="32">
        <v>333.56478900000002</v>
      </c>
      <c r="S33" s="32">
        <v>339.75351000000001</v>
      </c>
      <c r="T33" s="32">
        <v>346.38189699999998</v>
      </c>
      <c r="U33" s="32">
        <v>351.209137</v>
      </c>
      <c r="V33" s="32">
        <v>355.95761099999999</v>
      </c>
      <c r="W33" s="32">
        <v>360.42837500000002</v>
      </c>
      <c r="X33" s="32">
        <v>364.902466</v>
      </c>
      <c r="Y33" s="32">
        <v>371.72610500000002</v>
      </c>
      <c r="Z33" s="32">
        <v>378.28823899999998</v>
      </c>
      <c r="AA33" s="32">
        <v>383.89129600000001</v>
      </c>
      <c r="AB33" s="32">
        <v>388.47567700000002</v>
      </c>
      <c r="AC33" s="32">
        <v>394.81222500000001</v>
      </c>
      <c r="AD33" s="32">
        <v>401.96115099999997</v>
      </c>
      <c r="AE33" s="33"/>
      <c r="AF33" s="29"/>
    </row>
    <row r="34" spans="1:32" ht="13" x14ac:dyDescent="0.3">
      <c r="A34" s="29" t="s">
        <v>68</v>
      </c>
      <c r="B34" s="32">
        <v>180.61982699999999</v>
      </c>
      <c r="C34" s="32">
        <v>186.49350000000001</v>
      </c>
      <c r="D34" s="32">
        <v>188.82283000000001</v>
      </c>
      <c r="E34" s="32">
        <v>190.626938</v>
      </c>
      <c r="F34" s="32">
        <v>195.106979</v>
      </c>
      <c r="G34" s="32">
        <v>202.50727800000001</v>
      </c>
      <c r="H34" s="32">
        <v>207.005585</v>
      </c>
      <c r="I34" s="32">
        <v>207.12138400000001</v>
      </c>
      <c r="J34" s="32">
        <v>203.823837</v>
      </c>
      <c r="K34" s="32">
        <v>201.78428600000001</v>
      </c>
      <c r="L34" s="32">
        <v>203.63635300000001</v>
      </c>
      <c r="M34" s="32">
        <v>206.92961099999999</v>
      </c>
      <c r="N34" s="32">
        <v>209.69859299999999</v>
      </c>
      <c r="O34" s="32">
        <v>212.967072</v>
      </c>
      <c r="P34" s="32">
        <v>216.125214</v>
      </c>
      <c r="Q34" s="32">
        <v>219.188492</v>
      </c>
      <c r="R34" s="32">
        <v>221.84333799999999</v>
      </c>
      <c r="S34" s="32">
        <v>224.323059</v>
      </c>
      <c r="T34" s="32">
        <v>227.32418799999999</v>
      </c>
      <c r="U34" s="32">
        <v>230.371872</v>
      </c>
      <c r="V34" s="32">
        <v>232.498154</v>
      </c>
      <c r="W34" s="32">
        <v>235.21517900000001</v>
      </c>
      <c r="X34" s="32">
        <v>236.05999800000001</v>
      </c>
      <c r="Y34" s="32">
        <v>234.92872600000001</v>
      </c>
      <c r="Z34" s="32">
        <v>234.37702899999999</v>
      </c>
      <c r="AA34" s="32">
        <v>235.44674699999999</v>
      </c>
      <c r="AB34" s="32">
        <v>237.52796900000001</v>
      </c>
      <c r="AC34" s="32">
        <v>239.052933</v>
      </c>
      <c r="AD34" s="32">
        <v>241.633881</v>
      </c>
      <c r="AE34" s="33"/>
      <c r="AF34" s="29"/>
    </row>
    <row r="36" spans="1:32" ht="13" x14ac:dyDescent="0.3">
      <c r="A36" s="25" t="s">
        <v>69</v>
      </c>
      <c r="B36" s="26">
        <f t="shared" ref="B36:AD36" si="1">SUMPRODUCT(B32:B34,$D$23:$D$25)/SUM(B32:B34)</f>
        <v>10134.948146095066</v>
      </c>
      <c r="C36" s="26">
        <f t="shared" si="1"/>
        <v>10121.162702145082</v>
      </c>
      <c r="D36" s="26">
        <f t="shared" si="1"/>
        <v>10059.772494365814</v>
      </c>
      <c r="E36" s="26">
        <f t="shared" si="1"/>
        <v>10050.763799597085</v>
      </c>
      <c r="F36" s="26">
        <f t="shared" si="1"/>
        <v>10127.428607069427</v>
      </c>
      <c r="G36" s="26">
        <f t="shared" si="1"/>
        <v>10269.11524721545</v>
      </c>
      <c r="H36" s="26">
        <f t="shared" si="1"/>
        <v>10350.781370900584</v>
      </c>
      <c r="I36" s="26">
        <f t="shared" si="1"/>
        <v>10353.674088089921</v>
      </c>
      <c r="J36" s="26">
        <f t="shared" si="1"/>
        <v>10294.239800360298</v>
      </c>
      <c r="K36" s="26">
        <f t="shared" si="1"/>
        <v>10251.903689786537</v>
      </c>
      <c r="L36" s="26">
        <f t="shared" si="1"/>
        <v>10279.777009851599</v>
      </c>
      <c r="M36" s="26">
        <f t="shared" si="1"/>
        <v>10325.709491436844</v>
      </c>
      <c r="N36" s="26">
        <f t="shared" si="1"/>
        <v>10344.230833049938</v>
      </c>
      <c r="O36" s="26">
        <f t="shared" si="1"/>
        <v>10359.12748221428</v>
      </c>
      <c r="P36" s="26">
        <f t="shared" si="1"/>
        <v>10371.638430973771</v>
      </c>
      <c r="Q36" s="26">
        <f t="shared" si="1"/>
        <v>10380.548547191598</v>
      </c>
      <c r="R36" s="26">
        <f t="shared" si="1"/>
        <v>10382.950508948947</v>
      </c>
      <c r="S36" s="26">
        <f t="shared" si="1"/>
        <v>10380.927010758403</v>
      </c>
      <c r="T36" s="26">
        <f t="shared" si="1"/>
        <v>10398.663134138134</v>
      </c>
      <c r="U36" s="26">
        <f t="shared" si="1"/>
        <v>10422.653431517481</v>
      </c>
      <c r="V36" s="26">
        <f t="shared" si="1"/>
        <v>10434.319910781423</v>
      </c>
      <c r="W36" s="26">
        <f t="shared" si="1"/>
        <v>10455.739600691937</v>
      </c>
      <c r="X36" s="26">
        <f t="shared" si="1"/>
        <v>10432.932814907192</v>
      </c>
      <c r="Y36" s="26">
        <f t="shared" si="1"/>
        <v>10374.231186923143</v>
      </c>
      <c r="Z36" s="26">
        <f t="shared" si="1"/>
        <v>10332.172107247137</v>
      </c>
      <c r="AA36" s="26">
        <f t="shared" si="1"/>
        <v>10324.781329795693</v>
      </c>
      <c r="AB36" s="26">
        <f t="shared" si="1"/>
        <v>10326.315629830769</v>
      </c>
      <c r="AC36" s="26">
        <f t="shared" si="1"/>
        <v>10310.34979051626</v>
      </c>
      <c r="AD36" s="26">
        <f t="shared" si="1"/>
        <v>9558.932689351499</v>
      </c>
    </row>
    <row r="37" spans="1:32" ht="13" x14ac:dyDescent="0.3"/>
    <row r="38" spans="1:32" ht="13" x14ac:dyDescent="0.3"/>
    <row r="39" spans="1:32" ht="13" x14ac:dyDescent="0.3"/>
    <row r="40" spans="1:32" ht="13" x14ac:dyDescent="0.3"/>
    <row r="41" spans="1:32" ht="13" x14ac:dyDescent="0.3"/>
    <row r="42" spans="1:32" ht="13" x14ac:dyDescent="0.3"/>
    <row r="43" spans="1:32" ht="13" x14ac:dyDescent="0.3"/>
    <row r="44" spans="1:32" ht="13" x14ac:dyDescent="0.3"/>
    <row r="45" spans="1:32" ht="13" x14ac:dyDescent="0.3"/>
    <row r="46" spans="1:32" ht="13" x14ac:dyDescent="0.3"/>
    <row r="47" spans="1:32" ht="13" x14ac:dyDescent="0.3"/>
    <row r="48" spans="1:32" ht="13" x14ac:dyDescent="0.3"/>
    <row r="49" ht="13" x14ac:dyDescent="0.3"/>
    <row r="50" ht="13" x14ac:dyDescent="0.3"/>
    <row r="51" ht="13" x14ac:dyDescent="0.3"/>
    <row r="52" ht="13" x14ac:dyDescent="0.3"/>
    <row r="53" ht="13" x14ac:dyDescent="0.3"/>
    <row r="54" ht="13" x14ac:dyDescent="0.3"/>
    <row r="55" ht="13" x14ac:dyDescent="0.3"/>
    <row r="56" ht="13" x14ac:dyDescent="0.3"/>
    <row r="57" ht="13" x14ac:dyDescent="0.3"/>
    <row r="58" ht="13" x14ac:dyDescent="0.3"/>
    <row r="59" ht="13" x14ac:dyDescent="0.3"/>
    <row r="60" ht="13" x14ac:dyDescent="0.3"/>
    <row r="61" ht="13" x14ac:dyDescent="0.3"/>
    <row r="62" ht="13" x14ac:dyDescent="0.3"/>
    <row r="63" ht="13" x14ac:dyDescent="0.3"/>
    <row r="64" ht="13" x14ac:dyDescent="0.3"/>
    <row r="65" ht="13" x14ac:dyDescent="0.3"/>
    <row r="66" ht="13" x14ac:dyDescent="0.3"/>
    <row r="67" ht="13" x14ac:dyDescent="0.3"/>
    <row r="68" ht="13" x14ac:dyDescent="0.3"/>
    <row r="69" ht="13" x14ac:dyDescent="0.3"/>
    <row r="70" ht="13" x14ac:dyDescent="0.3"/>
    <row r="71" ht="13" x14ac:dyDescent="0.3"/>
    <row r="72" ht="13" x14ac:dyDescent="0.3"/>
    <row r="73" ht="13" x14ac:dyDescent="0.3"/>
    <row r="74" ht="13" x14ac:dyDescent="0.3"/>
    <row r="75" ht="13" x14ac:dyDescent="0.3"/>
    <row r="76" ht="13" x14ac:dyDescent="0.3"/>
    <row r="77" ht="13" x14ac:dyDescent="0.3"/>
    <row r="78" ht="13" x14ac:dyDescent="0.3"/>
    <row r="79" ht="13" x14ac:dyDescent="0.3"/>
    <row r="80" ht="13" x14ac:dyDescent="0.3"/>
    <row r="81" ht="13" x14ac:dyDescent="0.3"/>
    <row r="82" ht="13" x14ac:dyDescent="0.3"/>
    <row r="83" ht="13" x14ac:dyDescent="0.3"/>
    <row r="84" ht="13" x14ac:dyDescent="0.3"/>
    <row r="85" ht="13" x14ac:dyDescent="0.3"/>
    <row r="86" ht="13" x14ac:dyDescent="0.3"/>
    <row r="87" ht="13" x14ac:dyDescent="0.3"/>
    <row r="88" ht="13" x14ac:dyDescent="0.3"/>
    <row r="89" ht="13" x14ac:dyDescent="0.3"/>
    <row r="90" ht="13" x14ac:dyDescent="0.3"/>
    <row r="91" ht="13" x14ac:dyDescent="0.3"/>
    <row r="92" ht="13" x14ac:dyDescent="0.3"/>
    <row r="93" ht="13" x14ac:dyDescent="0.3"/>
    <row r="94" ht="13" x14ac:dyDescent="0.3"/>
    <row r="95" ht="13" x14ac:dyDescent="0.3"/>
    <row r="96" ht="13" x14ac:dyDescent="0.3"/>
    <row r="97" ht="13" x14ac:dyDescent="0.3"/>
    <row r="98" ht="13" x14ac:dyDescent="0.3"/>
    <row r="99" ht="13" x14ac:dyDescent="0.3"/>
    <row r="100" ht="13" x14ac:dyDescent="0.3"/>
    <row r="101" ht="13" x14ac:dyDescent="0.3"/>
    <row r="102" ht="13" x14ac:dyDescent="0.3"/>
    <row r="103" ht="13" x14ac:dyDescent="0.3"/>
    <row r="104" ht="13" x14ac:dyDescent="0.3"/>
    <row r="105" ht="13" x14ac:dyDescent="0.3"/>
    <row r="106" ht="13" x14ac:dyDescent="0.3"/>
    <row r="107" ht="13" x14ac:dyDescent="0.3"/>
    <row r="108" ht="13" x14ac:dyDescent="0.3"/>
    <row r="109" ht="13" x14ac:dyDescent="0.3"/>
    <row r="110" ht="13" x14ac:dyDescent="0.3"/>
    <row r="111" ht="13" x14ac:dyDescent="0.3"/>
    <row r="112" ht="13" x14ac:dyDescent="0.3"/>
    <row r="113" ht="13" x14ac:dyDescent="0.3"/>
    <row r="114" ht="13" x14ac:dyDescent="0.3"/>
    <row r="115" ht="13" x14ac:dyDescent="0.3"/>
    <row r="116" ht="13" x14ac:dyDescent="0.3"/>
    <row r="117" ht="13" x14ac:dyDescent="0.3"/>
    <row r="118" ht="13" x14ac:dyDescent="0.3"/>
    <row r="119" ht="13" x14ac:dyDescent="0.3"/>
    <row r="120" ht="13" x14ac:dyDescent="0.3"/>
    <row r="121" ht="13" x14ac:dyDescent="0.3"/>
    <row r="122" ht="13" x14ac:dyDescent="0.3"/>
    <row r="123" ht="13" x14ac:dyDescent="0.3"/>
    <row r="124" ht="13" x14ac:dyDescent="0.3"/>
    <row r="125" ht="13" x14ac:dyDescent="0.3"/>
    <row r="126" ht="13" x14ac:dyDescent="0.3"/>
    <row r="127" ht="13" x14ac:dyDescent="0.3"/>
    <row r="128" ht="13" x14ac:dyDescent="0.3"/>
    <row r="129" ht="13" x14ac:dyDescent="0.3"/>
    <row r="130" ht="13" x14ac:dyDescent="0.3"/>
    <row r="131" ht="13" x14ac:dyDescent="0.3"/>
    <row r="132" ht="13" x14ac:dyDescent="0.3"/>
    <row r="133" ht="13" x14ac:dyDescent="0.3"/>
    <row r="134" ht="13" x14ac:dyDescent="0.3"/>
    <row r="135" ht="13" x14ac:dyDescent="0.3"/>
    <row r="136" ht="13" x14ac:dyDescent="0.3"/>
    <row r="137" ht="13" x14ac:dyDescent="0.3"/>
    <row r="138" ht="13" x14ac:dyDescent="0.3"/>
    <row r="139" ht="13" x14ac:dyDescent="0.3"/>
    <row r="140" ht="13" x14ac:dyDescent="0.3"/>
    <row r="141" ht="13" x14ac:dyDescent="0.3"/>
    <row r="142" ht="13" x14ac:dyDescent="0.3"/>
    <row r="143" ht="13" x14ac:dyDescent="0.3"/>
    <row r="144" ht="13" x14ac:dyDescent="0.3"/>
    <row r="145" ht="13" x14ac:dyDescent="0.3"/>
    <row r="146" ht="13" x14ac:dyDescent="0.3"/>
    <row r="147" ht="13" x14ac:dyDescent="0.3"/>
    <row r="148" ht="13" x14ac:dyDescent="0.3"/>
    <row r="149" ht="13" x14ac:dyDescent="0.3"/>
    <row r="150" ht="13" x14ac:dyDescent="0.3"/>
    <row r="151" ht="13" x14ac:dyDescent="0.3"/>
    <row r="152" ht="13" x14ac:dyDescent="0.3"/>
    <row r="153" ht="13" x14ac:dyDescent="0.3"/>
    <row r="154" ht="13" x14ac:dyDescent="0.3"/>
    <row r="155" ht="13" x14ac:dyDescent="0.3"/>
    <row r="156" ht="13" x14ac:dyDescent="0.3"/>
    <row r="157" ht="13" x14ac:dyDescent="0.3"/>
    <row r="158" ht="13" x14ac:dyDescent="0.3"/>
    <row r="159" ht="13" x14ac:dyDescent="0.3"/>
    <row r="160" ht="13" x14ac:dyDescent="0.3"/>
    <row r="161" ht="13" x14ac:dyDescent="0.3"/>
    <row r="162" ht="13" x14ac:dyDescent="0.3"/>
    <row r="163" ht="13" x14ac:dyDescent="0.3"/>
    <row r="164" ht="13" x14ac:dyDescent="0.3"/>
    <row r="165" ht="13" x14ac:dyDescent="0.3"/>
    <row r="166" ht="13" x14ac:dyDescent="0.3"/>
    <row r="167" ht="13" x14ac:dyDescent="0.3"/>
    <row r="168" ht="13" x14ac:dyDescent="0.3"/>
    <row r="169" ht="13" x14ac:dyDescent="0.3"/>
    <row r="170" ht="13" x14ac:dyDescent="0.3"/>
    <row r="171" ht="13" x14ac:dyDescent="0.3"/>
    <row r="172" ht="13" x14ac:dyDescent="0.3"/>
    <row r="173" ht="13" x14ac:dyDescent="0.3"/>
    <row r="174" ht="13" x14ac:dyDescent="0.3"/>
    <row r="175" ht="13" x14ac:dyDescent="0.3"/>
    <row r="176" ht="13" x14ac:dyDescent="0.3"/>
    <row r="177" ht="13" x14ac:dyDescent="0.3"/>
    <row r="178" ht="13" x14ac:dyDescent="0.3"/>
    <row r="179" ht="13" x14ac:dyDescent="0.3"/>
    <row r="180" ht="13" x14ac:dyDescent="0.3"/>
    <row r="181" ht="13" x14ac:dyDescent="0.3"/>
    <row r="182" ht="13" x14ac:dyDescent="0.3"/>
    <row r="183" ht="13" x14ac:dyDescent="0.3"/>
    <row r="184" ht="13" x14ac:dyDescent="0.3"/>
    <row r="185" ht="13" x14ac:dyDescent="0.3"/>
    <row r="186" ht="13" x14ac:dyDescent="0.3"/>
    <row r="187" ht="13" x14ac:dyDescent="0.3"/>
    <row r="188" ht="13" x14ac:dyDescent="0.3"/>
    <row r="189" ht="13" x14ac:dyDescent="0.3"/>
    <row r="190" ht="13" x14ac:dyDescent="0.3"/>
    <row r="191" ht="13" x14ac:dyDescent="0.3"/>
    <row r="192" ht="13" x14ac:dyDescent="0.3"/>
    <row r="193" ht="13" x14ac:dyDescent="0.3"/>
    <row r="194" ht="13" x14ac:dyDescent="0.3"/>
    <row r="195" ht="13" x14ac:dyDescent="0.3"/>
    <row r="196" ht="13" x14ac:dyDescent="0.3"/>
    <row r="197" ht="13" x14ac:dyDescent="0.3"/>
    <row r="198" ht="13" x14ac:dyDescent="0.3"/>
    <row r="199" ht="13" x14ac:dyDescent="0.3"/>
    <row r="200" ht="13" x14ac:dyDescent="0.3"/>
    <row r="201" ht="13" x14ac:dyDescent="0.3"/>
    <row r="202" ht="13" x14ac:dyDescent="0.3"/>
    <row r="203" ht="13" x14ac:dyDescent="0.3"/>
    <row r="204" ht="13" x14ac:dyDescent="0.3"/>
    <row r="205" ht="13" x14ac:dyDescent="0.3"/>
    <row r="206" ht="13" x14ac:dyDescent="0.3"/>
    <row r="207" ht="13" x14ac:dyDescent="0.3"/>
    <row r="208" ht="13" x14ac:dyDescent="0.3"/>
    <row r="209" ht="13" x14ac:dyDescent="0.3"/>
    <row r="210" ht="13" x14ac:dyDescent="0.3"/>
    <row r="211" ht="13" x14ac:dyDescent="0.3"/>
    <row r="212" ht="13" x14ac:dyDescent="0.3"/>
    <row r="213" ht="13" x14ac:dyDescent="0.3"/>
    <row r="214" ht="13" x14ac:dyDescent="0.3"/>
    <row r="215" ht="13" x14ac:dyDescent="0.3"/>
    <row r="216" ht="13" x14ac:dyDescent="0.3"/>
    <row r="217" ht="13" x14ac:dyDescent="0.3"/>
    <row r="218" ht="13" x14ac:dyDescent="0.3"/>
    <row r="219" ht="13" x14ac:dyDescent="0.3"/>
    <row r="220" ht="13" x14ac:dyDescent="0.3"/>
    <row r="221" ht="13" x14ac:dyDescent="0.3"/>
    <row r="222" ht="13" x14ac:dyDescent="0.3"/>
    <row r="223" ht="13" x14ac:dyDescent="0.3"/>
    <row r="224" ht="13" x14ac:dyDescent="0.3"/>
    <row r="225" ht="13" x14ac:dyDescent="0.3"/>
    <row r="226" ht="13" x14ac:dyDescent="0.3"/>
    <row r="227" ht="13" x14ac:dyDescent="0.3"/>
    <row r="228" ht="13" x14ac:dyDescent="0.3"/>
    <row r="229" ht="13" x14ac:dyDescent="0.3"/>
    <row r="230" ht="13" x14ac:dyDescent="0.3"/>
    <row r="231" ht="13" x14ac:dyDescent="0.3"/>
    <row r="232" ht="13" x14ac:dyDescent="0.3"/>
    <row r="233" ht="13" x14ac:dyDescent="0.3"/>
    <row r="234" ht="13" x14ac:dyDescent="0.3"/>
    <row r="235" ht="13" x14ac:dyDescent="0.3"/>
    <row r="236" ht="13" x14ac:dyDescent="0.3"/>
    <row r="237" ht="13" x14ac:dyDescent="0.3"/>
    <row r="238" ht="13" x14ac:dyDescent="0.3"/>
    <row r="239" ht="13" x14ac:dyDescent="0.3"/>
    <row r="240" ht="13" x14ac:dyDescent="0.3"/>
    <row r="241" ht="13" x14ac:dyDescent="0.3"/>
    <row r="242" ht="13" x14ac:dyDescent="0.3"/>
    <row r="243" ht="13" x14ac:dyDescent="0.3"/>
    <row r="244" ht="13" x14ac:dyDescent="0.3"/>
    <row r="245" ht="13" x14ac:dyDescent="0.3"/>
    <row r="246" ht="13" x14ac:dyDescent="0.3"/>
    <row r="247" ht="13" x14ac:dyDescent="0.3"/>
    <row r="248" ht="13" x14ac:dyDescent="0.3"/>
    <row r="249" ht="13" x14ac:dyDescent="0.3"/>
    <row r="250" ht="13" x14ac:dyDescent="0.3"/>
    <row r="251" ht="13" x14ac:dyDescent="0.3"/>
    <row r="252" ht="13" x14ac:dyDescent="0.3"/>
    <row r="253" ht="13" x14ac:dyDescent="0.3"/>
    <row r="254" ht="13" x14ac:dyDescent="0.3"/>
    <row r="255" ht="13" x14ac:dyDescent="0.3"/>
    <row r="256" ht="13" x14ac:dyDescent="0.3"/>
    <row r="257" ht="13" x14ac:dyDescent="0.3"/>
    <row r="258" ht="13" x14ac:dyDescent="0.3"/>
    <row r="259" ht="13" x14ac:dyDescent="0.3"/>
    <row r="260" ht="13" x14ac:dyDescent="0.3"/>
    <row r="261" ht="13" x14ac:dyDescent="0.3"/>
    <row r="262" ht="13" x14ac:dyDescent="0.3"/>
    <row r="263" ht="13" x14ac:dyDescent="0.3"/>
    <row r="264" ht="13" x14ac:dyDescent="0.3"/>
    <row r="265" ht="13" x14ac:dyDescent="0.3"/>
    <row r="266" ht="13" x14ac:dyDescent="0.3"/>
    <row r="267" ht="13" x14ac:dyDescent="0.3"/>
    <row r="268" ht="13" x14ac:dyDescent="0.3"/>
    <row r="269" ht="13" x14ac:dyDescent="0.3"/>
    <row r="270" ht="13" x14ac:dyDescent="0.3"/>
    <row r="271" ht="13" x14ac:dyDescent="0.3"/>
    <row r="272" ht="13" x14ac:dyDescent="0.3"/>
    <row r="273" ht="13" x14ac:dyDescent="0.3"/>
    <row r="274" ht="13" x14ac:dyDescent="0.3"/>
    <row r="275" ht="13" x14ac:dyDescent="0.3"/>
    <row r="276" ht="13" x14ac:dyDescent="0.3"/>
    <row r="277" ht="13" x14ac:dyDescent="0.3"/>
    <row r="278" ht="13" x14ac:dyDescent="0.3"/>
    <row r="279" ht="13" x14ac:dyDescent="0.3"/>
    <row r="280" ht="13" x14ac:dyDescent="0.3"/>
    <row r="281" ht="13" x14ac:dyDescent="0.3"/>
    <row r="282" ht="13" x14ac:dyDescent="0.3"/>
    <row r="283" ht="13" x14ac:dyDescent="0.3"/>
    <row r="284" ht="13" x14ac:dyDescent="0.3"/>
    <row r="285" ht="13" x14ac:dyDescent="0.3"/>
    <row r="286" ht="13" x14ac:dyDescent="0.3"/>
    <row r="287" ht="13" x14ac:dyDescent="0.3"/>
    <row r="288" ht="13" x14ac:dyDescent="0.3"/>
    <row r="289" ht="13" x14ac:dyDescent="0.3"/>
    <row r="290" ht="13" x14ac:dyDescent="0.3"/>
    <row r="291" ht="13" x14ac:dyDescent="0.3"/>
    <row r="292" ht="13" x14ac:dyDescent="0.3"/>
    <row r="293" ht="13" x14ac:dyDescent="0.3"/>
    <row r="294" ht="13" x14ac:dyDescent="0.3"/>
    <row r="295" ht="13" x14ac:dyDescent="0.3"/>
    <row r="296" ht="13" x14ac:dyDescent="0.3"/>
    <row r="297" ht="13" x14ac:dyDescent="0.3"/>
    <row r="298" ht="13" x14ac:dyDescent="0.3"/>
    <row r="299" ht="13" x14ac:dyDescent="0.3"/>
    <row r="300" ht="13" x14ac:dyDescent="0.3"/>
    <row r="301" ht="13" x14ac:dyDescent="0.3"/>
    <row r="302" ht="13" x14ac:dyDescent="0.3"/>
    <row r="303" ht="13" x14ac:dyDescent="0.3"/>
    <row r="304" ht="13" x14ac:dyDescent="0.3"/>
    <row r="305" ht="13" x14ac:dyDescent="0.3"/>
    <row r="306" ht="13" x14ac:dyDescent="0.3"/>
    <row r="307" ht="13" x14ac:dyDescent="0.3"/>
    <row r="308" ht="13" x14ac:dyDescent="0.3"/>
    <row r="309" ht="13" x14ac:dyDescent="0.3"/>
    <row r="310" ht="13" x14ac:dyDescent="0.3"/>
    <row r="311" ht="13" x14ac:dyDescent="0.3"/>
    <row r="312" ht="13" x14ac:dyDescent="0.3"/>
    <row r="313" ht="13" x14ac:dyDescent="0.3"/>
    <row r="314" ht="13" x14ac:dyDescent="0.3"/>
    <row r="315" ht="13" x14ac:dyDescent="0.3"/>
    <row r="316" ht="13" x14ac:dyDescent="0.3"/>
    <row r="317" ht="13" x14ac:dyDescent="0.3"/>
    <row r="318" ht="13" x14ac:dyDescent="0.3"/>
    <row r="319" ht="13" x14ac:dyDescent="0.3"/>
    <row r="320" ht="13" x14ac:dyDescent="0.3"/>
    <row r="321" ht="13" x14ac:dyDescent="0.3"/>
    <row r="322" ht="13" x14ac:dyDescent="0.3"/>
    <row r="323" ht="13" x14ac:dyDescent="0.3"/>
    <row r="324" ht="13" x14ac:dyDescent="0.3"/>
    <row r="325" ht="13" x14ac:dyDescent="0.3"/>
    <row r="326" ht="13" x14ac:dyDescent="0.3"/>
    <row r="327" ht="13" x14ac:dyDescent="0.3"/>
    <row r="328" ht="13" x14ac:dyDescent="0.3"/>
    <row r="329" ht="13" x14ac:dyDescent="0.3"/>
    <row r="330" ht="13" x14ac:dyDescent="0.3"/>
    <row r="331" ht="13" x14ac:dyDescent="0.3"/>
    <row r="332" ht="13" x14ac:dyDescent="0.3"/>
    <row r="333" ht="13" x14ac:dyDescent="0.3"/>
    <row r="334" ht="13" x14ac:dyDescent="0.3"/>
    <row r="335" ht="13" x14ac:dyDescent="0.3"/>
    <row r="336" ht="13" x14ac:dyDescent="0.3"/>
    <row r="337" ht="13" x14ac:dyDescent="0.3"/>
    <row r="338" ht="13" x14ac:dyDescent="0.3"/>
    <row r="339" ht="13" x14ac:dyDescent="0.3"/>
    <row r="340" ht="13" x14ac:dyDescent="0.3"/>
    <row r="341" ht="13" x14ac:dyDescent="0.3"/>
    <row r="342" ht="13" x14ac:dyDescent="0.3"/>
    <row r="343" ht="13" x14ac:dyDescent="0.3"/>
    <row r="344" ht="13" x14ac:dyDescent="0.3"/>
    <row r="345" ht="13" x14ac:dyDescent="0.3"/>
    <row r="346" ht="13" x14ac:dyDescent="0.3"/>
    <row r="347" ht="13" x14ac:dyDescent="0.3"/>
    <row r="348" ht="13" x14ac:dyDescent="0.3"/>
    <row r="349" ht="13" x14ac:dyDescent="0.3"/>
    <row r="350" ht="13" x14ac:dyDescent="0.3"/>
    <row r="351" ht="13" x14ac:dyDescent="0.3"/>
    <row r="352" ht="13" x14ac:dyDescent="0.3"/>
    <row r="353" ht="13" x14ac:dyDescent="0.3"/>
    <row r="354" ht="13" x14ac:dyDescent="0.3"/>
    <row r="355" ht="13" x14ac:dyDescent="0.3"/>
    <row r="356" ht="13" x14ac:dyDescent="0.3"/>
    <row r="357" ht="13" x14ac:dyDescent="0.3"/>
    <row r="358" ht="13" x14ac:dyDescent="0.3"/>
    <row r="359" ht="13" x14ac:dyDescent="0.3"/>
    <row r="360" ht="13" x14ac:dyDescent="0.3"/>
    <row r="361" ht="13" x14ac:dyDescent="0.3"/>
    <row r="362" ht="13" x14ac:dyDescent="0.3"/>
    <row r="363" ht="13" x14ac:dyDescent="0.3"/>
    <row r="364" ht="13" x14ac:dyDescent="0.3"/>
    <row r="365" ht="13" x14ac:dyDescent="0.3"/>
    <row r="366" ht="13" x14ac:dyDescent="0.3"/>
    <row r="367" ht="13" x14ac:dyDescent="0.3"/>
    <row r="368" ht="13" x14ac:dyDescent="0.3"/>
    <row r="369" ht="13" x14ac:dyDescent="0.3"/>
    <row r="370" ht="13" x14ac:dyDescent="0.3"/>
    <row r="371" ht="13" x14ac:dyDescent="0.3"/>
    <row r="372" ht="13" x14ac:dyDescent="0.3"/>
    <row r="373" ht="13" x14ac:dyDescent="0.3"/>
    <row r="374" ht="13" x14ac:dyDescent="0.3"/>
    <row r="375" ht="13" x14ac:dyDescent="0.3"/>
    <row r="376" ht="13" x14ac:dyDescent="0.3"/>
    <row r="377" ht="13" x14ac:dyDescent="0.3"/>
    <row r="378" ht="13" x14ac:dyDescent="0.3"/>
    <row r="379" ht="13" x14ac:dyDescent="0.3"/>
    <row r="380" ht="13" x14ac:dyDescent="0.3"/>
    <row r="381" ht="13" x14ac:dyDescent="0.3"/>
    <row r="382" ht="13" x14ac:dyDescent="0.3"/>
    <row r="383" ht="13" x14ac:dyDescent="0.3"/>
    <row r="384" ht="13" x14ac:dyDescent="0.3"/>
    <row r="385" ht="13" x14ac:dyDescent="0.3"/>
    <row r="386" ht="13" x14ac:dyDescent="0.3"/>
    <row r="387" ht="13" x14ac:dyDescent="0.3"/>
    <row r="388" ht="13" x14ac:dyDescent="0.3"/>
    <row r="389" ht="13" x14ac:dyDescent="0.3"/>
    <row r="390" ht="13" x14ac:dyDescent="0.3"/>
    <row r="391" ht="13" x14ac:dyDescent="0.3"/>
    <row r="392" ht="13" x14ac:dyDescent="0.3"/>
    <row r="393" ht="13" x14ac:dyDescent="0.3"/>
    <row r="394" ht="13" x14ac:dyDescent="0.3"/>
    <row r="395" ht="13" x14ac:dyDescent="0.3"/>
    <row r="396" ht="13" x14ac:dyDescent="0.3"/>
    <row r="397" ht="13" x14ac:dyDescent="0.3"/>
    <row r="398" ht="13" x14ac:dyDescent="0.3"/>
    <row r="399" ht="13" x14ac:dyDescent="0.3"/>
    <row r="400" ht="13" x14ac:dyDescent="0.3"/>
    <row r="401" ht="13" x14ac:dyDescent="0.3"/>
    <row r="402" ht="13" x14ac:dyDescent="0.3"/>
    <row r="403" ht="13" x14ac:dyDescent="0.3"/>
    <row r="404" ht="13" x14ac:dyDescent="0.3"/>
    <row r="405" ht="13" x14ac:dyDescent="0.3"/>
    <row r="406" ht="13" x14ac:dyDescent="0.3"/>
    <row r="407" ht="13" x14ac:dyDescent="0.3"/>
    <row r="408" ht="13" x14ac:dyDescent="0.3"/>
    <row r="409" ht="13" x14ac:dyDescent="0.3"/>
    <row r="410" ht="13" x14ac:dyDescent="0.3"/>
    <row r="411" ht="13" x14ac:dyDescent="0.3"/>
    <row r="412" ht="13" x14ac:dyDescent="0.3"/>
    <row r="413" ht="13" x14ac:dyDescent="0.3"/>
    <row r="414" ht="13" x14ac:dyDescent="0.3"/>
    <row r="415" ht="13" x14ac:dyDescent="0.3"/>
    <row r="416" ht="13" x14ac:dyDescent="0.3"/>
    <row r="417" ht="13" x14ac:dyDescent="0.3"/>
    <row r="418" ht="13" x14ac:dyDescent="0.3"/>
    <row r="419" ht="13" x14ac:dyDescent="0.3"/>
    <row r="420" ht="13" x14ac:dyDescent="0.3"/>
    <row r="421" ht="13" x14ac:dyDescent="0.3"/>
    <row r="422" ht="13" x14ac:dyDescent="0.3"/>
    <row r="423" ht="13" x14ac:dyDescent="0.3"/>
    <row r="424" ht="13" x14ac:dyDescent="0.3"/>
    <row r="425" ht="13" x14ac:dyDescent="0.3"/>
    <row r="426" ht="13" x14ac:dyDescent="0.3"/>
    <row r="427" ht="13" x14ac:dyDescent="0.3"/>
    <row r="428" ht="13" x14ac:dyDescent="0.3"/>
    <row r="429" ht="13" x14ac:dyDescent="0.3"/>
    <row r="430" ht="13" x14ac:dyDescent="0.3"/>
    <row r="431" ht="13" x14ac:dyDescent="0.3"/>
    <row r="432" ht="13" x14ac:dyDescent="0.3"/>
    <row r="433" ht="13" x14ac:dyDescent="0.3"/>
    <row r="434" ht="13" x14ac:dyDescent="0.3"/>
    <row r="435" ht="13" x14ac:dyDescent="0.3"/>
    <row r="436" ht="13" x14ac:dyDescent="0.3"/>
    <row r="437" ht="13" x14ac:dyDescent="0.3"/>
    <row r="438" ht="13" x14ac:dyDescent="0.3"/>
    <row r="439" ht="13" x14ac:dyDescent="0.3"/>
    <row r="440" ht="13" x14ac:dyDescent="0.3"/>
    <row r="441" ht="13" x14ac:dyDescent="0.3"/>
    <row r="442" ht="13" x14ac:dyDescent="0.3"/>
    <row r="443" ht="13" x14ac:dyDescent="0.3"/>
    <row r="444" ht="13" x14ac:dyDescent="0.3"/>
    <row r="445" ht="13" x14ac:dyDescent="0.3"/>
    <row r="446" ht="13" x14ac:dyDescent="0.3"/>
    <row r="447" ht="13" x14ac:dyDescent="0.3"/>
    <row r="448" ht="13" x14ac:dyDescent="0.3"/>
    <row r="449" ht="13" x14ac:dyDescent="0.3"/>
    <row r="450" ht="13" x14ac:dyDescent="0.3"/>
    <row r="451" ht="13" x14ac:dyDescent="0.3"/>
    <row r="452" ht="13" x14ac:dyDescent="0.3"/>
    <row r="453" ht="13" x14ac:dyDescent="0.3"/>
    <row r="454" ht="13" x14ac:dyDescent="0.3"/>
    <row r="455" ht="13" x14ac:dyDescent="0.3"/>
    <row r="456" ht="13" x14ac:dyDescent="0.3"/>
    <row r="457" ht="13" x14ac:dyDescent="0.3"/>
    <row r="458" ht="13" x14ac:dyDescent="0.3"/>
    <row r="459" ht="13" x14ac:dyDescent="0.3"/>
    <row r="460" ht="13" x14ac:dyDescent="0.3"/>
    <row r="461" ht="13" x14ac:dyDescent="0.3"/>
    <row r="462" ht="13" x14ac:dyDescent="0.3"/>
    <row r="463" ht="13" x14ac:dyDescent="0.3"/>
    <row r="464" ht="13" x14ac:dyDescent="0.3"/>
    <row r="465" ht="13" x14ac:dyDescent="0.3"/>
    <row r="466" ht="13" x14ac:dyDescent="0.3"/>
    <row r="467" ht="13" x14ac:dyDescent="0.3"/>
    <row r="468" ht="13" x14ac:dyDescent="0.3"/>
    <row r="469" ht="13" x14ac:dyDescent="0.3"/>
    <row r="470" ht="13" x14ac:dyDescent="0.3"/>
    <row r="471" ht="13" x14ac:dyDescent="0.3"/>
    <row r="472" ht="13" x14ac:dyDescent="0.3"/>
    <row r="473" ht="13" x14ac:dyDescent="0.3"/>
    <row r="474" ht="13" x14ac:dyDescent="0.3"/>
    <row r="475" ht="13" x14ac:dyDescent="0.3"/>
    <row r="476" ht="13" x14ac:dyDescent="0.3"/>
    <row r="477" ht="13" x14ac:dyDescent="0.3"/>
    <row r="478" ht="13" x14ac:dyDescent="0.3"/>
    <row r="479" ht="13" x14ac:dyDescent="0.3"/>
    <row r="480" ht="13" x14ac:dyDescent="0.3"/>
    <row r="481" ht="13" x14ac:dyDescent="0.3"/>
    <row r="482" ht="13" x14ac:dyDescent="0.3"/>
    <row r="483" ht="13" x14ac:dyDescent="0.3"/>
    <row r="484" ht="13" x14ac:dyDescent="0.3"/>
    <row r="485" ht="13" x14ac:dyDescent="0.3"/>
    <row r="486" ht="13" x14ac:dyDescent="0.3"/>
    <row r="487" ht="13" x14ac:dyDescent="0.3"/>
    <row r="488" ht="13" x14ac:dyDescent="0.3"/>
    <row r="489" ht="13" x14ac:dyDescent="0.3"/>
    <row r="490" ht="13" x14ac:dyDescent="0.3"/>
    <row r="491" ht="13" x14ac:dyDescent="0.3"/>
    <row r="492" ht="13" x14ac:dyDescent="0.3"/>
    <row r="493" ht="13" x14ac:dyDescent="0.3"/>
    <row r="494" ht="13" x14ac:dyDescent="0.3"/>
    <row r="495" ht="13" x14ac:dyDescent="0.3"/>
    <row r="496" ht="13" x14ac:dyDescent="0.3"/>
    <row r="497" ht="13" x14ac:dyDescent="0.3"/>
    <row r="498" ht="13" x14ac:dyDescent="0.3"/>
    <row r="499" ht="13" x14ac:dyDescent="0.3"/>
    <row r="500" ht="13" x14ac:dyDescent="0.3"/>
    <row r="501" ht="13" x14ac:dyDescent="0.3"/>
    <row r="502" ht="13" x14ac:dyDescent="0.3"/>
    <row r="503" ht="13" x14ac:dyDescent="0.3"/>
    <row r="504" ht="13" x14ac:dyDescent="0.3"/>
    <row r="505" ht="13" x14ac:dyDescent="0.3"/>
    <row r="506" ht="13" x14ac:dyDescent="0.3"/>
    <row r="507" ht="13" x14ac:dyDescent="0.3"/>
    <row r="508" ht="13" x14ac:dyDescent="0.3"/>
    <row r="509" ht="13" x14ac:dyDescent="0.3"/>
    <row r="510" ht="13" x14ac:dyDescent="0.3"/>
    <row r="511" ht="13" x14ac:dyDescent="0.3"/>
    <row r="512" ht="13" x14ac:dyDescent="0.3"/>
    <row r="513" ht="13" x14ac:dyDescent="0.3"/>
    <row r="514" ht="13" x14ac:dyDescent="0.3"/>
    <row r="515" ht="13" x14ac:dyDescent="0.3"/>
    <row r="516" ht="13" x14ac:dyDescent="0.3"/>
    <row r="517" ht="13" x14ac:dyDescent="0.3"/>
    <row r="518" ht="13" x14ac:dyDescent="0.3"/>
    <row r="519" ht="13" x14ac:dyDescent="0.3"/>
    <row r="520" ht="13" x14ac:dyDescent="0.3"/>
    <row r="521" ht="13" x14ac:dyDescent="0.3"/>
    <row r="522" ht="13" x14ac:dyDescent="0.3"/>
    <row r="523" ht="13" x14ac:dyDescent="0.3"/>
    <row r="524" ht="13" x14ac:dyDescent="0.3"/>
    <row r="525" ht="13" x14ac:dyDescent="0.3"/>
    <row r="526" ht="13" x14ac:dyDescent="0.3"/>
    <row r="527" ht="13" x14ac:dyDescent="0.3"/>
    <row r="528" ht="13" x14ac:dyDescent="0.3"/>
    <row r="529" ht="13" x14ac:dyDescent="0.3"/>
    <row r="530" ht="13" x14ac:dyDescent="0.3"/>
    <row r="531" ht="13" x14ac:dyDescent="0.3"/>
    <row r="532" ht="13" x14ac:dyDescent="0.3"/>
    <row r="533" ht="13" x14ac:dyDescent="0.3"/>
    <row r="534" ht="13" x14ac:dyDescent="0.3"/>
    <row r="535" ht="13" x14ac:dyDescent="0.3"/>
    <row r="536" ht="13" x14ac:dyDescent="0.3"/>
    <row r="537" ht="13" x14ac:dyDescent="0.3"/>
    <row r="538" ht="13" x14ac:dyDescent="0.3"/>
    <row r="539" ht="13" x14ac:dyDescent="0.3"/>
    <row r="540" ht="13" x14ac:dyDescent="0.3"/>
    <row r="541" ht="13" x14ac:dyDescent="0.3"/>
    <row r="542" ht="13" x14ac:dyDescent="0.3"/>
    <row r="543" ht="13" x14ac:dyDescent="0.3"/>
    <row r="544" ht="13" x14ac:dyDescent="0.3"/>
    <row r="545" ht="13" x14ac:dyDescent="0.3"/>
    <row r="546" ht="13" x14ac:dyDescent="0.3"/>
    <row r="547" ht="13" x14ac:dyDescent="0.3"/>
    <row r="548" ht="13" x14ac:dyDescent="0.3"/>
    <row r="549" ht="13" x14ac:dyDescent="0.3"/>
    <row r="550" ht="13" x14ac:dyDescent="0.3"/>
    <row r="551" ht="13" x14ac:dyDescent="0.3"/>
    <row r="552" ht="13" x14ac:dyDescent="0.3"/>
    <row r="553" ht="13" x14ac:dyDescent="0.3"/>
    <row r="554" ht="13" x14ac:dyDescent="0.3"/>
    <row r="555" ht="13" x14ac:dyDescent="0.3"/>
    <row r="556" ht="13" x14ac:dyDescent="0.3"/>
    <row r="557" ht="13" x14ac:dyDescent="0.3"/>
    <row r="558" ht="13" x14ac:dyDescent="0.3"/>
    <row r="559" ht="13" x14ac:dyDescent="0.3"/>
    <row r="560" ht="13" x14ac:dyDescent="0.3"/>
    <row r="561" ht="13" x14ac:dyDescent="0.3"/>
    <row r="562" ht="13" x14ac:dyDescent="0.3"/>
    <row r="563" ht="13" x14ac:dyDescent="0.3"/>
    <row r="564" ht="13" x14ac:dyDescent="0.3"/>
    <row r="565" ht="13" x14ac:dyDescent="0.3"/>
    <row r="566" ht="13" x14ac:dyDescent="0.3"/>
    <row r="567" ht="13" x14ac:dyDescent="0.3"/>
    <row r="568" ht="13" x14ac:dyDescent="0.3"/>
    <row r="569" ht="13" x14ac:dyDescent="0.3"/>
    <row r="570" ht="13" x14ac:dyDescent="0.3"/>
    <row r="571" ht="13" x14ac:dyDescent="0.3"/>
    <row r="572" ht="13" x14ac:dyDescent="0.3"/>
    <row r="573" ht="13" x14ac:dyDescent="0.3"/>
    <row r="574" ht="13" x14ac:dyDescent="0.3"/>
    <row r="575" ht="13" x14ac:dyDescent="0.3"/>
    <row r="576" ht="13" x14ac:dyDescent="0.3"/>
    <row r="577" ht="13" x14ac:dyDescent="0.3"/>
    <row r="578" ht="13" x14ac:dyDescent="0.3"/>
    <row r="579" ht="13" x14ac:dyDescent="0.3"/>
    <row r="580" ht="13" x14ac:dyDescent="0.3"/>
    <row r="581" ht="13" x14ac:dyDescent="0.3"/>
    <row r="582" ht="13" x14ac:dyDescent="0.3"/>
    <row r="583" ht="13" x14ac:dyDescent="0.3"/>
    <row r="584" ht="13" x14ac:dyDescent="0.3"/>
    <row r="585" ht="13" x14ac:dyDescent="0.3"/>
    <row r="586" ht="13" x14ac:dyDescent="0.3"/>
    <row r="587" ht="13" x14ac:dyDescent="0.3"/>
    <row r="588" ht="13" x14ac:dyDescent="0.3"/>
    <row r="589" ht="13" x14ac:dyDescent="0.3"/>
    <row r="590" ht="13" x14ac:dyDescent="0.3"/>
    <row r="591" ht="13" x14ac:dyDescent="0.3"/>
    <row r="592" ht="13" x14ac:dyDescent="0.3"/>
    <row r="593" ht="13" x14ac:dyDescent="0.3"/>
    <row r="594" ht="13" x14ac:dyDescent="0.3"/>
    <row r="595" ht="13" x14ac:dyDescent="0.3"/>
    <row r="596" ht="13" x14ac:dyDescent="0.3"/>
    <row r="597" ht="13" x14ac:dyDescent="0.3"/>
    <row r="598" ht="13" x14ac:dyDescent="0.3"/>
    <row r="599" ht="13" x14ac:dyDescent="0.3"/>
    <row r="600" ht="13" x14ac:dyDescent="0.3"/>
    <row r="601" ht="13" x14ac:dyDescent="0.3"/>
    <row r="602" ht="13" x14ac:dyDescent="0.3"/>
    <row r="603" ht="13" x14ac:dyDescent="0.3"/>
    <row r="604" ht="13" x14ac:dyDescent="0.3"/>
    <row r="605" ht="13" x14ac:dyDescent="0.3"/>
    <row r="606" ht="13" x14ac:dyDescent="0.3"/>
    <row r="607" ht="13" x14ac:dyDescent="0.3"/>
    <row r="608" ht="13" x14ac:dyDescent="0.3"/>
    <row r="609" ht="13" x14ac:dyDescent="0.3"/>
    <row r="610" ht="13" x14ac:dyDescent="0.3"/>
    <row r="611" ht="13" x14ac:dyDescent="0.3"/>
    <row r="612" ht="13" x14ac:dyDescent="0.3"/>
    <row r="613" ht="13" x14ac:dyDescent="0.3"/>
    <row r="614" ht="13" x14ac:dyDescent="0.3"/>
    <row r="615" ht="13" x14ac:dyDescent="0.3"/>
    <row r="616" ht="13" x14ac:dyDescent="0.3"/>
    <row r="617" ht="13" x14ac:dyDescent="0.3"/>
    <row r="618" ht="13" x14ac:dyDescent="0.3"/>
    <row r="619" ht="13" x14ac:dyDescent="0.3"/>
    <row r="620" ht="13" x14ac:dyDescent="0.3"/>
    <row r="621" ht="13" x14ac:dyDescent="0.3"/>
    <row r="622" ht="13" x14ac:dyDescent="0.3"/>
    <row r="623" ht="13" x14ac:dyDescent="0.3"/>
    <row r="624" ht="13" x14ac:dyDescent="0.3"/>
    <row r="625" ht="13" x14ac:dyDescent="0.3"/>
    <row r="626" ht="13" x14ac:dyDescent="0.3"/>
    <row r="627" ht="13" x14ac:dyDescent="0.3"/>
    <row r="628" ht="13" x14ac:dyDescent="0.3"/>
    <row r="629" ht="13" x14ac:dyDescent="0.3"/>
    <row r="630" ht="13" x14ac:dyDescent="0.3"/>
    <row r="631" ht="13" x14ac:dyDescent="0.3"/>
    <row r="632" ht="13" x14ac:dyDescent="0.3"/>
    <row r="633" ht="13" x14ac:dyDescent="0.3"/>
    <row r="634" ht="13" x14ac:dyDescent="0.3"/>
    <row r="635" ht="13" x14ac:dyDescent="0.3"/>
    <row r="636" ht="13" x14ac:dyDescent="0.3"/>
    <row r="637" ht="13" x14ac:dyDescent="0.3"/>
    <row r="638" ht="13" x14ac:dyDescent="0.3"/>
    <row r="639" ht="13" x14ac:dyDescent="0.3"/>
    <row r="640" ht="13" x14ac:dyDescent="0.3"/>
    <row r="641" ht="13" x14ac:dyDescent="0.3"/>
    <row r="642" ht="13" x14ac:dyDescent="0.3"/>
    <row r="643" ht="13" x14ac:dyDescent="0.3"/>
    <row r="644" ht="13" x14ac:dyDescent="0.3"/>
    <row r="645" ht="13" x14ac:dyDescent="0.3"/>
    <row r="646" ht="13" x14ac:dyDescent="0.3"/>
    <row r="647" ht="13" x14ac:dyDescent="0.3"/>
    <row r="648" ht="13" x14ac:dyDescent="0.3"/>
    <row r="649" ht="13" x14ac:dyDescent="0.3"/>
    <row r="650" ht="13" x14ac:dyDescent="0.3"/>
    <row r="651" ht="13" x14ac:dyDescent="0.3"/>
    <row r="652" ht="13" x14ac:dyDescent="0.3"/>
    <row r="653" ht="13" x14ac:dyDescent="0.3"/>
    <row r="654" ht="13" x14ac:dyDescent="0.3"/>
    <row r="655" ht="13" x14ac:dyDescent="0.3"/>
    <row r="656" ht="13" x14ac:dyDescent="0.3"/>
    <row r="657" ht="13" x14ac:dyDescent="0.3"/>
    <row r="658" ht="13" x14ac:dyDescent="0.3"/>
    <row r="659" ht="13" x14ac:dyDescent="0.3"/>
    <row r="660" ht="13" x14ac:dyDescent="0.3"/>
    <row r="661" ht="13" x14ac:dyDescent="0.3"/>
    <row r="662" ht="13" x14ac:dyDescent="0.3"/>
    <row r="663" ht="13" x14ac:dyDescent="0.3"/>
    <row r="664" ht="13" x14ac:dyDescent="0.3"/>
    <row r="665" ht="13" x14ac:dyDescent="0.3"/>
    <row r="666" ht="13" x14ac:dyDescent="0.3"/>
    <row r="667" ht="13" x14ac:dyDescent="0.3"/>
    <row r="668" ht="13" x14ac:dyDescent="0.3"/>
    <row r="669" ht="13" x14ac:dyDescent="0.3"/>
    <row r="670" ht="13" x14ac:dyDescent="0.3"/>
    <row r="671" ht="13" x14ac:dyDescent="0.3"/>
    <row r="672" ht="13" x14ac:dyDescent="0.3"/>
    <row r="673" ht="13" x14ac:dyDescent="0.3"/>
    <row r="674" ht="13" x14ac:dyDescent="0.3"/>
    <row r="675" ht="13" x14ac:dyDescent="0.3"/>
    <row r="676" ht="13" x14ac:dyDescent="0.3"/>
    <row r="677" ht="13" x14ac:dyDescent="0.3"/>
    <row r="678" ht="13" x14ac:dyDescent="0.3"/>
    <row r="679" ht="13" x14ac:dyDescent="0.3"/>
    <row r="680" ht="13" x14ac:dyDescent="0.3"/>
    <row r="681" ht="13" x14ac:dyDescent="0.3"/>
    <row r="682" ht="13" x14ac:dyDescent="0.3"/>
    <row r="683" ht="13" x14ac:dyDescent="0.3"/>
    <row r="684" ht="13" x14ac:dyDescent="0.3"/>
    <row r="685" ht="13" x14ac:dyDescent="0.3"/>
    <row r="686" ht="13" x14ac:dyDescent="0.3"/>
    <row r="687" ht="13" x14ac:dyDescent="0.3"/>
    <row r="688" ht="13" x14ac:dyDescent="0.3"/>
    <row r="689" ht="13" x14ac:dyDescent="0.3"/>
    <row r="690" ht="13" x14ac:dyDescent="0.3"/>
    <row r="691" ht="13" x14ac:dyDescent="0.3"/>
    <row r="692" ht="13" x14ac:dyDescent="0.3"/>
    <row r="693" ht="13" x14ac:dyDescent="0.3"/>
    <row r="694" ht="13" x14ac:dyDescent="0.3"/>
    <row r="695" ht="13" x14ac:dyDescent="0.3"/>
    <row r="696" ht="13" x14ac:dyDescent="0.3"/>
    <row r="697" ht="13" x14ac:dyDescent="0.3"/>
    <row r="698" ht="13" x14ac:dyDescent="0.3"/>
    <row r="699" ht="13" x14ac:dyDescent="0.3"/>
    <row r="700" ht="13" x14ac:dyDescent="0.3"/>
    <row r="701" ht="13" x14ac:dyDescent="0.3"/>
    <row r="702" ht="13" x14ac:dyDescent="0.3"/>
    <row r="703" ht="13" x14ac:dyDescent="0.3"/>
    <row r="704" ht="13" x14ac:dyDescent="0.3"/>
    <row r="705" ht="13" x14ac:dyDescent="0.3"/>
    <row r="706" ht="13" x14ac:dyDescent="0.3"/>
    <row r="707" ht="13" x14ac:dyDescent="0.3"/>
    <row r="708" ht="13" x14ac:dyDescent="0.3"/>
    <row r="709" ht="13" x14ac:dyDescent="0.3"/>
    <row r="710" ht="13" x14ac:dyDescent="0.3"/>
    <row r="711" ht="13" x14ac:dyDescent="0.3"/>
    <row r="712" ht="13" x14ac:dyDescent="0.3"/>
    <row r="713" ht="13" x14ac:dyDescent="0.3"/>
    <row r="714" ht="13" x14ac:dyDescent="0.3"/>
    <row r="715" ht="13" x14ac:dyDescent="0.3"/>
    <row r="716" ht="13" x14ac:dyDescent="0.3"/>
    <row r="717" ht="13" x14ac:dyDescent="0.3"/>
    <row r="718" ht="13" x14ac:dyDescent="0.3"/>
    <row r="719" ht="13" x14ac:dyDescent="0.3"/>
    <row r="720" ht="13" x14ac:dyDescent="0.3"/>
    <row r="721" ht="13" x14ac:dyDescent="0.3"/>
    <row r="722" ht="13" x14ac:dyDescent="0.3"/>
    <row r="723" ht="13" x14ac:dyDescent="0.3"/>
    <row r="724" ht="13" x14ac:dyDescent="0.3"/>
    <row r="725" ht="13" x14ac:dyDescent="0.3"/>
    <row r="726" ht="13" x14ac:dyDescent="0.3"/>
    <row r="727" ht="13" x14ac:dyDescent="0.3"/>
    <row r="728" ht="13" x14ac:dyDescent="0.3"/>
    <row r="729" ht="13" x14ac:dyDescent="0.3"/>
    <row r="730" ht="13" x14ac:dyDescent="0.3"/>
    <row r="731" ht="13" x14ac:dyDescent="0.3"/>
    <row r="732" ht="13" x14ac:dyDescent="0.3"/>
    <row r="733" ht="13" x14ac:dyDescent="0.3"/>
    <row r="734" ht="13" x14ac:dyDescent="0.3"/>
    <row r="735" ht="13" x14ac:dyDescent="0.3"/>
    <row r="736" ht="13" x14ac:dyDescent="0.3"/>
    <row r="737" ht="13" x14ac:dyDescent="0.3"/>
    <row r="738" ht="13" x14ac:dyDescent="0.3"/>
    <row r="739" ht="13" x14ac:dyDescent="0.3"/>
    <row r="740" ht="13" x14ac:dyDescent="0.3"/>
    <row r="741" ht="13" x14ac:dyDescent="0.3"/>
    <row r="742" ht="13" x14ac:dyDescent="0.3"/>
    <row r="743" ht="13" x14ac:dyDescent="0.3"/>
    <row r="744" ht="13" x14ac:dyDescent="0.3"/>
    <row r="745" ht="13" x14ac:dyDescent="0.3"/>
    <row r="746" ht="13" x14ac:dyDescent="0.3"/>
    <row r="747" ht="13" x14ac:dyDescent="0.3"/>
    <row r="748" ht="13" x14ac:dyDescent="0.3"/>
    <row r="749" ht="13" x14ac:dyDescent="0.3"/>
    <row r="750" ht="13" x14ac:dyDescent="0.3"/>
    <row r="751" ht="13" x14ac:dyDescent="0.3"/>
    <row r="752" ht="13" x14ac:dyDescent="0.3"/>
    <row r="753" ht="13" x14ac:dyDescent="0.3"/>
    <row r="754" ht="13" x14ac:dyDescent="0.3"/>
    <row r="755" ht="13" x14ac:dyDescent="0.3"/>
    <row r="756" ht="13" x14ac:dyDescent="0.3"/>
    <row r="757" ht="13" x14ac:dyDescent="0.3"/>
    <row r="758" ht="13" x14ac:dyDescent="0.3"/>
    <row r="759" ht="13" x14ac:dyDescent="0.3"/>
    <row r="760" ht="13" x14ac:dyDescent="0.3"/>
    <row r="761" ht="13" x14ac:dyDescent="0.3"/>
    <row r="762" ht="13" x14ac:dyDescent="0.3"/>
    <row r="763" ht="13" x14ac:dyDescent="0.3"/>
    <row r="764" ht="13" x14ac:dyDescent="0.3"/>
    <row r="765" ht="13" x14ac:dyDescent="0.3"/>
    <row r="766" ht="13" x14ac:dyDescent="0.3"/>
    <row r="767" ht="13" x14ac:dyDescent="0.3"/>
    <row r="768" ht="13" x14ac:dyDescent="0.3"/>
    <row r="769" ht="13" x14ac:dyDescent="0.3"/>
    <row r="770" ht="13" x14ac:dyDescent="0.3"/>
    <row r="771" ht="13" x14ac:dyDescent="0.3"/>
    <row r="772" ht="13" x14ac:dyDescent="0.3"/>
    <row r="773" ht="13" x14ac:dyDescent="0.3"/>
    <row r="774" ht="13" x14ac:dyDescent="0.3"/>
    <row r="775" ht="13" x14ac:dyDescent="0.3"/>
    <row r="776" ht="13" x14ac:dyDescent="0.3"/>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
  <sheetViews>
    <sheetView workbookViewId="0">
      <selection activeCell="E35" sqref="E35"/>
    </sheetView>
  </sheetViews>
  <sheetFormatPr defaultRowHeight="14.5" x14ac:dyDescent="0.3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sheetPr>
  <dimension ref="A1:AE8"/>
  <sheetViews>
    <sheetView workbookViewId="0">
      <selection activeCell="B2" sqref="B2"/>
    </sheetView>
  </sheetViews>
  <sheetFormatPr defaultRowHeight="14.5" x14ac:dyDescent="0.35"/>
  <cols>
    <col min="1" max="1" width="25.1796875" customWidth="1"/>
    <col min="2" max="2" width="53.1796875" customWidth="1"/>
  </cols>
  <sheetData>
    <row r="1" spans="1:31" x14ac:dyDescent="0.35">
      <c r="A1" s="2" t="s">
        <v>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35">
      <c r="A2" t="s">
        <v>1</v>
      </c>
      <c r="B2" s="18">
        <f>'Passenger Vehicle Calculations'!C69</f>
        <v>2720.1223686433941</v>
      </c>
      <c r="C2" s="18">
        <f>'Passenger Vehicle Calculations'!D69</f>
        <v>1928.2968213818772</v>
      </c>
      <c r="D2" s="18">
        <f>'Passenger Vehicle Calculations'!E69</f>
        <v>2129.412735209472</v>
      </c>
      <c r="E2" s="18">
        <f>'Passenger Vehicle Calculations'!F69</f>
        <v>2025.9480858626696</v>
      </c>
      <c r="F2" s="18">
        <f>'Passenger Vehicle Calculations'!G69</f>
        <v>1302.7046290858618</v>
      </c>
      <c r="G2" s="18">
        <f>'Passenger Vehicle Calculations'!H69</f>
        <v>1251.3865088212251</v>
      </c>
      <c r="H2" s="18">
        <f>'Passenger Vehicle Calculations'!I69</f>
        <v>1211.2404940011895</v>
      </c>
      <c r="I2" s="18">
        <f>'Passenger Vehicle Calculations'!J69</f>
        <v>1207.7766446613491</v>
      </c>
      <c r="J2" s="18">
        <f>'Passenger Vehicle Calculations'!K69</f>
        <v>1209.1801647197562</v>
      </c>
      <c r="K2" s="18">
        <f>'Passenger Vehicle Calculations'!L69</f>
        <v>1262.2663977861712</v>
      </c>
      <c r="L2" s="18">
        <f>'Passenger Vehicle Calculations'!M69</f>
        <v>1313.0283230933701</v>
      </c>
      <c r="M2" s="18">
        <f>'Passenger Vehicle Calculations'!N69</f>
        <v>1318.9340515469612</v>
      </c>
      <c r="N2" s="18">
        <f>'Passenger Vehicle Calculations'!O69</f>
        <v>157.82432189025366</v>
      </c>
      <c r="O2" s="18">
        <f>'Passenger Vehicle Calculations'!P69</f>
        <v>153.22749698082879</v>
      </c>
      <c r="P2" s="18">
        <f>'Passenger Vehicle Calculations'!Q69</f>
        <v>148.76456017556194</v>
      </c>
      <c r="Q2" s="18">
        <f>'Passenger Vehicle Calculations'!R69</f>
        <v>148.76456017556194</v>
      </c>
      <c r="R2" s="18">
        <f>'Passenger Vehicle Calculations'!S69</f>
        <v>148.76456017556194</v>
      </c>
      <c r="S2" s="18">
        <f>'Passenger Vehicle Calculations'!T69</f>
        <v>148.76456017556194</v>
      </c>
      <c r="T2" s="18">
        <f>'Passenger Vehicle Calculations'!U69</f>
        <v>148.76456017556194</v>
      </c>
      <c r="U2" s="18">
        <f>'Passenger Vehicle Calculations'!V69</f>
        <v>148.76456017556194</v>
      </c>
      <c r="V2" s="18">
        <f>'Passenger Vehicle Calculations'!W69</f>
        <v>148.76456017556194</v>
      </c>
      <c r="W2" s="18">
        <f>'Passenger Vehicle Calculations'!X69</f>
        <v>148.76456017556194</v>
      </c>
      <c r="X2" s="18">
        <f>'Passenger Vehicle Calculations'!Y69</f>
        <v>148.76456017556194</v>
      </c>
      <c r="Y2" s="18">
        <f>'Passenger Vehicle Calculations'!Z69</f>
        <v>148.76456017556194</v>
      </c>
      <c r="Z2" s="18">
        <f>'Passenger Vehicle Calculations'!AA69</f>
        <v>148.76456017556194</v>
      </c>
      <c r="AA2" s="18">
        <f>'Passenger Vehicle Calculations'!AB69</f>
        <v>148.76456017556194</v>
      </c>
      <c r="AB2" s="18">
        <f>'Passenger Vehicle Calculations'!AC69</f>
        <v>148.76456017556194</v>
      </c>
      <c r="AC2" s="18">
        <f>'Passenger Vehicle Calculations'!AD69</f>
        <v>148.76456017556194</v>
      </c>
      <c r="AD2" s="18">
        <f>'Passenger Vehicle Calculations'!AE69</f>
        <v>148.76456017556194</v>
      </c>
      <c r="AE2" s="18">
        <f>'Passenger Vehicle Calculations'!AF69</f>
        <v>148.76456017556194</v>
      </c>
    </row>
    <row r="3" spans="1:31" x14ac:dyDescent="0.35">
      <c r="A3" t="s">
        <v>2</v>
      </c>
      <c r="B3" s="18">
        <v>0</v>
      </c>
      <c r="C3" s="18">
        <v>0</v>
      </c>
      <c r="D3" s="18">
        <v>0</v>
      </c>
      <c r="E3" s="18">
        <v>0</v>
      </c>
      <c r="F3" s="18">
        <v>0</v>
      </c>
      <c r="G3" s="18">
        <v>0</v>
      </c>
      <c r="H3" s="18">
        <v>0</v>
      </c>
      <c r="I3" s="18">
        <v>0</v>
      </c>
      <c r="J3" s="18">
        <v>0</v>
      </c>
      <c r="K3" s="18">
        <v>0</v>
      </c>
      <c r="L3" s="18">
        <v>0</v>
      </c>
      <c r="M3" s="18">
        <v>0</v>
      </c>
      <c r="N3" s="18">
        <v>0</v>
      </c>
      <c r="O3" s="18">
        <v>0</v>
      </c>
      <c r="P3" s="18">
        <v>0</v>
      </c>
      <c r="Q3" s="18">
        <v>0</v>
      </c>
      <c r="R3" s="18">
        <v>0</v>
      </c>
      <c r="S3" s="18">
        <v>0</v>
      </c>
      <c r="T3" s="18">
        <v>0</v>
      </c>
      <c r="U3" s="18">
        <v>0</v>
      </c>
      <c r="V3" s="18">
        <v>0</v>
      </c>
      <c r="W3" s="18">
        <v>0</v>
      </c>
      <c r="X3" s="18">
        <v>0</v>
      </c>
      <c r="Y3" s="18">
        <v>0</v>
      </c>
      <c r="Z3" s="18">
        <v>0</v>
      </c>
      <c r="AA3" s="18">
        <v>0</v>
      </c>
      <c r="AB3" s="18">
        <v>0</v>
      </c>
      <c r="AC3" s="18">
        <v>0</v>
      </c>
      <c r="AD3" s="18">
        <v>0</v>
      </c>
      <c r="AE3" s="18">
        <v>0</v>
      </c>
    </row>
    <row r="4" spans="1:31" x14ac:dyDescent="0.35">
      <c r="A4" t="s">
        <v>3</v>
      </c>
      <c r="B4" s="18">
        <v>0</v>
      </c>
      <c r="C4" s="18">
        <v>0</v>
      </c>
      <c r="D4" s="18">
        <v>0</v>
      </c>
      <c r="E4" s="18">
        <v>0</v>
      </c>
      <c r="F4" s="18">
        <v>0</v>
      </c>
      <c r="G4" s="18">
        <v>0</v>
      </c>
      <c r="H4" s="18">
        <v>0</v>
      </c>
      <c r="I4" s="18">
        <v>0</v>
      </c>
      <c r="J4" s="18">
        <v>0</v>
      </c>
      <c r="K4" s="18">
        <v>0</v>
      </c>
      <c r="L4" s="18">
        <v>0</v>
      </c>
      <c r="M4" s="18">
        <v>0</v>
      </c>
      <c r="N4" s="18">
        <v>0</v>
      </c>
      <c r="O4" s="18">
        <v>0</v>
      </c>
      <c r="P4" s="18">
        <v>0</v>
      </c>
      <c r="Q4" s="18">
        <v>0</v>
      </c>
      <c r="R4" s="18">
        <v>0</v>
      </c>
      <c r="S4" s="18">
        <v>0</v>
      </c>
      <c r="T4" s="18">
        <v>0</v>
      </c>
      <c r="U4" s="18">
        <v>0</v>
      </c>
      <c r="V4" s="18">
        <v>0</v>
      </c>
      <c r="W4" s="18">
        <v>0</v>
      </c>
      <c r="X4" s="18">
        <v>0</v>
      </c>
      <c r="Y4" s="18">
        <v>0</v>
      </c>
      <c r="Z4" s="18">
        <v>0</v>
      </c>
      <c r="AA4" s="18">
        <v>0</v>
      </c>
      <c r="AB4" s="18">
        <v>0</v>
      </c>
      <c r="AC4" s="18">
        <v>0</v>
      </c>
      <c r="AD4" s="18">
        <v>0</v>
      </c>
      <c r="AE4" s="18">
        <v>0</v>
      </c>
    </row>
    <row r="5" spans="1:31" x14ac:dyDescent="0.35">
      <c r="A5" t="s">
        <v>4</v>
      </c>
      <c r="B5" s="18">
        <v>0</v>
      </c>
      <c r="C5" s="18">
        <v>0</v>
      </c>
      <c r="D5" s="18">
        <v>0</v>
      </c>
      <c r="E5" s="18">
        <v>0</v>
      </c>
      <c r="F5" s="18">
        <v>0</v>
      </c>
      <c r="G5" s="18">
        <v>0</v>
      </c>
      <c r="H5" s="18">
        <v>0</v>
      </c>
      <c r="I5" s="18">
        <v>0</v>
      </c>
      <c r="J5" s="18">
        <v>0</v>
      </c>
      <c r="K5" s="18">
        <v>0</v>
      </c>
      <c r="L5" s="18">
        <v>0</v>
      </c>
      <c r="M5" s="18">
        <v>0</v>
      </c>
      <c r="N5" s="18">
        <v>0</v>
      </c>
      <c r="O5" s="18">
        <v>0</v>
      </c>
      <c r="P5" s="18">
        <v>0</v>
      </c>
      <c r="Q5" s="18">
        <v>0</v>
      </c>
      <c r="R5" s="18">
        <v>0</v>
      </c>
      <c r="S5" s="18">
        <v>0</v>
      </c>
      <c r="T5" s="18">
        <v>0</v>
      </c>
      <c r="U5" s="18">
        <v>0</v>
      </c>
      <c r="V5" s="18">
        <v>0</v>
      </c>
      <c r="W5" s="18">
        <v>0</v>
      </c>
      <c r="X5" s="18">
        <v>0</v>
      </c>
      <c r="Y5" s="18">
        <v>0</v>
      </c>
      <c r="Z5" s="18">
        <v>0</v>
      </c>
      <c r="AA5" s="18">
        <v>0</v>
      </c>
      <c r="AB5" s="18">
        <v>0</v>
      </c>
      <c r="AC5" s="18">
        <v>0</v>
      </c>
      <c r="AD5" s="18">
        <v>0</v>
      </c>
      <c r="AE5" s="18">
        <v>0</v>
      </c>
    </row>
    <row r="6" spans="1:31" x14ac:dyDescent="0.35">
      <c r="A6" t="s">
        <v>5</v>
      </c>
      <c r="B6" s="18">
        <f>'Passenger Vehicle Calculations'!C70</f>
        <v>6936.9623686433943</v>
      </c>
      <c r="C6" s="18">
        <f>'Passenger Vehicle Calculations'!D70</f>
        <v>3848.2668213818774</v>
      </c>
      <c r="D6" s="18">
        <f>'Passenger Vehicle Calculations'!E70</f>
        <v>2129.412735209472</v>
      </c>
      <c r="E6" s="18">
        <f>'Passenger Vehicle Calculations'!F70</f>
        <v>2025.9480858626696</v>
      </c>
      <c r="F6" s="18">
        <f>'Passenger Vehicle Calculations'!G70</f>
        <v>1302.7046290858618</v>
      </c>
      <c r="G6" s="18">
        <f>'Passenger Vehicle Calculations'!H70</f>
        <v>1251.3865088212251</v>
      </c>
      <c r="H6" s="18">
        <f>'Passenger Vehicle Calculations'!I70</f>
        <v>1211.2404940011895</v>
      </c>
      <c r="I6" s="18">
        <f>'Passenger Vehicle Calculations'!J70</f>
        <v>1207.7766446613491</v>
      </c>
      <c r="J6" s="18">
        <f>'Passenger Vehicle Calculations'!K70</f>
        <v>1209.1801647197562</v>
      </c>
      <c r="K6" s="18">
        <f>'Passenger Vehicle Calculations'!L70</f>
        <v>1262.2663977861712</v>
      </c>
      <c r="L6" s="18">
        <f>'Passenger Vehicle Calculations'!M70</f>
        <v>1313.0283230933701</v>
      </c>
      <c r="M6" s="18">
        <f>'Passenger Vehicle Calculations'!N70</f>
        <v>1318.9340515469612</v>
      </c>
      <c r="N6" s="18">
        <f>'Passenger Vehicle Calculations'!O70</f>
        <v>157.82432189025366</v>
      </c>
      <c r="O6" s="18">
        <f>'Passenger Vehicle Calculations'!P70</f>
        <v>153.22749698082879</v>
      </c>
      <c r="P6" s="18">
        <f>'Passenger Vehicle Calculations'!Q70</f>
        <v>148.76456017556194</v>
      </c>
      <c r="Q6" s="18">
        <f>'Passenger Vehicle Calculations'!R70</f>
        <v>148.76456017556194</v>
      </c>
      <c r="R6" s="18">
        <f>'Passenger Vehicle Calculations'!S70</f>
        <v>148.76456017556194</v>
      </c>
      <c r="S6" s="18">
        <f>'Passenger Vehicle Calculations'!T70</f>
        <v>148.76456017556194</v>
      </c>
      <c r="T6" s="18">
        <f>'Passenger Vehicle Calculations'!U70</f>
        <v>148.76456017556194</v>
      </c>
      <c r="U6" s="18">
        <f>'Passenger Vehicle Calculations'!V70</f>
        <v>148.76456017556194</v>
      </c>
      <c r="V6" s="18">
        <f>'Passenger Vehicle Calculations'!W70</f>
        <v>148.76456017556194</v>
      </c>
      <c r="W6" s="18">
        <f>'Passenger Vehicle Calculations'!X70</f>
        <v>148.76456017556194</v>
      </c>
      <c r="X6" s="18">
        <f>'Passenger Vehicle Calculations'!Y70</f>
        <v>148.76456017556194</v>
      </c>
      <c r="Y6" s="18">
        <f>'Passenger Vehicle Calculations'!Z70</f>
        <v>148.76456017556194</v>
      </c>
      <c r="Z6" s="18">
        <f>'Passenger Vehicle Calculations'!AA70</f>
        <v>148.76456017556194</v>
      </c>
      <c r="AA6" s="18">
        <f>'Passenger Vehicle Calculations'!AB70</f>
        <v>148.76456017556194</v>
      </c>
      <c r="AB6" s="18">
        <f>'Passenger Vehicle Calculations'!AC70</f>
        <v>148.76456017556194</v>
      </c>
      <c r="AC6" s="18">
        <f>'Passenger Vehicle Calculations'!AD70</f>
        <v>148.76456017556194</v>
      </c>
      <c r="AD6" s="18">
        <f>'Passenger Vehicle Calculations'!AE70</f>
        <v>148.76456017556194</v>
      </c>
      <c r="AE6" s="18">
        <f>'Passenger Vehicle Calculations'!AF70</f>
        <v>148.76456017556194</v>
      </c>
    </row>
    <row r="7" spans="1:31" x14ac:dyDescent="0.35">
      <c r="A7" t="s">
        <v>6</v>
      </c>
      <c r="B7" s="18">
        <v>0</v>
      </c>
      <c r="C7" s="18">
        <v>0</v>
      </c>
      <c r="D7" s="18">
        <v>0</v>
      </c>
      <c r="E7" s="18">
        <v>0</v>
      </c>
      <c r="F7" s="18">
        <v>0</v>
      </c>
      <c r="G7" s="18">
        <v>0</v>
      </c>
      <c r="H7" s="18">
        <v>0</v>
      </c>
      <c r="I7" s="18">
        <v>0</v>
      </c>
      <c r="J7" s="18">
        <v>0</v>
      </c>
      <c r="K7" s="18">
        <v>0</v>
      </c>
      <c r="L7" s="18">
        <v>0</v>
      </c>
      <c r="M7" s="18">
        <v>0</v>
      </c>
      <c r="N7" s="18">
        <v>0</v>
      </c>
      <c r="O7" s="18">
        <v>0</v>
      </c>
      <c r="P7" s="18">
        <v>0</v>
      </c>
      <c r="Q7" s="18">
        <v>0</v>
      </c>
      <c r="R7" s="18">
        <v>0</v>
      </c>
      <c r="S7" s="18">
        <v>0</v>
      </c>
      <c r="T7" s="18">
        <v>0</v>
      </c>
      <c r="U7" s="18">
        <v>0</v>
      </c>
      <c r="V7" s="18">
        <v>0</v>
      </c>
      <c r="W7" s="18">
        <v>0</v>
      </c>
      <c r="X7" s="18">
        <v>0</v>
      </c>
      <c r="Y7" s="18">
        <v>0</v>
      </c>
      <c r="Z7" s="18">
        <v>0</v>
      </c>
      <c r="AA7" s="18">
        <v>0</v>
      </c>
      <c r="AB7" s="18">
        <v>0</v>
      </c>
      <c r="AC7" s="18">
        <v>0</v>
      </c>
      <c r="AD7" s="18">
        <v>0</v>
      </c>
      <c r="AE7" s="18">
        <v>0</v>
      </c>
    </row>
    <row r="8" spans="1:31" x14ac:dyDescent="0.35">
      <c r="A8" t="s">
        <v>7</v>
      </c>
      <c r="B8" s="18">
        <v>0</v>
      </c>
      <c r="C8" s="18">
        <v>0</v>
      </c>
      <c r="D8" s="18">
        <f>D2</f>
        <v>2129.412735209472</v>
      </c>
      <c r="E8" s="18">
        <f t="shared" ref="E8:AE8" si="0">E2</f>
        <v>2025.9480858626696</v>
      </c>
      <c r="F8" s="18">
        <f t="shared" si="0"/>
        <v>1302.7046290858618</v>
      </c>
      <c r="G8" s="18">
        <f t="shared" si="0"/>
        <v>1251.3865088212251</v>
      </c>
      <c r="H8" s="18">
        <f t="shared" si="0"/>
        <v>1211.2404940011895</v>
      </c>
      <c r="I8" s="18">
        <f t="shared" si="0"/>
        <v>1207.7766446613491</v>
      </c>
      <c r="J8" s="18">
        <f t="shared" si="0"/>
        <v>1209.1801647197562</v>
      </c>
      <c r="K8" s="18">
        <f t="shared" si="0"/>
        <v>1262.2663977861712</v>
      </c>
      <c r="L8" s="18">
        <f t="shared" si="0"/>
        <v>1313.0283230933701</v>
      </c>
      <c r="M8" s="18">
        <f t="shared" si="0"/>
        <v>1318.9340515469612</v>
      </c>
      <c r="N8" s="18">
        <f t="shared" si="0"/>
        <v>157.82432189025366</v>
      </c>
      <c r="O8" s="18">
        <f t="shared" si="0"/>
        <v>153.22749698082879</v>
      </c>
      <c r="P8" s="18">
        <f t="shared" si="0"/>
        <v>148.76456017556194</v>
      </c>
      <c r="Q8" s="18">
        <f t="shared" si="0"/>
        <v>148.76456017556194</v>
      </c>
      <c r="R8" s="18">
        <f t="shared" si="0"/>
        <v>148.76456017556194</v>
      </c>
      <c r="S8" s="18">
        <f t="shared" si="0"/>
        <v>148.76456017556194</v>
      </c>
      <c r="T8" s="18">
        <f t="shared" si="0"/>
        <v>148.76456017556194</v>
      </c>
      <c r="U8" s="18">
        <f t="shared" si="0"/>
        <v>148.76456017556194</v>
      </c>
      <c r="V8" s="18">
        <f t="shared" si="0"/>
        <v>148.76456017556194</v>
      </c>
      <c r="W8" s="18">
        <f t="shared" si="0"/>
        <v>148.76456017556194</v>
      </c>
      <c r="X8" s="18">
        <f t="shared" si="0"/>
        <v>148.76456017556194</v>
      </c>
      <c r="Y8" s="18">
        <f t="shared" si="0"/>
        <v>148.76456017556194</v>
      </c>
      <c r="Z8" s="18">
        <f t="shared" si="0"/>
        <v>148.76456017556194</v>
      </c>
      <c r="AA8" s="18">
        <f t="shared" si="0"/>
        <v>148.76456017556194</v>
      </c>
      <c r="AB8" s="18">
        <f t="shared" si="0"/>
        <v>148.76456017556194</v>
      </c>
      <c r="AC8" s="18">
        <f t="shared" si="0"/>
        <v>148.76456017556194</v>
      </c>
      <c r="AD8" s="18">
        <f t="shared" si="0"/>
        <v>148.76456017556194</v>
      </c>
      <c r="AE8" s="18">
        <f t="shared" si="0"/>
        <v>148.76456017556194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34DDE-5D7D-440E-9F2D-C8BE7EE78DD9}">
  <sheetPr>
    <tabColor theme="3"/>
  </sheetPr>
  <dimension ref="A1:AE8"/>
  <sheetViews>
    <sheetView workbookViewId="0">
      <selection activeCell="D7" sqref="D7:M7"/>
    </sheetView>
  </sheetViews>
  <sheetFormatPr defaultRowHeight="14.5" x14ac:dyDescent="0.35"/>
  <cols>
    <col min="1" max="1" width="25.1796875" customWidth="1"/>
  </cols>
  <sheetData>
    <row r="1" spans="1:31" x14ac:dyDescent="0.35">
      <c r="A1" s="2" t="s">
        <v>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35">
      <c r="A2" t="s">
        <v>1</v>
      </c>
      <c r="B2">
        <v>0</v>
      </c>
      <c r="C2">
        <v>0</v>
      </c>
      <c r="D2">
        <f>'Commercial Vehicles'!$B$7</f>
        <v>27004</v>
      </c>
      <c r="E2">
        <f>'Commercial Vehicles'!$B$7</f>
        <v>27004</v>
      </c>
      <c r="F2">
        <f>'Commercial Vehicles'!$B$7</f>
        <v>27004</v>
      </c>
      <c r="G2">
        <f>'Commercial Vehicles'!$B$7</f>
        <v>27004</v>
      </c>
      <c r="H2">
        <f>'Commercial Vehicles'!$B$7</f>
        <v>27004</v>
      </c>
      <c r="I2">
        <f>'Commercial Vehicles'!$B$7</f>
        <v>27004</v>
      </c>
      <c r="J2">
        <f>'Commercial Vehicles'!$B$7</f>
        <v>27004</v>
      </c>
      <c r="K2">
        <f>'Commercial Vehicles'!$B$7</f>
        <v>27004</v>
      </c>
      <c r="L2">
        <f>'Commercial Vehicles'!$B$7</f>
        <v>27004</v>
      </c>
      <c r="M2">
        <f>'Commercial Vehicles'!$B$7</f>
        <v>27004</v>
      </c>
      <c r="N2">
        <v>0</v>
      </c>
      <c r="O2">
        <v>0</v>
      </c>
      <c r="P2">
        <v>0</v>
      </c>
      <c r="Q2">
        <v>0</v>
      </c>
      <c r="R2">
        <v>0</v>
      </c>
      <c r="S2">
        <v>0</v>
      </c>
      <c r="T2">
        <v>0</v>
      </c>
      <c r="U2">
        <v>0</v>
      </c>
      <c r="V2">
        <v>0</v>
      </c>
      <c r="W2">
        <v>0</v>
      </c>
      <c r="X2">
        <v>0</v>
      </c>
      <c r="Y2">
        <v>0</v>
      </c>
      <c r="Z2">
        <v>0</v>
      </c>
      <c r="AA2">
        <v>0</v>
      </c>
      <c r="AB2">
        <v>0</v>
      </c>
      <c r="AC2">
        <v>0</v>
      </c>
      <c r="AD2">
        <v>0</v>
      </c>
      <c r="AE2">
        <v>0</v>
      </c>
    </row>
    <row r="3" spans="1:31" x14ac:dyDescent="0.35">
      <c r="A3" t="s">
        <v>2</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x14ac:dyDescent="0.35">
      <c r="A4" t="s">
        <v>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x14ac:dyDescent="0.35">
      <c r="A5" t="s">
        <v>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x14ac:dyDescent="0.35">
      <c r="A6" t="s">
        <v>5</v>
      </c>
      <c r="B6">
        <v>0</v>
      </c>
      <c r="C6">
        <v>0</v>
      </c>
      <c r="D6">
        <f>D2</f>
        <v>27004</v>
      </c>
      <c r="E6">
        <f t="shared" ref="E6:M6" si="0">E2</f>
        <v>27004</v>
      </c>
      <c r="F6">
        <f t="shared" si="0"/>
        <v>27004</v>
      </c>
      <c r="G6">
        <f t="shared" si="0"/>
        <v>27004</v>
      </c>
      <c r="H6">
        <f t="shared" si="0"/>
        <v>27004</v>
      </c>
      <c r="I6">
        <f t="shared" si="0"/>
        <v>27004</v>
      </c>
      <c r="J6">
        <f t="shared" si="0"/>
        <v>27004</v>
      </c>
      <c r="K6">
        <f t="shared" si="0"/>
        <v>27004</v>
      </c>
      <c r="L6">
        <f t="shared" si="0"/>
        <v>27004</v>
      </c>
      <c r="M6">
        <f t="shared" si="0"/>
        <v>27004</v>
      </c>
      <c r="N6">
        <v>0</v>
      </c>
      <c r="O6">
        <v>0</v>
      </c>
      <c r="P6">
        <v>0</v>
      </c>
      <c r="Q6">
        <v>0</v>
      </c>
      <c r="R6">
        <v>0</v>
      </c>
      <c r="S6">
        <v>0</v>
      </c>
      <c r="T6">
        <v>0</v>
      </c>
      <c r="U6">
        <v>0</v>
      </c>
      <c r="V6">
        <v>0</v>
      </c>
      <c r="W6">
        <v>0</v>
      </c>
      <c r="X6">
        <v>0</v>
      </c>
      <c r="Y6">
        <v>0</v>
      </c>
      <c r="Z6">
        <v>0</v>
      </c>
      <c r="AA6">
        <v>0</v>
      </c>
      <c r="AB6">
        <v>0</v>
      </c>
      <c r="AC6">
        <v>0</v>
      </c>
      <c r="AD6">
        <v>0</v>
      </c>
      <c r="AE6">
        <v>0</v>
      </c>
    </row>
    <row r="7" spans="1:31" x14ac:dyDescent="0.35">
      <c r="A7" t="s">
        <v>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x14ac:dyDescent="0.35">
      <c r="A8" t="s">
        <v>7</v>
      </c>
      <c r="B8">
        <v>0</v>
      </c>
      <c r="C8">
        <v>0</v>
      </c>
      <c r="D8">
        <f>D2</f>
        <v>27004</v>
      </c>
      <c r="E8">
        <f t="shared" ref="E8:M8" si="1">E2</f>
        <v>27004</v>
      </c>
      <c r="F8">
        <f t="shared" si="1"/>
        <v>27004</v>
      </c>
      <c r="G8">
        <f t="shared" si="1"/>
        <v>27004</v>
      </c>
      <c r="H8">
        <f t="shared" si="1"/>
        <v>27004</v>
      </c>
      <c r="I8">
        <f t="shared" si="1"/>
        <v>27004</v>
      </c>
      <c r="J8">
        <f t="shared" si="1"/>
        <v>27004</v>
      </c>
      <c r="K8">
        <f t="shared" si="1"/>
        <v>27004</v>
      </c>
      <c r="L8">
        <f t="shared" si="1"/>
        <v>27004</v>
      </c>
      <c r="M8">
        <f t="shared" si="1"/>
        <v>27004</v>
      </c>
      <c r="N8">
        <v>0</v>
      </c>
      <c r="O8">
        <v>0</v>
      </c>
      <c r="P8">
        <v>0</v>
      </c>
      <c r="Q8">
        <v>0</v>
      </c>
      <c r="R8">
        <v>0</v>
      </c>
      <c r="S8">
        <v>0</v>
      </c>
      <c r="T8">
        <v>0</v>
      </c>
      <c r="U8">
        <v>0</v>
      </c>
      <c r="V8">
        <v>0</v>
      </c>
      <c r="W8">
        <v>0</v>
      </c>
      <c r="X8">
        <v>0</v>
      </c>
      <c r="Y8">
        <v>0</v>
      </c>
      <c r="Z8">
        <v>0</v>
      </c>
      <c r="AA8">
        <v>0</v>
      </c>
      <c r="AB8">
        <v>0</v>
      </c>
      <c r="AC8">
        <v>0</v>
      </c>
      <c r="AD8">
        <v>0</v>
      </c>
      <c r="AE8">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741F6-596C-4C6D-91F8-CA5AA118CF11}">
  <sheetPr>
    <tabColor theme="3"/>
  </sheetPr>
  <dimension ref="A1:AE8"/>
  <sheetViews>
    <sheetView workbookViewId="0">
      <selection activeCell="B32" sqref="B32"/>
    </sheetView>
  </sheetViews>
  <sheetFormatPr defaultRowHeight="14.5" x14ac:dyDescent="0.35"/>
  <cols>
    <col min="1" max="1" width="25.1796875" customWidth="1"/>
  </cols>
  <sheetData>
    <row r="1" spans="1:31" x14ac:dyDescent="0.35">
      <c r="A1" s="2" t="s">
        <v>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35">
      <c r="A2" t="s">
        <v>1</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x14ac:dyDescent="0.35">
      <c r="A3" t="s">
        <v>2</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x14ac:dyDescent="0.35">
      <c r="A4" t="s">
        <v>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x14ac:dyDescent="0.35">
      <c r="A5" t="s">
        <v>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x14ac:dyDescent="0.35">
      <c r="A6" t="s">
        <v>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x14ac:dyDescent="0.35">
      <c r="A7" t="s">
        <v>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x14ac:dyDescent="0.35">
      <c r="A8" t="s">
        <v>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94405-868B-4452-B9AC-D6B63E4037BA}">
  <sheetPr>
    <tabColor theme="3"/>
  </sheetPr>
  <dimension ref="A1:AE8"/>
  <sheetViews>
    <sheetView workbookViewId="0">
      <selection activeCell="B32" sqref="B32"/>
    </sheetView>
  </sheetViews>
  <sheetFormatPr defaultRowHeight="14.5" x14ac:dyDescent="0.35"/>
  <cols>
    <col min="1" max="1" width="25.1796875" customWidth="1"/>
  </cols>
  <sheetData>
    <row r="1" spans="1:31" x14ac:dyDescent="0.35">
      <c r="A1" s="2" t="s">
        <v>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35">
      <c r="A2" t="s">
        <v>1</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x14ac:dyDescent="0.35">
      <c r="A3" t="s">
        <v>2</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x14ac:dyDescent="0.35">
      <c r="A4" t="s">
        <v>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x14ac:dyDescent="0.35">
      <c r="A5" t="s">
        <v>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x14ac:dyDescent="0.35">
      <c r="A6" t="s">
        <v>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x14ac:dyDescent="0.35">
      <c r="A7" t="s">
        <v>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x14ac:dyDescent="0.35">
      <c r="A8" t="s">
        <v>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87FBF-8038-4912-A5A6-BE7241A5CAB0}">
  <sheetPr>
    <tabColor theme="3"/>
  </sheetPr>
  <dimension ref="A1:AE8"/>
  <sheetViews>
    <sheetView workbookViewId="0">
      <selection activeCell="B32" sqref="B32"/>
    </sheetView>
  </sheetViews>
  <sheetFormatPr defaultRowHeight="14.5" x14ac:dyDescent="0.35"/>
  <cols>
    <col min="1" max="1" width="25.1796875" customWidth="1"/>
  </cols>
  <sheetData>
    <row r="1" spans="1:31" x14ac:dyDescent="0.35">
      <c r="A1" s="2" t="s">
        <v>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35">
      <c r="A2" t="s">
        <v>1</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x14ac:dyDescent="0.35">
      <c r="A3" t="s">
        <v>2</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x14ac:dyDescent="0.35">
      <c r="A4" t="s">
        <v>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x14ac:dyDescent="0.35">
      <c r="A5" t="s">
        <v>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x14ac:dyDescent="0.35">
      <c r="A6" t="s">
        <v>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x14ac:dyDescent="0.35">
      <c r="A7" t="s">
        <v>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x14ac:dyDescent="0.35">
      <c r="A8" t="s">
        <v>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5C6BF-BE7A-4625-8CB5-34C673B46C4E}">
  <sheetPr>
    <tabColor theme="3"/>
  </sheetPr>
  <dimension ref="A1:AE8"/>
  <sheetViews>
    <sheetView workbookViewId="0">
      <selection activeCell="M36" sqref="M36"/>
    </sheetView>
  </sheetViews>
  <sheetFormatPr defaultRowHeight="14.5" x14ac:dyDescent="0.35"/>
  <cols>
    <col min="1" max="1" width="25.1796875" customWidth="1"/>
  </cols>
  <sheetData>
    <row r="1" spans="1:31" x14ac:dyDescent="0.35">
      <c r="A1" s="2" t="s">
        <v>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35">
      <c r="A2" t="s">
        <v>1</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x14ac:dyDescent="0.35">
      <c r="A3" t="s">
        <v>2</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x14ac:dyDescent="0.35">
      <c r="A4" t="s">
        <v>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x14ac:dyDescent="0.35">
      <c r="A5" t="s">
        <v>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x14ac:dyDescent="0.35">
      <c r="A6" t="s">
        <v>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x14ac:dyDescent="0.35">
      <c r="A7" t="s">
        <v>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x14ac:dyDescent="0.35">
      <c r="A8" t="s">
        <v>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976DC-F6C0-456E-8DA9-4BF43DDF1E10}">
  <sheetPr>
    <tabColor rgb="FFFF0000"/>
  </sheetPr>
  <dimension ref="A1"/>
  <sheetViews>
    <sheetView workbookViewId="0">
      <selection activeCell="N30" sqref="N30"/>
    </sheetView>
  </sheetViews>
  <sheetFormatPr defaultRowHeight="14.5" x14ac:dyDescent="0.3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978D3-75FC-40E7-B55E-E0DE8CD249DB}">
  <sheetPr>
    <tabColor theme="3"/>
  </sheetPr>
  <dimension ref="A1:AE8"/>
  <sheetViews>
    <sheetView workbookViewId="0">
      <selection activeCell="D7" sqref="D7:M7"/>
    </sheetView>
  </sheetViews>
  <sheetFormatPr defaultRowHeight="14.5" x14ac:dyDescent="0.35"/>
  <cols>
    <col min="1" max="1" width="25.1796875" customWidth="1"/>
  </cols>
  <sheetData>
    <row r="1" spans="1:31" x14ac:dyDescent="0.35">
      <c r="A1" s="2" t="s">
        <v>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35">
      <c r="A2" t="s">
        <v>1</v>
      </c>
      <c r="B2">
        <v>0</v>
      </c>
      <c r="C2">
        <v>0</v>
      </c>
      <c r="D2">
        <f>'Commercial Vehicles'!B11</f>
        <v>10121.162702145082</v>
      </c>
      <c r="E2">
        <f>'Commercial Vehicles'!C11</f>
        <v>10059.772494365814</v>
      </c>
      <c r="F2">
        <f>'Commercial Vehicles'!D11</f>
        <v>10050.763799597085</v>
      </c>
      <c r="G2">
        <f>'Commercial Vehicles'!E11</f>
        <v>10127.428607069427</v>
      </c>
      <c r="H2">
        <f>'Commercial Vehicles'!F11</f>
        <v>10269.11524721545</v>
      </c>
      <c r="I2">
        <f>'Commercial Vehicles'!G11</f>
        <v>10350.781370900584</v>
      </c>
      <c r="J2">
        <f>'Commercial Vehicles'!H11</f>
        <v>10353.674088089921</v>
      </c>
      <c r="K2">
        <f>'Commercial Vehicles'!I11</f>
        <v>10294.239800360298</v>
      </c>
      <c r="L2">
        <f>'Commercial Vehicles'!J11</f>
        <v>10251.903689786537</v>
      </c>
      <c r="M2">
        <f>'Commercial Vehicles'!K11</f>
        <v>10279.777009851599</v>
      </c>
      <c r="N2">
        <v>0</v>
      </c>
      <c r="O2">
        <v>0</v>
      </c>
      <c r="P2">
        <v>0</v>
      </c>
      <c r="Q2">
        <v>0</v>
      </c>
      <c r="R2">
        <v>0</v>
      </c>
      <c r="S2">
        <v>0</v>
      </c>
      <c r="T2">
        <v>0</v>
      </c>
      <c r="U2">
        <v>0</v>
      </c>
      <c r="V2">
        <v>0</v>
      </c>
      <c r="W2">
        <v>0</v>
      </c>
      <c r="X2">
        <v>0</v>
      </c>
      <c r="Y2">
        <v>0</v>
      </c>
      <c r="Z2">
        <v>0</v>
      </c>
      <c r="AA2">
        <v>0</v>
      </c>
      <c r="AB2">
        <v>0</v>
      </c>
      <c r="AC2">
        <v>0</v>
      </c>
      <c r="AD2">
        <v>0</v>
      </c>
      <c r="AE2">
        <v>0</v>
      </c>
    </row>
    <row r="3" spans="1:31" x14ac:dyDescent="0.35">
      <c r="A3" t="s">
        <v>2</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x14ac:dyDescent="0.35">
      <c r="A4" t="s">
        <v>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x14ac:dyDescent="0.35">
      <c r="A5" t="s">
        <v>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x14ac:dyDescent="0.35">
      <c r="A6" t="s">
        <v>5</v>
      </c>
      <c r="B6">
        <v>0</v>
      </c>
      <c r="C6">
        <v>0</v>
      </c>
      <c r="D6">
        <f>D2</f>
        <v>10121.162702145082</v>
      </c>
      <c r="E6">
        <f t="shared" ref="E6:M6" si="0">E2</f>
        <v>10059.772494365814</v>
      </c>
      <c r="F6">
        <f t="shared" si="0"/>
        <v>10050.763799597085</v>
      </c>
      <c r="G6">
        <f t="shared" si="0"/>
        <v>10127.428607069427</v>
      </c>
      <c r="H6">
        <f t="shared" si="0"/>
        <v>10269.11524721545</v>
      </c>
      <c r="I6">
        <f t="shared" si="0"/>
        <v>10350.781370900584</v>
      </c>
      <c r="J6">
        <f t="shared" si="0"/>
        <v>10353.674088089921</v>
      </c>
      <c r="K6">
        <f t="shared" si="0"/>
        <v>10294.239800360298</v>
      </c>
      <c r="L6">
        <f t="shared" si="0"/>
        <v>10251.903689786537</v>
      </c>
      <c r="M6">
        <f t="shared" si="0"/>
        <v>10279.777009851599</v>
      </c>
      <c r="N6">
        <v>0</v>
      </c>
      <c r="O6">
        <v>0</v>
      </c>
      <c r="P6">
        <v>0</v>
      </c>
      <c r="Q6">
        <v>0</v>
      </c>
      <c r="R6">
        <v>0</v>
      </c>
      <c r="S6">
        <v>0</v>
      </c>
      <c r="T6">
        <v>0</v>
      </c>
      <c r="U6">
        <v>0</v>
      </c>
      <c r="V6">
        <v>0</v>
      </c>
      <c r="W6">
        <v>0</v>
      </c>
      <c r="X6">
        <v>0</v>
      </c>
      <c r="Y6">
        <v>0</v>
      </c>
      <c r="Z6">
        <v>0</v>
      </c>
      <c r="AA6">
        <v>0</v>
      </c>
      <c r="AB6">
        <v>0</v>
      </c>
      <c r="AC6">
        <v>0</v>
      </c>
      <c r="AD6">
        <v>0</v>
      </c>
      <c r="AE6">
        <v>0</v>
      </c>
    </row>
    <row r="7" spans="1:31" x14ac:dyDescent="0.35">
      <c r="A7" t="s">
        <v>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x14ac:dyDescent="0.35">
      <c r="A8" t="s">
        <v>7</v>
      </c>
      <c r="B8">
        <v>0</v>
      </c>
      <c r="C8">
        <v>0</v>
      </c>
      <c r="D8">
        <f>D2</f>
        <v>10121.162702145082</v>
      </c>
      <c r="E8">
        <f t="shared" ref="E8:M8" si="1">E2</f>
        <v>10059.772494365814</v>
      </c>
      <c r="F8">
        <f t="shared" si="1"/>
        <v>10050.763799597085</v>
      </c>
      <c r="G8">
        <f t="shared" si="1"/>
        <v>10127.428607069427</v>
      </c>
      <c r="H8">
        <f t="shared" si="1"/>
        <v>10269.11524721545</v>
      </c>
      <c r="I8">
        <f t="shared" si="1"/>
        <v>10350.781370900584</v>
      </c>
      <c r="J8">
        <f t="shared" si="1"/>
        <v>10353.674088089921</v>
      </c>
      <c r="K8">
        <f t="shared" si="1"/>
        <v>10294.239800360298</v>
      </c>
      <c r="L8">
        <f t="shared" si="1"/>
        <v>10251.903689786537</v>
      </c>
      <c r="M8">
        <f t="shared" si="1"/>
        <v>10279.777009851599</v>
      </c>
      <c r="N8">
        <v>0</v>
      </c>
      <c r="O8">
        <v>0</v>
      </c>
      <c r="P8">
        <v>0</v>
      </c>
      <c r="Q8">
        <v>0</v>
      </c>
      <c r="R8">
        <v>0</v>
      </c>
      <c r="S8">
        <v>0</v>
      </c>
      <c r="T8">
        <v>0</v>
      </c>
      <c r="U8">
        <v>0</v>
      </c>
      <c r="V8">
        <v>0</v>
      </c>
      <c r="W8">
        <v>0</v>
      </c>
      <c r="X8">
        <v>0</v>
      </c>
      <c r="Y8">
        <v>0</v>
      </c>
      <c r="Z8">
        <v>0</v>
      </c>
      <c r="AA8">
        <v>0</v>
      </c>
      <c r="AB8">
        <v>0</v>
      </c>
      <c r="AC8">
        <v>0</v>
      </c>
      <c r="AD8">
        <v>0</v>
      </c>
      <c r="AE8">
        <v>0</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139E4-90E8-4DFC-ABC4-1799BB0C313F}">
  <sheetPr>
    <tabColor theme="3"/>
  </sheetPr>
  <dimension ref="A1:AE8"/>
  <sheetViews>
    <sheetView workbookViewId="0">
      <selection activeCell="D7" sqref="D7:M7"/>
    </sheetView>
  </sheetViews>
  <sheetFormatPr defaultRowHeight="14.5" x14ac:dyDescent="0.35"/>
  <cols>
    <col min="1" max="1" width="25.1796875" customWidth="1"/>
  </cols>
  <sheetData>
    <row r="1" spans="1:31" x14ac:dyDescent="0.35">
      <c r="A1" s="2" t="s">
        <v>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35">
      <c r="A2" t="s">
        <v>1</v>
      </c>
      <c r="B2">
        <v>0</v>
      </c>
      <c r="C2">
        <v>0</v>
      </c>
      <c r="D2">
        <f>'Commercial Vehicles'!$B$8</f>
        <v>31400</v>
      </c>
      <c r="E2">
        <f>'Commercial Vehicles'!$B$8</f>
        <v>31400</v>
      </c>
      <c r="F2">
        <f>'Commercial Vehicles'!$B$8</f>
        <v>31400</v>
      </c>
      <c r="G2">
        <f>'Commercial Vehicles'!$B$8</f>
        <v>31400</v>
      </c>
      <c r="H2">
        <f>'Commercial Vehicles'!$B$8</f>
        <v>31400</v>
      </c>
      <c r="I2">
        <f>'Commercial Vehicles'!$B$8</f>
        <v>31400</v>
      </c>
      <c r="J2">
        <f>'Commercial Vehicles'!$B$8</f>
        <v>31400</v>
      </c>
      <c r="K2">
        <f>'Commercial Vehicles'!$B$8</f>
        <v>31400</v>
      </c>
      <c r="L2">
        <f>'Commercial Vehicles'!$B$8</f>
        <v>31400</v>
      </c>
      <c r="M2">
        <f>'Commercial Vehicles'!$B$8</f>
        <v>31400</v>
      </c>
      <c r="N2">
        <v>0</v>
      </c>
      <c r="O2">
        <v>0</v>
      </c>
      <c r="P2">
        <v>0</v>
      </c>
      <c r="Q2">
        <v>0</v>
      </c>
      <c r="R2">
        <v>0</v>
      </c>
      <c r="S2">
        <v>0</v>
      </c>
      <c r="T2">
        <v>0</v>
      </c>
      <c r="U2">
        <v>0</v>
      </c>
      <c r="V2">
        <v>0</v>
      </c>
      <c r="W2">
        <v>0</v>
      </c>
      <c r="X2">
        <v>0</v>
      </c>
      <c r="Y2">
        <v>0</v>
      </c>
      <c r="Z2">
        <v>0</v>
      </c>
      <c r="AA2">
        <v>0</v>
      </c>
      <c r="AB2">
        <v>0</v>
      </c>
      <c r="AC2">
        <v>0</v>
      </c>
      <c r="AD2">
        <v>0</v>
      </c>
      <c r="AE2">
        <v>0</v>
      </c>
    </row>
    <row r="3" spans="1:31" x14ac:dyDescent="0.35">
      <c r="A3" t="s">
        <v>2</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x14ac:dyDescent="0.35">
      <c r="A4" t="s">
        <v>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x14ac:dyDescent="0.35">
      <c r="A5" t="s">
        <v>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x14ac:dyDescent="0.35">
      <c r="A6" t="s">
        <v>5</v>
      </c>
      <c r="B6">
        <v>0</v>
      </c>
      <c r="C6">
        <v>0</v>
      </c>
      <c r="D6">
        <f>D2</f>
        <v>31400</v>
      </c>
      <c r="E6">
        <f t="shared" ref="E6:M6" si="0">E2</f>
        <v>31400</v>
      </c>
      <c r="F6">
        <f t="shared" si="0"/>
        <v>31400</v>
      </c>
      <c r="G6">
        <f t="shared" si="0"/>
        <v>31400</v>
      </c>
      <c r="H6">
        <f t="shared" si="0"/>
        <v>31400</v>
      </c>
      <c r="I6">
        <f t="shared" si="0"/>
        <v>31400</v>
      </c>
      <c r="J6">
        <f t="shared" si="0"/>
        <v>31400</v>
      </c>
      <c r="K6">
        <f t="shared" si="0"/>
        <v>31400</v>
      </c>
      <c r="L6">
        <f t="shared" si="0"/>
        <v>31400</v>
      </c>
      <c r="M6">
        <f t="shared" si="0"/>
        <v>31400</v>
      </c>
      <c r="N6">
        <v>0</v>
      </c>
      <c r="O6">
        <v>0</v>
      </c>
      <c r="P6">
        <v>0</v>
      </c>
      <c r="Q6">
        <v>0</v>
      </c>
      <c r="R6">
        <v>0</v>
      </c>
      <c r="S6">
        <v>0</v>
      </c>
      <c r="T6">
        <v>0</v>
      </c>
      <c r="U6">
        <v>0</v>
      </c>
      <c r="V6">
        <v>0</v>
      </c>
      <c r="W6">
        <v>0</v>
      </c>
      <c r="X6">
        <v>0</v>
      </c>
      <c r="Y6">
        <v>0</v>
      </c>
      <c r="Z6">
        <v>0</v>
      </c>
      <c r="AA6">
        <v>0</v>
      </c>
      <c r="AB6">
        <v>0</v>
      </c>
      <c r="AC6">
        <v>0</v>
      </c>
      <c r="AD6">
        <v>0</v>
      </c>
      <c r="AE6">
        <v>0</v>
      </c>
    </row>
    <row r="7" spans="1:31" x14ac:dyDescent="0.35">
      <c r="A7" t="s">
        <v>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x14ac:dyDescent="0.35">
      <c r="A8" t="s">
        <v>7</v>
      </c>
      <c r="B8">
        <v>0</v>
      </c>
      <c r="C8">
        <v>0</v>
      </c>
      <c r="D8">
        <f>D2</f>
        <v>31400</v>
      </c>
      <c r="E8">
        <f t="shared" ref="E8:M8" si="1">E2</f>
        <v>31400</v>
      </c>
      <c r="F8">
        <f t="shared" si="1"/>
        <v>31400</v>
      </c>
      <c r="G8">
        <f t="shared" si="1"/>
        <v>31400</v>
      </c>
      <c r="H8">
        <f t="shared" si="1"/>
        <v>31400</v>
      </c>
      <c r="I8">
        <f t="shared" si="1"/>
        <v>31400</v>
      </c>
      <c r="J8">
        <f t="shared" si="1"/>
        <v>31400</v>
      </c>
      <c r="K8">
        <f t="shared" si="1"/>
        <v>31400</v>
      </c>
      <c r="L8">
        <f t="shared" si="1"/>
        <v>31400</v>
      </c>
      <c r="M8">
        <f t="shared" si="1"/>
        <v>31400</v>
      </c>
      <c r="N8">
        <v>0</v>
      </c>
      <c r="O8">
        <v>0</v>
      </c>
      <c r="P8">
        <v>0</v>
      </c>
      <c r="Q8">
        <v>0</v>
      </c>
      <c r="R8">
        <v>0</v>
      </c>
      <c r="S8">
        <v>0</v>
      </c>
      <c r="T8">
        <v>0</v>
      </c>
      <c r="U8">
        <v>0</v>
      </c>
      <c r="V8">
        <v>0</v>
      </c>
      <c r="W8">
        <v>0</v>
      </c>
      <c r="X8">
        <v>0</v>
      </c>
      <c r="Y8">
        <v>0</v>
      </c>
      <c r="Z8">
        <v>0</v>
      </c>
      <c r="AA8">
        <v>0</v>
      </c>
      <c r="AB8">
        <v>0</v>
      </c>
      <c r="AC8">
        <v>0</v>
      </c>
      <c r="AD8">
        <v>0</v>
      </c>
      <c r="AE8">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4E315-3F6B-4E92-87B5-9C3C1B4F85DA}">
  <sheetPr>
    <tabColor theme="3"/>
  </sheetPr>
  <dimension ref="A1:AE8"/>
  <sheetViews>
    <sheetView workbookViewId="0">
      <selection activeCell="B32" sqref="B32"/>
    </sheetView>
  </sheetViews>
  <sheetFormatPr defaultRowHeight="14.5" x14ac:dyDescent="0.35"/>
  <cols>
    <col min="1" max="1" width="25.1796875" customWidth="1"/>
  </cols>
  <sheetData>
    <row r="1" spans="1:31" x14ac:dyDescent="0.35">
      <c r="A1" s="2" t="s">
        <v>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35">
      <c r="A2" t="s">
        <v>1</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x14ac:dyDescent="0.35">
      <c r="A3" t="s">
        <v>2</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x14ac:dyDescent="0.35">
      <c r="A4" t="s">
        <v>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x14ac:dyDescent="0.35">
      <c r="A5" t="s">
        <v>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x14ac:dyDescent="0.35">
      <c r="A6" t="s">
        <v>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x14ac:dyDescent="0.35">
      <c r="A7" t="s">
        <v>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x14ac:dyDescent="0.35">
      <c r="A8" t="s">
        <v>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E62EB-7B15-406D-A4C2-A4FF0C772B4A}">
  <sheetPr>
    <tabColor theme="3"/>
  </sheetPr>
  <dimension ref="A1:AE8"/>
  <sheetViews>
    <sheetView workbookViewId="0">
      <selection activeCell="B32" sqref="B32"/>
    </sheetView>
  </sheetViews>
  <sheetFormatPr defaultRowHeight="14.5" x14ac:dyDescent="0.35"/>
  <cols>
    <col min="1" max="1" width="25.1796875" customWidth="1"/>
  </cols>
  <sheetData>
    <row r="1" spans="1:31" x14ac:dyDescent="0.35">
      <c r="A1" s="2" t="s">
        <v>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35">
      <c r="A2" t="s">
        <v>1</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x14ac:dyDescent="0.35">
      <c r="A3" t="s">
        <v>2</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x14ac:dyDescent="0.35">
      <c r="A4" t="s">
        <v>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x14ac:dyDescent="0.35">
      <c r="A5" t="s">
        <v>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x14ac:dyDescent="0.35">
      <c r="A6" t="s">
        <v>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x14ac:dyDescent="0.35">
      <c r="A7" t="s">
        <v>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x14ac:dyDescent="0.35">
      <c r="A8" t="s">
        <v>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835A4-EB4E-4E1F-85F1-DB244E55CC6B}">
  <sheetPr>
    <tabColor theme="3"/>
  </sheetPr>
  <dimension ref="A1:AE8"/>
  <sheetViews>
    <sheetView workbookViewId="0">
      <selection activeCell="B32" sqref="B32"/>
    </sheetView>
  </sheetViews>
  <sheetFormatPr defaultRowHeight="14.5" x14ac:dyDescent="0.35"/>
  <cols>
    <col min="1" max="1" width="25.1796875" customWidth="1"/>
  </cols>
  <sheetData>
    <row r="1" spans="1:31" x14ac:dyDescent="0.35">
      <c r="A1" s="2" t="s">
        <v>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35">
      <c r="A2" t="s">
        <v>1</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x14ac:dyDescent="0.35">
      <c r="A3" t="s">
        <v>2</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x14ac:dyDescent="0.35">
      <c r="A4" t="s">
        <v>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x14ac:dyDescent="0.35">
      <c r="A5" t="s">
        <v>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x14ac:dyDescent="0.35">
      <c r="A6" t="s">
        <v>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x14ac:dyDescent="0.35">
      <c r="A7" t="s">
        <v>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x14ac:dyDescent="0.35">
      <c r="A8" t="s">
        <v>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F53C0-8CAC-4671-B512-864662BE4DD4}">
  <sheetPr>
    <tabColor theme="3"/>
  </sheetPr>
  <dimension ref="A1:AE8"/>
  <sheetViews>
    <sheetView workbookViewId="0">
      <selection activeCell="H32" sqref="H32"/>
    </sheetView>
  </sheetViews>
  <sheetFormatPr defaultRowHeight="14.5" x14ac:dyDescent="0.35"/>
  <cols>
    <col min="1" max="1" width="25.1796875" customWidth="1"/>
  </cols>
  <sheetData>
    <row r="1" spans="1:31" x14ac:dyDescent="0.35">
      <c r="A1" s="2" t="s">
        <v>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35">
      <c r="A2" t="s">
        <v>1</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x14ac:dyDescent="0.35">
      <c r="A3" t="s">
        <v>2</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x14ac:dyDescent="0.35">
      <c r="A4" t="s">
        <v>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x14ac:dyDescent="0.35">
      <c r="A5" t="s">
        <v>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x14ac:dyDescent="0.35">
      <c r="A6" t="s">
        <v>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x14ac:dyDescent="0.35">
      <c r="A7" t="s">
        <v>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x14ac:dyDescent="0.35">
      <c r="A8" t="s">
        <v>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About</vt:lpstr>
      <vt:lpstr>Passenger Vehicle Calculations</vt:lpstr>
      <vt:lpstr>Commercial Vehicles</vt:lpstr>
      <vt:lpstr>psgr</vt:lpstr>
      <vt:lpstr>BVS-psgr-LDVs</vt:lpstr>
      <vt:lpstr>BVS-psgr-HDVs</vt:lpstr>
      <vt:lpstr>BVS-psgr-aircraft</vt:lpstr>
      <vt:lpstr>BVP-psgr-rail</vt:lpstr>
      <vt:lpstr>BVS-psgr-ships</vt:lpstr>
      <vt:lpstr>BVS-psgr-motorbikes</vt:lpstr>
      <vt:lpstr>frgt</vt:lpstr>
      <vt:lpstr>BVS-frgt-LDVs</vt:lpstr>
      <vt:lpstr>BVS-frgt-HDVs</vt:lpstr>
      <vt:lpstr>BVS-frgt-aircraft</vt:lpstr>
      <vt:lpstr>BVS-frgt-rail</vt:lpstr>
      <vt:lpstr>BVS-frgt-ships</vt:lpstr>
      <vt:lpstr>BVS-frgt-motorbikes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2017-06-23T20:50:52Z</dcterms:created>
  <dcterms:modified xsi:type="dcterms:W3CDTF">2025-01-31T15:57:28Z</dcterms:modified>
</cp:coreProperties>
</file>