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3.xml" ContentType="application/vnd.openxmlformats-officedocument.spreadsheetml.comments+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anOBrien\Models\EPS\US\eps-us\InputData\indst\IEMUEF\"/>
    </mc:Choice>
  </mc:AlternateContent>
  <xr:revisionPtr revIDLastSave="0" documentId="13_ncr:1_{D5F0E7B8-F6D0-439F-932C-D14D66E27D51}" xr6:coauthVersionLast="47" xr6:coauthVersionMax="47" xr10:uidLastSave="{00000000-0000-0000-0000-000000000000}"/>
  <bookViews>
    <workbookView xWindow="-120" yWindow="-120" windowWidth="29040" windowHeight="17520" tabRatio="684" firstSheet="8" activeTab="14" xr2:uid="{910269CE-FD31-46D7-B2D8-8AF36ED85333}"/>
  </bookViews>
  <sheets>
    <sheet name="About" sheetId="1" r:id="rId1"/>
    <sheet name="BAU Efficiency Improvements" sheetId="8" r:id="rId2"/>
    <sheet name="Machine Drive" sheetId="10" r:id="rId3"/>
    <sheet name="Heat pumps" sheetId="5" r:id="rId4"/>
    <sheet name="1.2 heat_cool hp 80 C 75 K " sheetId="21" r:id="rId5"/>
    <sheet name="2.b High temp. hp Up to 150" sheetId="22" r:id="rId6"/>
    <sheet name="Cooling" sheetId="11" r:id="rId7"/>
    <sheet name="High Temp" sheetId="12" r:id="rId8"/>
    <sheet name="Electrochemical" sheetId="14" r:id="rId9"/>
    <sheet name="Lighting" sheetId="18" r:id="rId10"/>
    <sheet name="Other" sheetId="15" r:id="rId11"/>
    <sheet name="References" sheetId="16" r:id="rId12"/>
    <sheet name="Combustion Efficiency" sheetId="19" r:id="rId13"/>
    <sheet name="Mickey data" sheetId="20" r:id="rId14"/>
    <sheet name="IEMUEF" sheetId="2" r:id="rId15"/>
    <sheet name="Electric Process Heat" sheetId="24" r:id="rId16"/>
    <sheet name="indst heat consumption" sheetId="25" r:id="rId17"/>
  </sheets>
  <externalReferences>
    <externalReference r:id="rId18"/>
    <externalReference r:id="rId19"/>
    <externalReference r:id="rId20"/>
    <externalReference r:id="rId21"/>
    <externalReference r:id="rId22"/>
    <externalReference r:id="rId23"/>
  </externalReferences>
  <definedNames>
    <definedName name="a">#REF!</definedName>
    <definedName name="AsphaltStore">[1]Control!$D$50</definedName>
    <definedName name="base.year">#REF!</definedName>
    <definedName name="BaseYear">2018</definedName>
    <definedName name="BTV11_15">#REF!</definedName>
    <definedName name="BVT17_15">#REF!</definedName>
    <definedName name="CAAGR_tolerance">200</definedName>
    <definedName name="CH4_to_CO2e">'[2]Cross-Page Data'!$C$12</definedName>
    <definedName name="CH4GWP">#REF!</definedName>
    <definedName name="CO2_T4_APS">#REF!</definedName>
    <definedName name="CO2_T4_NZE">#REF!</definedName>
    <definedName name="CO2_T4_STEPS">#REF!</definedName>
    <definedName name="CO2_T5_APS">#REF!</definedName>
    <definedName name="CO2_T5_CPS">#REF!</definedName>
    <definedName name="CO2_T5_NZE">#REF!</definedName>
    <definedName name="CO2_T5_STEPS">#REF!</definedName>
    <definedName name="coal.past">#REF!</definedName>
    <definedName name="COAL_PRODUCTION">#REF!</definedName>
    <definedName name="Coal_trade">#REF!</definedName>
    <definedName name="coaldemand">#REF!</definedName>
    <definedName name="CokeCoalStore">[1]Control!$D$63</definedName>
    <definedName name="Constants.Density.Diesel">#REF!</definedName>
    <definedName name="Constants.Density.Ethanol">#REF!</definedName>
    <definedName name="Constants.Density.JetFuel">#REF!</definedName>
    <definedName name="Constants.Density.MotorSpirit">#REF!</definedName>
    <definedName name="ConsumeBlock1">'[1]Default State Energy Data Table'!$A$6:$AM$67</definedName>
    <definedName name="Conversion.to.average.power">#REF!</definedName>
    <definedName name="Conversion.water.L">#REF!</definedName>
    <definedName name="Conversion.water.units">#REF!</definedName>
    <definedName name="Conversions.Area.m2">#REF!</definedName>
    <definedName name="Conversions.Area.Units">#REF!</definedName>
    <definedName name="Conversions.Energy.Joules">#REF!</definedName>
    <definedName name="Conversions.Energy.Units">#REF!</definedName>
    <definedName name="Conversions.Money.GBP">#REF!</definedName>
    <definedName name="Conversions.Money.Units">#REF!</definedName>
    <definedName name="Conversions.Power.Units">#REF!</definedName>
    <definedName name="Conversions.Power.Watts">#REF!</definedName>
    <definedName name="Cost.Capital.Scenario">#REF!</definedName>
    <definedName name="Cost.Finance.Scenario">#REF!</definedName>
    <definedName name="Cost.Fuel.Scenario">#REF!</definedName>
    <definedName name="Cost.Infrastructure.Scenario">#REF!</definedName>
    <definedName name="cpi_2010to2012">#REF!</definedName>
    <definedName name="cpi_2013to2012">#REF!</definedName>
    <definedName name="cpi_2014to2012">#REF!</definedName>
    <definedName name="cpi_2016to2012">#REF!</definedName>
    <definedName name="CreateRegions">#REF!</definedName>
    <definedName name="csp.capacity">#REF!</definedName>
    <definedName name="CSVfilepath">#REF!</definedName>
    <definedName name="D">#REF!</definedName>
    <definedName name="dd">#REF!</definedName>
    <definedName name="ddd">#REF!</definedName>
    <definedName name="ddddd">#REF!</definedName>
    <definedName name="dddddd">#REF!</definedName>
    <definedName name="deflator_year">"$2018"</definedName>
    <definedName name="DeflatorYear">"$2018"</definedName>
    <definedName name="discount_factors">#REF!</definedName>
    <definedName name="DistillStore">[1]Control!$D$51</definedName>
    <definedName name="DW_EDO_022WV">#REF!</definedName>
    <definedName name="DW_EDO_023WV">#REF!</definedName>
    <definedName name="DW_EDO_024WV">#REF!</definedName>
    <definedName name="DW_EDO_C2022">#REF!</definedName>
    <definedName name="DW_EDO_C2023">#REF!</definedName>
    <definedName name="DW_EDO_C2024">#REF!</definedName>
    <definedName name="DW_EDO_C2025">#REF!</definedName>
    <definedName name="DW_ESIO_023WV">#REF!</definedName>
    <definedName name="DW_ESIO_C2022">#REF!</definedName>
    <definedName name="DW_ESIO_C2023">#REF!</definedName>
    <definedName name="DW_ESIO_C2024">#REF!</definedName>
    <definedName name="DW_ESIO_C2025">#REF!</definedName>
    <definedName name="DW_TRADE_C2024">#REF!</definedName>
    <definedName name="DW_TRADE_C2025">#REF!</definedName>
    <definedName name="DWdata">#REF!</definedName>
    <definedName name="ee">#REF!</definedName>
    <definedName name="EF.BlastFurnaceGas.CO2">#REF!</definedName>
    <definedName name="EF.Diesel.CH4">#REF!</definedName>
    <definedName name="EF.Diesel.CO2">#REF!</definedName>
    <definedName name="EF.Diesel.N2O">#REF!</definedName>
    <definedName name="EF.IndustrialCoal.CH4">#REF!</definedName>
    <definedName name="EF.IndustrialCoal.CO2">#REF!</definedName>
    <definedName name="EF.IndustrialCoal.N2O">#REF!</definedName>
    <definedName name="EF.NaturalGas.CH4">#REF!</definedName>
    <definedName name="EF.NaturalGas.CO2">#REF!</definedName>
    <definedName name="EF.NaturalGas.N2O">#REF!</definedName>
    <definedName name="ELEC_T3_APS">#REF!</definedName>
    <definedName name="ELEC_T3_NZE">#REF!</definedName>
    <definedName name="ELEC_T3_STEPS">#REF!</definedName>
    <definedName name="ELEC_T4_APS">#REF!</definedName>
    <definedName name="ELEC_T4_CPS">#REF!</definedName>
    <definedName name="ELEC_T4_NZE">#REF!</definedName>
    <definedName name="ELEC_T4_STEPS">#REF!</definedName>
    <definedName name="esio_other">#REF!</definedName>
    <definedName name="esio_steps">#REF!</definedName>
    <definedName name="EUR16tilEUR15">#REF!</definedName>
    <definedName name="eurdkk">#REF!</definedName>
    <definedName name="ff">#REF!</definedName>
    <definedName name="fff">#REF!</definedName>
    <definedName name="ffff">#REF!</definedName>
    <definedName name="fffffff">#REF!</definedName>
    <definedName name="fffffffffff">#REF!</definedName>
    <definedName name="Floating">#REF!</definedName>
    <definedName name="FloatingPV">#REF!</definedName>
    <definedName name="GAS_PRODUCTION">#REF!</definedName>
    <definedName name="gasdemand">#REF!</definedName>
    <definedName name="GBP">#REF!</definedName>
    <definedName name="gigwatts_to_megawatts">[3]About!$A$31</definedName>
    <definedName name="growth.scenario">#REF!</definedName>
    <definedName name="GWP.CH4">#REF!</definedName>
    <definedName name="GWP.N2O">#REF!</definedName>
    <definedName name="GWPCH4">#REF!</definedName>
    <definedName name="GWPN2O">#REF!</definedName>
    <definedName name="h">#REF!</definedName>
    <definedName name="heat">'1.2 heat_cool hp 80 C 75 K '!$C$1</definedName>
    <definedName name="heat1">'2.b High temp. hp Up to 150'!$C$1</definedName>
    <definedName name="hh">#REF!</definedName>
    <definedName name="hhhhh">#REF!</definedName>
    <definedName name="hhhhhhhhhhhh">#REF!</definedName>
    <definedName name="I.01">#REF!</definedName>
    <definedName name="I.a.scenario">#REF!</definedName>
    <definedName name="I.b.scenario">#REF!</definedName>
    <definedName name="I.b.scenario.efficiency">#REF!</definedName>
    <definedName name="I.c.scenario">#REF!</definedName>
    <definedName name="I.c.scenario.fuelmix">#REF!</definedName>
    <definedName name="ii">#REF!</definedName>
    <definedName name="II.scenario">#REF!</definedName>
    <definedName name="III.scenario">#REF!</definedName>
    <definedName name="INDIC_T5_APS">#REF!</definedName>
    <definedName name="INDIC_T5_NZE">#REF!</definedName>
    <definedName name="INDIC_T5_STEPS">#REF!</definedName>
    <definedName name="INDIC_T6_APS">#REF!</definedName>
    <definedName name="INDIC_T6_CPS">#REF!</definedName>
    <definedName name="INDIC_T6_NZE">#REF!</definedName>
    <definedName name="INDIC_T6_STEPS">#REF!</definedName>
    <definedName name="input.choice">#REF!</definedName>
    <definedName name="INR">#REF!</definedName>
    <definedName name="INRb">#REF!</definedName>
    <definedName name="INRCr">#REF!</definedName>
    <definedName name="INRLac">#REF!</definedName>
    <definedName name="INRt">#REF!</definedName>
    <definedName name="IQ_CH">110000</definedName>
    <definedName name="IQ_CQ">5000</definedName>
    <definedName name="IQ_CY">10000</definedName>
    <definedName name="IQ_DAILY">500000</definedName>
    <definedName name="IQ_FH">100000</definedName>
    <definedName name="IQ_FQ">500</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Y">1000</definedName>
    <definedName name="IQ_LATESTK">1000</definedName>
    <definedName name="IQ_LATESTQ">500</definedName>
    <definedName name="IQ_LTM">2000</definedName>
    <definedName name="IQ_LTMMONTH">120000</definedName>
    <definedName name="IQ_MONTH">15000</definedName>
    <definedName name="IQ_NTM">6000</definedName>
    <definedName name="IQ_TODAY">0</definedName>
    <definedName name="IQ_WEEK">50000</definedName>
    <definedName name="IQ_YTD">3000</definedName>
    <definedName name="IQ_YTDMONTH">130000</definedName>
    <definedName name="IV.a.scenario">#REF!</definedName>
    <definedName name="IV.b.scenario">#REF!</definedName>
    <definedName name="IV.c.1.scenario">#REF!</definedName>
    <definedName name="iv.c.2.scenario">#REF!</definedName>
    <definedName name="IV.d.scenario">#REF!</definedName>
    <definedName name="IV.e.scenario">#REF!</definedName>
    <definedName name="IV.f.scenario">#REF!</definedName>
    <definedName name="IX.a.scenario">#REF!</definedName>
    <definedName name="jjjjjj">#REF!</definedName>
    <definedName name="LastHistYear">2020</definedName>
    <definedName name="Learning_Rates">#REF!</definedName>
    <definedName name="LPGStore">[1]Control!$D$52</definedName>
    <definedName name="LubeStore">[1]Control!$D$53</definedName>
    <definedName name="MGBP">#REF!</definedName>
    <definedName name="Minesize.xv.b">#REF!</definedName>
    <definedName name="MiscStore">[1]Control!$D$57</definedName>
    <definedName name="MtoeToBcmeq">41.868/36.1</definedName>
    <definedName name="MtoeToTWh">1/0.086</definedName>
    <definedName name="N2O_to_CO2e">'[2]Cross-Page Data'!$C$13</definedName>
    <definedName name="N2OGWP">#REF!</definedName>
    <definedName name="name_dd">#REF!</definedName>
    <definedName name="NaphStore">[1]Control!$D$55</definedName>
    <definedName name="Natural_gas_trade">#REF!</definedName>
    <definedName name="NGStore">[1]Control!$D$64</definedName>
    <definedName name="NonEPercent">'[1]Non-Energy Consump.'!$A$63:$AK$88</definedName>
    <definedName name="nuclear.past">#REF!</definedName>
    <definedName name="Oil_trade">#REF!</definedName>
    <definedName name="oildemand">#REF!</definedName>
    <definedName name="ooooooo">#REF!</definedName>
    <definedName name="oooooooooo">#REF!</definedName>
    <definedName name="OtherOilStore">[1]Control!$D$56</definedName>
    <definedName name="outputFilePath">#REF!</definedName>
    <definedName name="PentanesStore">[1]Control!$D$58</definedName>
    <definedName name="PetCokeStore">[1]Control!$D$59</definedName>
    <definedName name="plantsize.I.b">#REF!</definedName>
    <definedName name="Plantsize.II">#REF!</definedName>
    <definedName name="Plantsize.III">#REF!</definedName>
    <definedName name="plantsize.iv.a">#REF!</definedName>
    <definedName name="plantsize.iv.b">#REF!</definedName>
    <definedName name="Plantsize.iv.c.1">#REF!</definedName>
    <definedName name="plantsize.iv.c.2">#REF!</definedName>
    <definedName name="plantsize.iv.d">#REF!</definedName>
    <definedName name="Poloris">#REF!</definedName>
    <definedName name="ppppp">#REF!</definedName>
    <definedName name="pppppppppp">#REF!</definedName>
    <definedName name="pppppppppppp">#REF!</definedName>
    <definedName name="predefined.scenario">#REF!</definedName>
    <definedName name="Preferences.AreaUnits">#REF!</definedName>
    <definedName name="preferences.energyunits">#REF!</definedName>
    <definedName name="Preferences.moneyunits">#REF!</definedName>
    <definedName name="Preferences.PowerUnits">#REF!</definedName>
    <definedName name="Preferences.Unit.Energy">#REF!</definedName>
    <definedName name="Preferences.Unit.Power">#REF!</definedName>
    <definedName name="Preferences.waterunit">#REF!</definedName>
    <definedName name="Print_Area_MI">#REF!</definedName>
    <definedName name="PublicationCSV">OFFSET(#REF!,0,0,COUNTA(#REF!),2)</definedName>
    <definedName name="qq">#REF!</definedName>
    <definedName name="Reliability.scenario">#REF!</definedName>
    <definedName name="ResidStore">[1]Control!$D$54</definedName>
    <definedName name="RoundFactorLong">4</definedName>
    <definedName name="RoundFactorMed">3</definedName>
    <definedName name="RoundFactorShort">3</definedName>
    <definedName name="rr">#REF!</definedName>
    <definedName name="ScenariosCSV">OFFSET(#REF!,0,0,COUNTA(#REF!),3)</definedName>
    <definedName name="SCN_1">#REF!</definedName>
    <definedName name="SCN_1LABEL">#REF!</definedName>
    <definedName name="SCN_1LABELFLAT">#REF!</definedName>
    <definedName name="SCN_1SHORT">#REF!</definedName>
    <definedName name="SCN_2">#REF!</definedName>
    <definedName name="SCN_2LABEL">#REF!</definedName>
    <definedName name="SCN_2LABELFLAT">#REF!</definedName>
    <definedName name="SCN_2SHORT">#REF!</definedName>
    <definedName name="SCN_3">#REF!</definedName>
    <definedName name="SCN_3LABEL">#REF!</definedName>
    <definedName name="SCN_3LABELFLAT">#REF!</definedName>
    <definedName name="SCN_HIST">#REF!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27">#REF!</definedName>
    <definedName name="sheet28">#REF!</definedName>
    <definedName name="sheet29">#REF!</definedName>
    <definedName name="sheet3" localSheetId="4">'1.2 heat_cool hp 80 C 75 K '!$C$3</definedName>
    <definedName name="sheet3">#REF!</definedName>
    <definedName name="sheet30">#REF!</definedName>
    <definedName name="sheet31">#REF!</definedName>
    <definedName name="sheet32">#REF!</definedName>
    <definedName name="sheet33">#REF!</definedName>
    <definedName name="sheet34">#REF!</definedName>
    <definedName name="sheet35">#REF!</definedName>
    <definedName name="sheet36">#REF!</definedName>
    <definedName name="sheet37">#REF!</definedName>
    <definedName name="sheet38">#REF!</definedName>
    <definedName name="sheet4">#REF!</definedName>
    <definedName name="sheet5">#REF!</definedName>
    <definedName name="sheet6">#REF!</definedName>
    <definedName name="sheet7">#REF!</definedName>
    <definedName name="sheet8">#REF!</definedName>
    <definedName name="sheet9">#REF!</definedName>
    <definedName name="SheetsToCreate">#REF!</definedName>
    <definedName name="small_hydro.capacity">#REF!</definedName>
    <definedName name="SmallestNonZeroValue">0.00001</definedName>
    <definedName name="SpecialStore">[1]Control!$D$61</definedName>
    <definedName name="SQL_connection_name">#REF!</definedName>
    <definedName name="SQL_statement">#REF!</definedName>
    <definedName name="Start100">#REF!</definedName>
    <definedName name="Start101">#REF!</definedName>
    <definedName name="Start102">#REF!</definedName>
    <definedName name="Start103">#REF!</definedName>
    <definedName name="Start105">#REF!</definedName>
    <definedName name="Start106">#REF!</definedName>
    <definedName name="Start109">#REF!</definedName>
    <definedName name="Start110">#REF!</definedName>
    <definedName name="Start13">#REF!</definedName>
    <definedName name="Start14">#REF!</definedName>
    <definedName name="Start15">#REF!</definedName>
    <definedName name="Start16">#REF!</definedName>
    <definedName name="Start17">#REF!</definedName>
    <definedName name="Start18">#REF!</definedName>
    <definedName name="Start19">#REF!</definedName>
    <definedName name="Start20">#REF!</definedName>
    <definedName name="Start21">#REF!</definedName>
    <definedName name="Start22">#REF!</definedName>
    <definedName name="Start23">#REF!</definedName>
    <definedName name="Start24">#REF!</definedName>
    <definedName name="Start25">#REF!</definedName>
    <definedName name="Start26">#REF!</definedName>
    <definedName name="Start27">#REF!</definedName>
    <definedName name="Start28">#REF!</definedName>
    <definedName name="Start29">#REF!</definedName>
    <definedName name="Start30">#REF!</definedName>
    <definedName name="Start31">#REF!</definedName>
    <definedName name="Start32">#REF!</definedName>
    <definedName name="Start33">#REF!</definedName>
    <definedName name="Start34">#REF!</definedName>
    <definedName name="Start35">#REF!</definedName>
    <definedName name="Start36">#REF!</definedName>
    <definedName name="Start37">#REF!</definedName>
    <definedName name="Start38">#REF!</definedName>
    <definedName name="Start39">#REF!</definedName>
    <definedName name="Start40">#REF!</definedName>
    <definedName name="Start41">#REF!</definedName>
    <definedName name="Start42">#REF!</definedName>
    <definedName name="Start43">#REF!</definedName>
    <definedName name="Start44">#REF!</definedName>
    <definedName name="Start45">#REF!</definedName>
    <definedName name="Start46">#REF!</definedName>
    <definedName name="Start47">#REF!</definedName>
    <definedName name="StillStore">[1]Control!$D$60</definedName>
    <definedName name="StorageFactor">'[1]List Data'!$E$19:$F$54</definedName>
    <definedName name="SumTolerance">0.005</definedName>
    <definedName name="SyntheticNG">[1]SNG!$A$7:$AK$59</definedName>
    <definedName name="target.year">#REF!</definedName>
    <definedName name="TES_T1_APS">#REF!</definedName>
    <definedName name="TES_T1_CPS">#REF!</definedName>
    <definedName name="TES_T1_NZE">#REF!</definedName>
    <definedName name="TES_T1_STEPS">#REF!</definedName>
    <definedName name="TFC_T2_APS">#REF!</definedName>
    <definedName name="TFC_T2_CPS">#REF!</definedName>
    <definedName name="TFC_T2_NZE">#REF!</definedName>
    <definedName name="TFC_T2_STEPS">#REF!</definedName>
    <definedName name="TFC_T3_APS">#REF!</definedName>
    <definedName name="TFC_T3_CPS">#REF!</definedName>
    <definedName name="TFC_T3_NZE">#REF!</definedName>
    <definedName name="TFC_T3_STEPS">#REF!</definedName>
    <definedName name="tt">#REF!</definedName>
    <definedName name="Unit.acre">#REF!</definedName>
    <definedName name="unit.bcm">#REF!</definedName>
    <definedName name="Unit.boe">#REF!</definedName>
    <definedName name="Unit.calorie">#REF!</definedName>
    <definedName name="Unit.day">#REF!</definedName>
    <definedName name="Unit.GJ">#REF!</definedName>
    <definedName name="Unit.GW">#REF!</definedName>
    <definedName name="Unit.GWh">#REF!</definedName>
    <definedName name="Unit.ha">#REF!</definedName>
    <definedName name="Unit.hour">#REF!</definedName>
    <definedName name="Unit.J">#REF!</definedName>
    <definedName name="unit.kcng">#REF!</definedName>
    <definedName name="unit.kgb">#REF!</definedName>
    <definedName name="unit.kgce">#REF!</definedName>
    <definedName name="unit.kghe">#REF!</definedName>
    <definedName name="unit.kglpge">#REF!</definedName>
    <definedName name="Unit.km2">#REF!</definedName>
    <definedName name="Unit.kW">#REF!</definedName>
    <definedName name="Unit.kWh">#REF!</definedName>
    <definedName name="unit.L">#REF!</definedName>
    <definedName name="unit.latfe">#REF!</definedName>
    <definedName name="unit.lcng">#REF!</definedName>
    <definedName name="unit.lde">#REF!</definedName>
    <definedName name="unit.lke">#REF!</definedName>
    <definedName name="unit.lpe">#REF!</definedName>
    <definedName name="Unit.m2">#REF!</definedName>
    <definedName name="Unit.m3">#REF!</definedName>
    <definedName name="unit.MCM">#REF!</definedName>
    <definedName name="Unit.minute">#REF!</definedName>
    <definedName name="Unit.MJ">#REF!</definedName>
    <definedName name="unit.mmbtu">#REF!</definedName>
    <definedName name="unit.mmscm">#REF!</definedName>
    <definedName name="unit.mtcce">#REF!</definedName>
    <definedName name="Unit.Mtce">#REF!</definedName>
    <definedName name="unit.mtde">#REF!</definedName>
    <definedName name="unit.mticce">#REF!</definedName>
    <definedName name="unit.mtice">#REF!</definedName>
    <definedName name="unit.mtle">#REF!</definedName>
    <definedName name="Unit.Mtoe">#REF!</definedName>
    <definedName name="Unit.MW">#REF!</definedName>
    <definedName name="Unit.MWh">#REF!</definedName>
    <definedName name="Unit.PJ">#REF!</definedName>
    <definedName name="unit.scm">#REF!</definedName>
    <definedName name="unit.scmb">#REF!</definedName>
    <definedName name="unit.tce">#REF!</definedName>
    <definedName name="unit.ticce">#REF!</definedName>
    <definedName name="unit.tice">#REF!</definedName>
    <definedName name="Unit.TJ">#REF!</definedName>
    <definedName name="Unit.toe">#REF!</definedName>
    <definedName name="Unit.TWh">#REF!</definedName>
    <definedName name="Unit.W">#REF!</definedName>
    <definedName name="Unit.year">#REF!</definedName>
    <definedName name="unit_conv">[4]About!$A$123</definedName>
    <definedName name="USD_Bn">#REF!</definedName>
    <definedName name="USD_mn">#REF!</definedName>
    <definedName name="USD2012_">#REF!</definedName>
    <definedName name="uu">#REF!</definedName>
    <definedName name="uuuuuuuuuuuuu">#REF!</definedName>
    <definedName name="v.a.scenario">#REF!</definedName>
    <definedName name="V.b.scenario">#REF!</definedName>
    <definedName name="V.c.scenario">#REF!</definedName>
    <definedName name="VI.a.scenario">#REF!</definedName>
    <definedName name="VII.a.scenario">#REF!</definedName>
    <definedName name="VII.b.scenario">#REF!</definedName>
    <definedName name="WaxesStore">[1]Control!$D$62</definedName>
    <definedName name="WEO23_Scenarios">#REF!</definedName>
    <definedName name="World_investments">#REF!</definedName>
    <definedName name="ww">#REF!</definedName>
    <definedName name="X.a.economy">#REF!</definedName>
    <definedName name="X.a.epi">#REF!</definedName>
    <definedName name="X.a.floorspace">#REF!</definedName>
    <definedName name="X.b.ac">#REF!</definedName>
    <definedName name="X.b.ecbc">#REF!</definedName>
    <definedName name="x.b.floorspace">#REF!</definedName>
    <definedName name="XI.cement.fuel">#REF!</definedName>
    <definedName name="XI.fuelmix">#REF!</definedName>
    <definedName name="XI.scenario">#REF!</definedName>
    <definedName name="XI.steel.fuel">#REF!</definedName>
    <definedName name="XII.a.scenario">#REF!</definedName>
    <definedName name="XII.a.scenario.EVs">#REF!</definedName>
    <definedName name="XII.a.scenario.mode">#REF!</definedName>
    <definedName name="XII.a.scenario.pub_pri">#REF!</definedName>
    <definedName name="XII.b.mode">#REF!</definedName>
    <definedName name="XII.b.scenario">#REF!</definedName>
    <definedName name="XIII.a.chulhas">#REF!</definedName>
    <definedName name="XIII.a.scenario.fuelsplit">#REF!</definedName>
    <definedName name="XIII.b">#REF!</definedName>
    <definedName name="XIV.scenario">#REF!</definedName>
    <definedName name="XIV.scenario.fuelsplit">#REF!</definedName>
    <definedName name="xv.a.scenario">#REF!</definedName>
    <definedName name="xv.b.scenario">#REF!</definedName>
    <definedName name="XV.c.scenario">#REF!</definedName>
    <definedName name="xvi.scenario.fuelsplit">#REF!</definedName>
    <definedName name="YEAR_BASE">#REF!</definedName>
    <definedName name="YEAR_HIST1">#REF!</definedName>
    <definedName name="YEAR_HIST2">#REF!</definedName>
    <definedName name="YEAR_HIST3">#REF!</definedName>
    <definedName name="YEAR_PROJECTION1">#REF!</definedName>
    <definedName name="YEAR_PROJECTION2">#REF!</definedName>
    <definedName name="YEAR_PROJECTION3">#REF!</definedName>
    <definedName name="YEAR_PROJECTION4">#REF!</definedName>
    <definedName name="YEAR_PROJECTION5">#REF!</definedName>
    <definedName name="YearsCSV">OFFSET(#REF!,0,0,COUNTA(#REF!),1)</definedName>
    <definedName name="YearShownOnGraphsSelector" comment="Used in VBA macro to update time-series graphs">'[5]User Settings'!$B$5</definedName>
    <definedName name="YearShownOnGraphsSelector2" comment="Used in VBA macro to update time-series graphs">'[6]User Settings'!$B$5</definedName>
    <definedName name="yy">#REF!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24" l="1"/>
  <c r="D5" i="19"/>
  <c r="D4" i="19"/>
  <c r="D3" i="19"/>
  <c r="F16" i="2"/>
  <c r="E16" i="2"/>
  <c r="D16" i="2"/>
  <c r="C16" i="2"/>
  <c r="B16" i="2"/>
  <c r="C57" i="24"/>
  <c r="F2" i="2" s="1"/>
  <c r="F17" i="2" s="1"/>
  <c r="B56" i="24"/>
  <c r="C56" i="24" s="1"/>
  <c r="B137" i="19"/>
  <c r="B133" i="19"/>
  <c r="B132" i="19"/>
  <c r="B131" i="19"/>
  <c r="B41" i="24"/>
  <c r="D21" i="24"/>
  <c r="D20" i="24"/>
  <c r="M28" i="25"/>
  <c r="L28" i="25"/>
  <c r="K28" i="25"/>
  <c r="J28" i="25"/>
  <c r="I28" i="25"/>
  <c r="M27" i="25"/>
  <c r="L27" i="25"/>
  <c r="K27" i="25"/>
  <c r="J27" i="25"/>
  <c r="I27" i="25"/>
  <c r="M26" i="25"/>
  <c r="L26" i="25"/>
  <c r="K26" i="25"/>
  <c r="J26" i="25"/>
  <c r="I26" i="25"/>
  <c r="M25" i="25"/>
  <c r="L25" i="25"/>
  <c r="K25" i="25"/>
  <c r="J25" i="25"/>
  <c r="I25" i="25"/>
  <c r="M24" i="25"/>
  <c r="L24" i="25"/>
  <c r="K24" i="25"/>
  <c r="J24" i="25"/>
  <c r="I24" i="25"/>
  <c r="M23" i="25"/>
  <c r="L23" i="25"/>
  <c r="K23" i="25"/>
  <c r="J23" i="25"/>
  <c r="I23" i="25"/>
  <c r="M22" i="25"/>
  <c r="L22" i="25"/>
  <c r="K22" i="25"/>
  <c r="J22" i="25"/>
  <c r="I22" i="25"/>
  <c r="M21" i="25"/>
  <c r="L21" i="25"/>
  <c r="K21" i="25"/>
  <c r="J21" i="25"/>
  <c r="I21" i="25"/>
  <c r="M20" i="25"/>
  <c r="L20" i="25"/>
  <c r="K20" i="25"/>
  <c r="J20" i="25"/>
  <c r="I20" i="25"/>
  <c r="M19" i="25"/>
  <c r="B145" i="19" s="1"/>
  <c r="L19" i="25"/>
  <c r="K19" i="25"/>
  <c r="J19" i="25"/>
  <c r="I19" i="25"/>
  <c r="M18" i="25"/>
  <c r="L18" i="25"/>
  <c r="K18" i="25"/>
  <c r="J18" i="25"/>
  <c r="I18" i="25"/>
  <c r="M17" i="25"/>
  <c r="B146" i="19" s="1"/>
  <c r="L17" i="25"/>
  <c r="K17" i="25"/>
  <c r="J17" i="25"/>
  <c r="I17" i="25"/>
  <c r="M16" i="25"/>
  <c r="B147" i="19" s="1"/>
  <c r="B159" i="19" s="1"/>
  <c r="B160" i="19" s="1"/>
  <c r="B161" i="19" s="1"/>
  <c r="L16" i="25"/>
  <c r="K16" i="25"/>
  <c r="J16" i="25"/>
  <c r="I16" i="25"/>
  <c r="M15" i="25"/>
  <c r="B144" i="19" s="1"/>
  <c r="B148" i="19" s="1"/>
  <c r="L15" i="25"/>
  <c r="K15" i="25"/>
  <c r="J15" i="25"/>
  <c r="I15" i="25"/>
  <c r="M14" i="25"/>
  <c r="L14" i="25"/>
  <c r="K14" i="25"/>
  <c r="J14" i="25"/>
  <c r="I14" i="25"/>
  <c r="M13" i="25"/>
  <c r="L13" i="25"/>
  <c r="K13" i="25"/>
  <c r="J13" i="25"/>
  <c r="I13" i="25"/>
  <c r="M12" i="25"/>
  <c r="L12" i="25"/>
  <c r="K12" i="25"/>
  <c r="J12" i="25"/>
  <c r="I12" i="25"/>
  <c r="M11" i="25"/>
  <c r="L11" i="25"/>
  <c r="K11" i="25"/>
  <c r="J11" i="25"/>
  <c r="I11" i="25"/>
  <c r="M10" i="25"/>
  <c r="L10" i="25"/>
  <c r="K10" i="25"/>
  <c r="J10" i="25"/>
  <c r="I10" i="25"/>
  <c r="M9" i="25"/>
  <c r="L9" i="25"/>
  <c r="K9" i="25"/>
  <c r="J9" i="25"/>
  <c r="I9" i="25"/>
  <c r="M8" i="25"/>
  <c r="L8" i="25"/>
  <c r="K8" i="25"/>
  <c r="J8" i="25"/>
  <c r="I8" i="25"/>
  <c r="M7" i="25"/>
  <c r="L7" i="25"/>
  <c r="K7" i="25"/>
  <c r="J7" i="25"/>
  <c r="I7" i="25"/>
  <c r="M6" i="25"/>
  <c r="L6" i="25"/>
  <c r="B136" i="19" s="1"/>
  <c r="B139" i="19" s="1"/>
  <c r="K6" i="25"/>
  <c r="B135" i="19" s="1"/>
  <c r="B138" i="19" s="1"/>
  <c r="J6" i="25"/>
  <c r="I6" i="25"/>
  <c r="M5" i="25"/>
  <c r="L5" i="25"/>
  <c r="K5" i="25"/>
  <c r="J5" i="25"/>
  <c r="I5" i="25"/>
  <c r="M4" i="25"/>
  <c r="L4" i="25"/>
  <c r="K4" i="25"/>
  <c r="J4" i="25"/>
  <c r="I4" i="25"/>
  <c r="B49" i="24"/>
  <c r="B43" i="24"/>
  <c r="E27" i="24"/>
  <c r="C27" i="24"/>
  <c r="C21" i="24"/>
  <c r="G16" i="24"/>
  <c r="F19" i="2" l="1"/>
  <c r="F20" i="2"/>
  <c r="E2" i="2"/>
  <c r="E17" i="2" s="1"/>
  <c r="E21" i="24"/>
  <c r="C15" i="24"/>
  <c r="B55" i="24" l="1"/>
  <c r="C55" i="24" s="1"/>
  <c r="G15" i="24"/>
  <c r="E20" i="2"/>
  <c r="E19" i="2"/>
  <c r="D2" i="2"/>
  <c r="D17" i="2" s="1"/>
  <c r="B42" i="24"/>
  <c r="C20" i="24"/>
  <c r="C26" i="24"/>
  <c r="E26" i="24"/>
  <c r="B30" i="12"/>
  <c r="B29" i="12"/>
  <c r="C98" i="19"/>
  <c r="C97" i="19"/>
  <c r="B98" i="19"/>
  <c r="B97" i="19"/>
  <c r="G121" i="19"/>
  <c r="G120" i="19"/>
  <c r="D98" i="19"/>
  <c r="D97" i="19"/>
  <c r="D20" i="2" l="1"/>
  <c r="D19" i="2"/>
  <c r="G20" i="24"/>
  <c r="E20" i="24"/>
  <c r="G21" i="24"/>
  <c r="B124" i="19"/>
  <c r="B123" i="19"/>
  <c r="B122" i="19"/>
  <c r="B121" i="19"/>
  <c r="B120" i="19"/>
  <c r="D93" i="19"/>
  <c r="D92" i="19"/>
  <c r="D91" i="19"/>
  <c r="D122" i="19" s="1"/>
  <c r="D90" i="19"/>
  <c r="D121" i="19" s="1"/>
  <c r="D89" i="19"/>
  <c r="D120" i="19" s="1"/>
  <c r="C93" i="19"/>
  <c r="C124" i="19" s="1"/>
  <c r="C92" i="19"/>
  <c r="C123" i="19" s="1"/>
  <c r="C91" i="19"/>
  <c r="C90" i="19"/>
  <c r="C89" i="19"/>
  <c r="D101" i="19" l="1"/>
  <c r="C101" i="19"/>
  <c r="B101" i="19"/>
  <c r="E124" i="19"/>
  <c r="D124" i="19"/>
  <c r="G124" i="19"/>
  <c r="D100" i="19"/>
  <c r="C100" i="19"/>
  <c r="B100" i="19"/>
  <c r="E123" i="19"/>
  <c r="D123" i="19"/>
  <c r="G123" i="19"/>
  <c r="E122" i="19"/>
  <c r="C122" i="19"/>
  <c r="G122" i="19"/>
  <c r="C121" i="19"/>
  <c r="E121" i="19"/>
  <c r="C120" i="19"/>
  <c r="E120" i="19"/>
  <c r="K32" i="22"/>
  <c r="J32" i="22"/>
  <c r="I32" i="22"/>
  <c r="H32" i="22"/>
  <c r="G32" i="22"/>
  <c r="F32" i="22"/>
  <c r="E32" i="22"/>
  <c r="D32" i="22"/>
  <c r="C32" i="22"/>
  <c r="E30" i="21"/>
  <c r="D30" i="21"/>
  <c r="C30" i="21"/>
  <c r="G25" i="21"/>
  <c r="F25" i="21"/>
  <c r="E25" i="21"/>
  <c r="D25" i="21"/>
  <c r="C25" i="21"/>
  <c r="H8" i="21"/>
  <c r="E8" i="21"/>
  <c r="D8" i="21"/>
  <c r="C8" i="21"/>
  <c r="I7" i="21"/>
  <c r="I8" i="21" s="1"/>
  <c r="F7" i="21"/>
  <c r="F8" i="21" s="1"/>
  <c r="F30" i="21" l="1"/>
  <c r="G7" i="21"/>
  <c r="K7" i="21" l="1"/>
  <c r="K8" i="21" s="1"/>
  <c r="G30" i="21"/>
  <c r="G8" i="21"/>
  <c r="J7" i="21"/>
  <c r="J8" i="21" s="1"/>
  <c r="F7" i="2" l="1"/>
  <c r="E7" i="2"/>
  <c r="D7" i="2"/>
  <c r="C7" i="2"/>
  <c r="C31" i="5"/>
  <c r="C2" i="2" s="1"/>
  <c r="C17" i="2" s="1"/>
  <c r="D99" i="19"/>
  <c r="D107" i="19" s="1"/>
  <c r="C99" i="19"/>
  <c r="B99" i="19"/>
  <c r="D106" i="19"/>
  <c r="C11" i="2" s="1"/>
  <c r="D55" i="19"/>
  <c r="D109" i="19" s="1"/>
  <c r="C55" i="19"/>
  <c r="C109" i="19" s="1"/>
  <c r="B55" i="19"/>
  <c r="B109" i="19" s="1"/>
  <c r="D54" i="19"/>
  <c r="D108" i="19" s="1"/>
  <c r="C54" i="19"/>
  <c r="C108" i="19" s="1"/>
  <c r="B54" i="19"/>
  <c r="B108" i="19" s="1"/>
  <c r="D53" i="19"/>
  <c r="C53" i="19"/>
  <c r="B53" i="19"/>
  <c r="D52" i="19"/>
  <c r="C52" i="19"/>
  <c r="C106" i="19" s="1"/>
  <c r="C9" i="2" s="1"/>
  <c r="B52" i="19"/>
  <c r="B106" i="19" s="1"/>
  <c r="C3" i="2" s="1"/>
  <c r="D51" i="19"/>
  <c r="D105" i="19" s="1"/>
  <c r="C51" i="19"/>
  <c r="C105" i="19" s="1"/>
  <c r="B9" i="2" s="1"/>
  <c r="B51" i="19"/>
  <c r="C19" i="2" l="1"/>
  <c r="C20" i="2"/>
  <c r="E55" i="24"/>
  <c r="F55" i="24" s="1"/>
  <c r="B151" i="19"/>
  <c r="B152" i="19" s="1"/>
  <c r="E57" i="24"/>
  <c r="F57" i="24" s="1"/>
  <c r="E56" i="24"/>
  <c r="F56" i="24" s="1"/>
  <c r="B4" i="2"/>
  <c r="B21" i="2" s="1"/>
  <c r="B11" i="2"/>
  <c r="C107" i="19"/>
  <c r="B107" i="19"/>
  <c r="B8" i="2"/>
  <c r="B6" i="2"/>
  <c r="E4" i="2"/>
  <c r="E21" i="2" s="1"/>
  <c r="E10" i="2"/>
  <c r="E11" i="2"/>
  <c r="F10" i="2"/>
  <c r="F4" i="2"/>
  <c r="F21" i="2" s="1"/>
  <c r="F11" i="2"/>
  <c r="F5" i="2"/>
  <c r="F3" i="2"/>
  <c r="D10" i="2"/>
  <c r="D11" i="2"/>
  <c r="D4" i="2"/>
  <c r="D21" i="2" s="1"/>
  <c r="C5" i="2"/>
  <c r="C6" i="2"/>
  <c r="C8" i="2"/>
  <c r="C10" i="2"/>
  <c r="C4" i="2"/>
  <c r="C21" i="2" s="1"/>
  <c r="B10" i="2"/>
  <c r="B105" i="19"/>
  <c r="J7" i="2"/>
  <c r="B23" i="2" l="1"/>
  <c r="B24" i="2"/>
  <c r="D9" i="2"/>
  <c r="D6" i="2"/>
  <c r="D8" i="2"/>
  <c r="D3" i="2"/>
  <c r="D5" i="2"/>
  <c r="E23" i="2"/>
  <c r="E24" i="2"/>
  <c r="D23" i="2"/>
  <c r="D24" i="2"/>
  <c r="C23" i="2"/>
  <c r="C24" i="2"/>
  <c r="F24" i="2"/>
  <c r="F23" i="2"/>
  <c r="F8" i="2"/>
  <c r="F9" i="2"/>
  <c r="F6" i="2"/>
  <c r="E9" i="2"/>
  <c r="E8" i="2"/>
  <c r="E6" i="2"/>
  <c r="E3" i="2"/>
  <c r="E5" i="2"/>
  <c r="B5" i="2"/>
  <c r="B3" i="2"/>
  <c r="B19" i="18"/>
  <c r="K2" i="2"/>
  <c r="B25" i="18"/>
  <c r="B26" i="18"/>
  <c r="K11" i="2" l="1"/>
  <c r="K10" i="2"/>
  <c r="K9" i="2"/>
  <c r="K8" i="2"/>
  <c r="K7" i="2"/>
  <c r="K6" i="2"/>
  <c r="K5" i="2"/>
  <c r="K4" i="2"/>
  <c r="K3" i="2"/>
  <c r="B16" i="18"/>
  <c r="D21" i="15"/>
  <c r="B21" i="15"/>
  <c r="E21" i="15" s="1"/>
  <c r="T45" i="15" l="1"/>
  <c r="S45" i="15"/>
  <c r="T44" i="15"/>
  <c r="S44" i="15"/>
  <c r="T43" i="15"/>
  <c r="C43" i="15" s="1"/>
  <c r="S43" i="15"/>
  <c r="I43" i="15"/>
  <c r="H43" i="15"/>
  <c r="T42" i="15"/>
  <c r="S42" i="15"/>
  <c r="T41" i="15"/>
  <c r="S41" i="15"/>
  <c r="T40" i="15"/>
  <c r="S40" i="15"/>
  <c r="I40" i="15"/>
  <c r="H40" i="15"/>
  <c r="C40" i="15"/>
  <c r="G40" i="15" s="1"/>
  <c r="T39" i="15"/>
  <c r="S39" i="15"/>
  <c r="T38" i="15"/>
  <c r="S38" i="15"/>
  <c r="I38" i="15"/>
  <c r="H38" i="15"/>
  <c r="B10" i="15"/>
  <c r="B11" i="15" s="1"/>
  <c r="C11" i="15" s="1"/>
  <c r="B6" i="15"/>
  <c r="C6" i="15" s="1"/>
  <c r="C5" i="15"/>
  <c r="L3" i="2" s="1"/>
  <c r="B43" i="15" l="1"/>
  <c r="C38" i="15"/>
  <c r="B38" i="15"/>
  <c r="B40" i="15"/>
  <c r="C12" i="15"/>
  <c r="B12" i="15" s="1"/>
  <c r="G43" i="15"/>
  <c r="F43" i="15"/>
  <c r="C13" i="15"/>
  <c r="B13" i="15" s="1"/>
  <c r="F40" i="15"/>
  <c r="C10" i="15"/>
  <c r="G38" i="15" l="1"/>
  <c r="F38" i="15"/>
  <c r="B16" i="15"/>
  <c r="L11" i="2"/>
  <c r="L8" i="2"/>
  <c r="L4" i="2"/>
  <c r="L10" i="2"/>
  <c r="L9" i="2"/>
  <c r="L7" i="2"/>
  <c r="L6" i="2"/>
  <c r="L5" i="2"/>
  <c r="B12" i="14"/>
  <c r="J4" i="11"/>
  <c r="B37" i="11"/>
  <c r="G20" i="12" l="1"/>
  <c r="J3" i="2"/>
  <c r="C27" i="5"/>
  <c r="B2" i="2" s="1"/>
  <c r="G15" i="12"/>
  <c r="B13" i="14"/>
  <c r="I2" i="2" s="1"/>
  <c r="I3" i="2" s="1"/>
  <c r="I4" i="2" s="1"/>
  <c r="I5" i="2" s="1"/>
  <c r="I6" i="2" s="1"/>
  <c r="I7" i="2" s="1"/>
  <c r="I8" i="2" s="1"/>
  <c r="I9" i="2" s="1"/>
  <c r="I10" i="2" s="1"/>
  <c r="I11" i="2" s="1"/>
  <c r="J2" i="2" l="1"/>
  <c r="B17" i="2"/>
  <c r="J9" i="2"/>
  <c r="J6" i="2"/>
  <c r="J5" i="2"/>
  <c r="J4" i="2"/>
  <c r="J10" i="2"/>
  <c r="J11" i="2"/>
  <c r="J8" i="2"/>
  <c r="G22" i="12"/>
  <c r="E8" i="12"/>
  <c r="G4" i="12" s="1"/>
  <c r="E4" i="12"/>
  <c r="B28" i="12" s="1"/>
  <c r="B19" i="2" l="1"/>
  <c r="B20" i="2"/>
  <c r="B34" i="12"/>
  <c r="A34" i="12"/>
  <c r="B38" i="12"/>
  <c r="L24" i="11"/>
  <c r="G11" i="2"/>
  <c r="G10" i="2"/>
  <c r="G9" i="2"/>
  <c r="G8" i="2"/>
  <c r="G7" i="2"/>
  <c r="L32" i="11"/>
  <c r="L31" i="11"/>
  <c r="M24" i="11" s="1"/>
  <c r="N24" i="11" s="1"/>
  <c r="G2" i="2" s="1"/>
  <c r="L30" i="11"/>
  <c r="L29" i="11"/>
  <c r="L27" i="11"/>
  <c r="L26" i="11"/>
  <c r="L25" i="11"/>
  <c r="K4" i="11"/>
  <c r="J30" i="10"/>
  <c r="J31" i="10" s="1"/>
  <c r="O7" i="10"/>
  <c r="O8" i="10"/>
  <c r="O9" i="10"/>
  <c r="O10" i="10"/>
  <c r="O11" i="10"/>
  <c r="O6" i="10"/>
  <c r="M12" i="10"/>
  <c r="O12" i="10" s="1"/>
  <c r="G6" i="2" l="1"/>
  <c r="G5" i="2"/>
  <c r="G4" i="2"/>
  <c r="G3" i="2"/>
  <c r="M13" i="10"/>
  <c r="O13" i="10" s="1"/>
  <c r="M14" i="10" l="1"/>
  <c r="O14" i="10" s="1"/>
  <c r="M15" i="10" l="1"/>
  <c r="O15" i="10" s="1"/>
  <c r="K30" i="10" s="1"/>
  <c r="K31" i="10" s="1"/>
  <c r="H2" i="2" s="1"/>
  <c r="C25" i="5" l="1"/>
  <c r="J28" i="8"/>
  <c r="I28" i="8" a="1"/>
  <c r="J27" i="8"/>
  <c r="I27" i="8" a="1"/>
  <c r="J26" i="8"/>
  <c r="I26" i="8" a="1"/>
  <c r="K26" i="8" s="1"/>
  <c r="M26" i="8" s="1"/>
  <c r="J25" i="8"/>
  <c r="I25" i="8" a="1"/>
  <c r="J24" i="8"/>
  <c r="J36" i="10" s="1"/>
  <c r="I24" i="8" a="1"/>
  <c r="K24" i="8" s="1"/>
  <c r="M24" i="8" s="1"/>
  <c r="J23" i="8"/>
  <c r="I23" i="8" a="1"/>
  <c r="J22" i="8"/>
  <c r="I22" i="8" a="1"/>
  <c r="J21" i="8"/>
  <c r="I21" i="8" a="1"/>
  <c r="J20" i="8"/>
  <c r="I20" i="8" a="1"/>
  <c r="K27" i="8" l="1"/>
  <c r="M27" i="8" s="1"/>
  <c r="H10" i="2"/>
  <c r="H6" i="2"/>
  <c r="H9" i="2"/>
  <c r="H7" i="2"/>
  <c r="H11" i="2"/>
  <c r="H3" i="2"/>
  <c r="H8" i="2"/>
  <c r="H5" i="2"/>
  <c r="H4" i="2"/>
  <c r="K20" i="8"/>
  <c r="M20" i="8" s="1"/>
  <c r="K21" i="8"/>
  <c r="M21" i="8" s="1"/>
  <c r="K25" i="8"/>
  <c r="M25" i="8" s="1"/>
  <c r="E23" i="15" s="1"/>
  <c r="L2" i="2" s="1"/>
  <c r="K23" i="8"/>
  <c r="M23" i="8" s="1"/>
  <c r="K22" i="8"/>
  <c r="M22" i="8" s="1"/>
  <c r="K28" i="8"/>
  <c r="M28"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H25" authorId="0" shapeId="0" xr:uid="{71EB8C73-92CF-4B24-A23D-7F900EE70224}">
      <text>
        <r>
          <rPr>
            <b/>
            <sz val="9"/>
            <color indexed="81"/>
            <rFont val="Tahoma"/>
            <family val="2"/>
          </rPr>
          <t>Dan O'Brien:</t>
        </r>
        <r>
          <rPr>
            <sz val="9"/>
            <color indexed="81"/>
            <rFont val="Tahoma"/>
            <family val="2"/>
          </rPr>
          <t xml:space="preserve">
Assumption: direct electric resistance/induction/infrared heating is near-lossless at point of use (best case). Applied to the 200-500 and 500-1000 °C bands.</t>
        </r>
      </text>
    </comment>
    <comment ref="C30" authorId="0" shapeId="0" xr:uid="{E1216188-528D-40BB-8150-C9FB17EB0531}">
      <text>
        <r>
          <rPr>
            <b/>
            <sz val="9"/>
            <color indexed="81"/>
            <rFont val="Tahoma"/>
            <family val="2"/>
          </rPr>
          <t>Best-possible 100-200 °C COP = 3.0. Source: Danish Energy Agency, Technology Data for Industrial Process Heat, datasheet "High-temperature heat pumps up to 150 °C" (sheet '2.b High temp. hp Up to 150'), 2050 central estimate, nominal-load net efficiency at 65 K temperature lift. https://ens.dk/en/analyses-and-statistics/technology-data-industrial-process-heat . Chosen as the mature-technology central projection at representative lift (Agora-consistent; start-year file uses 2.23 typical). Upper-bound (4.5) not used — optimistic edge of uncertainty band, not a defensible fleet best-case.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G4" authorId="0" shapeId="0" xr:uid="{298CDF1A-C4B6-4A03-BE8E-BE5DB0EDFA50}">
      <text>
        <r>
          <rPr>
            <b/>
            <sz val="9"/>
            <color indexed="81"/>
            <rFont val="Tahoma"/>
            <family val="2"/>
          </rPr>
          <t>Efficiency = theoretical minimum energy (useful) ÷ actual standard EAF intensity. = 361 kWh/ton (USEA no-preheat theoretical min, B8) ÷ 421.7 kWh/ton (avg standard EAF intensity, E4=AVERAGE(B4:B6)). Scrap preheat is NOT standard practice (limited adoption; "increasingly adopted" but not universal per 911Metallurgist / SME Group / boshiya), so the theoretical minimum used is the no-preheat value (361), not the preheat-optimized 300. G7 = 1/G4 is the inverse-efficiency energy factor feeding IEMUEF F2, consistent with the condensing-boiler 1/eff convention. Removing preheat RAISES the floor from 300→361, which correctly RAISES efficiency toward the standard-practice reference and keeps the factor physically sensible.</t>
        </r>
      </text>
    </comment>
    <comment ref="A34" authorId="0" shapeId="0" xr:uid="{6909D01A-AE63-4C2E-887A-ADC5CDB69A1B}">
      <text>
        <r>
          <rPr>
            <b/>
            <sz val="9"/>
            <color indexed="81"/>
            <rFont val="Tahoma"/>
            <family val="2"/>
          </rPr>
          <t>Dan O'Brien:</t>
        </r>
        <r>
          <rPr>
            <sz val="9"/>
            <color indexed="81"/>
            <rFont val="Tahoma"/>
            <family val="2"/>
          </rPr>
          <t xml:space="preserve">
This is the live factor (≡ G7, feeds IEMUEF F2). Actual standard intensity ÷ no-preheat theoretical minimum = 1/efficiency.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D3" authorId="0" shapeId="0" xr:uid="{FBF7C483-0FF5-4170-8240-CC53434A9687}">
      <text>
        <r>
          <rPr>
            <b/>
            <sz val="9"/>
            <color indexed="81"/>
            <rFont val="Tahoma"/>
            <family val="2"/>
          </rPr>
          <t>Dan O'Brien:</t>
        </r>
        <r>
          <rPr>
            <sz val="9"/>
            <color indexed="81"/>
            <rFont val="Tahoma"/>
            <family val="2"/>
          </rPr>
          <t xml:space="preserve">
REVISED (HHV-consistent fuel adjustment): = (LHV/HHV coal ÷ LHV/HHV NG) × (1 − furnace-duty deduction). Replaces the ratio of Chinese-standard boiler efficiencies (0.80/0.92 = 0.870), which was LHV-basis and had the WRONG SIGN on an HHV basis: coal loses LESS latent heat up the stack than NG, so its available heat per HHV unit is HIGHER, not 13% lower. Same finding as the start-year file's B139 residual flag — the mirror fix is still PENDING in the start-year file.</t>
        </r>
      </text>
    </comment>
    <comment ref="E3" authorId="0" shapeId="0" xr:uid="{1F04189C-9C3C-438E-8D31-24544F2892F2}">
      <text>
        <r>
          <rPr>
            <b/>
            <sz val="9"/>
            <color indexed="81"/>
            <rFont val="Tahoma"/>
            <family val="2"/>
          </rPr>
          <t>Dan O'Brien:</t>
        </r>
        <r>
          <rPr>
            <sz val="9"/>
            <color indexed="81"/>
            <rFont val="Tahoma"/>
            <family val="2"/>
          </rPr>
          <t xml:space="preserve">
LHV/HHV for solid fuels (coal): ~0.95. Rule of thumb per CDP technical guidance (LHV/HHV = 0.95 for solid and liquid hydrocarbon fuels, 0.90 for gaseous). Used to convert the DOE natural-gas available-heat curve to other fuels on a consistent HHV basis: fuels with less hydrogen lose less unrecoverable latent heat up the stack.</t>
        </r>
      </text>
    </comment>
    <comment ref="F3" authorId="0" shapeId="0" xr:uid="{3706459E-D31C-4610-932E-A8F04FFA1D24}">
      <text>
        <r>
          <rPr>
            <b/>
            <sz val="9"/>
            <color indexed="81"/>
            <rFont val="Tahoma"/>
            <family val="2"/>
          </rPr>
          <t>Dan O'Brien:</t>
        </r>
        <r>
          <rPr>
            <sz val="9"/>
            <color indexed="81"/>
            <rFont val="Tahoma"/>
            <family val="2"/>
          </rPr>
          <t xml:space="preserve">
JUDGMENT: practical deduction for coal furnace duty vs the gas curve — unburned carbon in ash (typically 2-4% of input for solid fuels) and higher excess-air requirements. Range 2-5%.</t>
        </r>
      </text>
    </comment>
    <comment ref="D4" authorId="0" shapeId="0" xr:uid="{2922DAE4-461C-4964-9E44-5C38378259D6}">
      <text>
        <r>
          <rPr>
            <b/>
            <sz val="9"/>
            <color indexed="81"/>
            <rFont val="Tahoma"/>
            <family val="2"/>
          </rPr>
          <t>Dan O'Brien:</t>
        </r>
        <r>
          <rPr>
            <sz val="9"/>
            <color indexed="81"/>
            <rFont val="Tahoma"/>
            <family val="2"/>
          </rPr>
          <t xml:space="preserve">
REVISED: = (LHV/HHV petro ÷ LHV/HHV NG) × (1 − deduction). Replaces 0.88/0.92 = 0.957 (LHV-basis boiler ratio).</t>
        </r>
      </text>
    </comment>
    <comment ref="E4" authorId="0" shapeId="0" xr:uid="{F1F94527-8157-43CC-A3DC-969D797EA973}">
      <text>
        <r>
          <rPr>
            <b/>
            <sz val="9"/>
            <color indexed="81"/>
            <rFont val="Tahoma"/>
            <family val="2"/>
          </rPr>
          <t>Dan O'Brien:</t>
        </r>
        <r>
          <rPr>
            <sz val="9"/>
            <color indexed="81"/>
            <rFont val="Tahoma"/>
            <family val="2"/>
          </rPr>
          <t xml:space="preserve">
LHV/HHV for liquid petroleum fuels: ~0.95 (CDP guidance rule of thumb; residual oil ~0.945, distillate ~0.94 per standard fuel property tables).</t>
        </r>
      </text>
    </comment>
    <comment ref="F4" authorId="0" shapeId="0" xr:uid="{E4B85C43-33BA-4434-B5C2-80E1734D80A6}">
      <text>
        <r>
          <rPr>
            <b/>
            <sz val="9"/>
            <color indexed="81"/>
            <rFont val="Tahoma"/>
            <family val="2"/>
          </rPr>
          <t>Dan O'Brien:</t>
        </r>
        <r>
          <rPr>
            <sz val="9"/>
            <color indexed="81"/>
            <rFont val="Tahoma"/>
            <family val="2"/>
          </rPr>
          <t xml:space="preserve">
JUDGMENT: practical deduction for oil furnace duty — atomization excess air and soot fouling. Range 0-2%.</t>
        </r>
      </text>
    </comment>
    <comment ref="D5" authorId="0" shapeId="0" xr:uid="{2722436D-A5B4-4854-9B19-7EA7D4979F72}">
      <text>
        <r>
          <rPr>
            <b/>
            <sz val="9"/>
            <color indexed="81"/>
            <rFont val="Tahoma"/>
            <family val="2"/>
          </rPr>
          <t>Dan O'Brien:</t>
        </r>
        <r>
          <rPr>
            <sz val="9"/>
            <color indexed="81"/>
            <rFont val="Tahoma"/>
            <family val="2"/>
          </rPr>
          <t xml:space="preserve">
Reference fuel = 1.0 by construction.</t>
        </r>
      </text>
    </comment>
    <comment ref="E5" authorId="0" shapeId="0" xr:uid="{0C4B6B3B-7784-467C-97C9-9647E28A7D82}">
      <text>
        <r>
          <rPr>
            <b/>
            <sz val="9"/>
            <color indexed="81"/>
            <rFont val="Tahoma"/>
            <family val="2"/>
          </rPr>
          <t>Dan O'Brien:</t>
        </r>
        <r>
          <rPr>
            <sz val="9"/>
            <color indexed="81"/>
            <rFont val="Tahoma"/>
            <family val="2"/>
          </rPr>
          <t xml:space="preserve">
LHV/HHV for natural gas: ~0.90 (CDP guidance; Clarke Energy quotes HHV/LHV = 1.108, i.e. LHV/HHV = 0.903).</t>
        </r>
      </text>
    </comment>
    <comment ref="F5" authorId="0" shapeId="0" xr:uid="{B4CF6F4C-3BE9-4842-BBAB-6ABAE8FFC4A3}">
      <text>
        <r>
          <rPr>
            <b/>
            <sz val="9"/>
            <color indexed="81"/>
            <rFont val="Tahoma"/>
            <family val="2"/>
          </rPr>
          <t>Dan O'Brien:</t>
        </r>
        <r>
          <rPr>
            <sz val="9"/>
            <color indexed="81"/>
            <rFont val="Tahoma"/>
            <family val="2"/>
          </rPr>
          <t xml:space="preserve">
Natural gas is the curve's reference fuel; no deduction.</t>
        </r>
      </text>
    </comment>
    <comment ref="B10" authorId="0" shapeId="0" xr:uid="{CE8303D4-F739-4149-88E8-14866119F37D}">
      <text>
        <r>
          <rPr>
            <b/>
            <sz val="9"/>
            <color indexed="81"/>
            <rFont val="Tahoma"/>
            <family val="2"/>
          </rPr>
          <t>Dan O'Brien:</t>
        </r>
        <r>
          <rPr>
            <sz val="9"/>
            <color indexed="81"/>
            <rFont val="Tahoma"/>
            <family val="2"/>
          </rPr>
          <t xml:space="preserve">
Best-possible condensing-boiler efficiency for &lt;200 °C bands. Condensing boilers recover latent heat of flue-gas water vapor when return-water temp is below the NG flue dew point (~55 °C), reaching 98-99% (up to ~106% HHV for best industrial units). Recuperative burners are not the right archetype &lt;200 °C — too little sensible flue heat to recover. Sources: Gasmaster (98-99%), Price Industries (up to 98%; conventional ~80%), kW Engineering (97% at ≤80°F return), Kaineng (106% HHV best). See About tab.</t>
        </r>
      </text>
    </comment>
    <comment ref="B11" authorId="0" shapeId="0" xr:uid="{BBECAF76-958E-481F-A77B-B8C607367B2D}">
      <text>
        <r>
          <rPr>
            <b/>
            <sz val="9"/>
            <color indexed="81"/>
            <rFont val="Tahoma"/>
            <family val="2"/>
          </rPr>
          <t>Dan O'Brien:</t>
        </r>
        <r>
          <rPr>
            <sz val="9"/>
            <color indexed="81"/>
            <rFont val="Tahoma"/>
            <family val="2"/>
          </rPr>
          <t xml:space="preserve">
Best-case condensing oil-fired boiler efficiency for &lt;200 °C. Oil has less hydrogen/water vapor than NG and contains sulfur (acidic condensate limits deep condensing), so it caps below NG's 99%. Category IV condensing oil boilers reach 90-93%; commercial units rated 92%. Sources: PNNL Building America (Cat IV oil 90-93%), Peerless Pinnacle Oil (92%). See About tab.</t>
        </r>
      </text>
    </comment>
    <comment ref="B12" authorId="0" shapeId="0" xr:uid="{76D39DF2-43B2-4751-81C5-C12277DB71BC}">
      <text>
        <r>
          <rPr>
            <b/>
            <sz val="9"/>
            <color indexed="81"/>
            <rFont val="Tahoma"/>
            <family val="2"/>
          </rPr>
          <t>Dan O'Brien:</t>
        </r>
        <r>
          <rPr>
            <sz val="9"/>
            <color indexed="81"/>
            <rFont val="Tahoma"/>
            <family val="2"/>
          </rPr>
          <t xml:space="preserve">
Best-case coal boiler efficiency for &lt;200 °C. Coal cannot deep-condense (acid dewpoint corrosion, ash fouling); best practice is economizer + air-preheater sensible recovery, with flue temp limited to ~110-130 °C by acid dew point. Best-practice range 85-92%. Sources: coalbiomassboiler.com (85-92% sustained best practice), EPCB (84.6% typical), ScienceDirect (acid dewpoint 110-130 °C). See About tab.</t>
        </r>
      </text>
    </comment>
    <comment ref="E104" authorId="0" shapeId="0" xr:uid="{9513B7A2-CBA0-4DD4-8E9A-96E012E87395}">
      <text>
        <r>
          <rPr>
            <b/>
            <sz val="9"/>
            <color indexed="81"/>
            <rFont val="Tahoma"/>
            <family val="2"/>
          </rPr>
          <t>Dan O'Brien:</t>
        </r>
        <r>
          <rPr>
            <sz val="9"/>
            <color indexed="81"/>
            <rFont val="Tahoma"/>
            <family val="2"/>
          </rPr>
          <t xml:space="preserve">
Share of fuel use in this band served by equipment WITH waste heat recovery. Blend = pen × with-WHR (rows 97-101) + (1-pen) × without-WHR (rows 51-55). Seeded at 100% (= pure with-WHR, no change to current numbers). Literature suggests high bands ~90-100%, low bands well under 50% — see Papapetrou et al. 2018 (doi 10.1016/j.applthermaleng.2018.04.043) and DOE QTR 2015 Ch. 6M.</t>
        </r>
      </text>
    </comment>
    <comment ref="E105" authorId="0" shapeId="0" xr:uid="{4E2D5543-AE10-4D4B-93CF-49ACBCF7531E}">
      <text>
        <r>
          <rPr>
            <b/>
            <sz val="9"/>
            <color indexed="81"/>
            <rFont val="Tahoma"/>
            <family val="2"/>
          </rPr>
          <t>Best-possible file: full waste heat recovery assumed (100% penetration).</t>
        </r>
      </text>
    </comment>
    <comment ref="E106" authorId="0" shapeId="0" xr:uid="{B2FA7951-D2A7-4796-AE70-11C08B91A129}">
      <text>
        <r>
          <rPr>
            <b/>
            <sz val="9"/>
            <color indexed="81"/>
            <rFont val="Tahoma"/>
            <family val="2"/>
          </rPr>
          <t>Best-possible file: full waste heat recovery assumed (100% penetration).</t>
        </r>
      </text>
    </comment>
    <comment ref="B107" authorId="0" shapeId="0" xr:uid="{5E145E1C-30AB-4BB1-A3ED-D549417FE6B1}">
      <text>
        <r>
          <rPr>
            <b/>
            <sz val="9"/>
            <color indexed="81"/>
            <rFont val="Tahoma"/>
            <family val="2"/>
          </rPr>
          <t>Dan O'Brien:</t>
        </r>
        <r>
          <rPr>
            <sz val="9"/>
            <color indexed="81"/>
            <rFont val="Tahoma"/>
            <family val="2"/>
          </rPr>
          <t xml:space="preserve">
REVISED (WP3): now duty-split, mirroring the start-year file. = boiler share (B134) × best-practice boiler path (B131, incl. 5% distribution loss) + direct-fired share × the epsilon-matched available-heat blend × containment factor (B138). Prior formula was the available-heat blend alone; prior value 79.6% for coal.</t>
        </r>
      </text>
    </comment>
    <comment ref="C107" authorId="0" shapeId="0" xr:uid="{C164B206-E1E2-4BC9-B54A-C29FE6A82128}">
      <text>
        <r>
          <rPr>
            <b/>
            <sz val="9"/>
            <color indexed="81"/>
            <rFont val="Tahoma"/>
            <family val="2"/>
          </rPr>
          <t>Dan O'Brien:</t>
        </r>
        <r>
          <rPr>
            <sz val="9"/>
            <color indexed="81"/>
            <rFont val="Tahoma"/>
            <family val="2"/>
          </rPr>
          <t xml:space="preserve">
REVISED (WP3), same structure as B107 using the petroleum boiler path (B132). Prior value 87.6%.</t>
        </r>
      </text>
    </comment>
    <comment ref="D107" authorId="0" shapeId="0" xr:uid="{DA22B711-73E4-4DB7-94D5-46EF2D755CCA}">
      <text>
        <r>
          <rPr>
            <b/>
            <sz val="9"/>
            <color indexed="81"/>
            <rFont val="Tahoma"/>
            <family val="2"/>
          </rPr>
          <t>Dan O'Brien:</t>
        </r>
        <r>
          <rPr>
            <sz val="9"/>
            <color indexed="81"/>
            <rFont val="Tahoma"/>
            <family val="2"/>
          </rPr>
          <t xml:space="preserve">
REVISED (WP3), same structure using the natural gas boiler path (B133 = 85.7% HHV × 0.95 distribution). Prior value 91.6% — that figure was the epsilon=0.6 recuperative-burner available-heat reading applied to the whole band, including its majority boiler duty, and excluded containment losses. Note the condensing archetype (99%, B10) is NOT valid here: 200-500 °C process steam cannot deliver return water below the flue dew point.</t>
        </r>
      </text>
    </comment>
    <comment ref="E107" authorId="0" shapeId="0" xr:uid="{CE370A11-5235-4C8E-B63C-B4E9BDEFC05D}">
      <text>
        <r>
          <rPr>
            <b/>
            <sz val="9"/>
            <color indexed="81"/>
            <rFont val="Tahoma"/>
            <family val="2"/>
          </rPr>
          <t>Best-possible file: full waste heat recovery assumed (100% penetration).</t>
        </r>
      </text>
    </comment>
    <comment ref="B108" authorId="0" shapeId="0" xr:uid="{AC78CAFD-794D-4D99-BAC3-F1636AC87F3E}">
      <text>
        <r>
          <rPr>
            <b/>
            <sz val="9"/>
            <color indexed="81"/>
            <rFont val="Tahoma"/>
            <family val="2"/>
          </rPr>
          <t>Dan O'Brien:</t>
        </r>
        <r>
          <rPr>
            <sz val="9"/>
            <color indexed="81"/>
            <rFont val="Tahoma"/>
            <family val="2"/>
          </rPr>
          <t xml:space="preserve">
REVISED (WP3): available-heat blend × containment factor (B139). No boiler term — steam systems top out ~300 °C. Prior value 76.4%.</t>
        </r>
      </text>
    </comment>
    <comment ref="C108" authorId="0" shapeId="0" xr:uid="{DA6C1D32-1188-4111-B4E2-093C538B6E12}">
      <text>
        <r>
          <rPr>
            <b/>
            <sz val="9"/>
            <color indexed="81"/>
            <rFont val="Tahoma"/>
            <family val="2"/>
          </rPr>
          <t>Dan O'Brien:</t>
        </r>
        <r>
          <rPr>
            <sz val="9"/>
            <color indexed="81"/>
            <rFont val="Tahoma"/>
            <family val="2"/>
          </rPr>
          <t xml:space="preserve">
REVISED (WP3), same structure. Prior value 84.1%.</t>
        </r>
      </text>
    </comment>
    <comment ref="D108" authorId="0" shapeId="0" xr:uid="{8D021393-3DDE-447A-88A1-32DB0D007BF1}">
      <text>
        <r>
          <rPr>
            <b/>
            <sz val="9"/>
            <color indexed="81"/>
            <rFont val="Tahoma"/>
            <family val="2"/>
          </rPr>
          <t>Dan O'Brien:</t>
        </r>
        <r>
          <rPr>
            <sz val="9"/>
            <color indexed="81"/>
            <rFont val="Tahoma"/>
            <family val="2"/>
          </rPr>
          <t xml:space="preserve">
REVISED (WP3), same structure. Prior value 87.9%.</t>
        </r>
      </text>
    </comment>
    <comment ref="E108" authorId="0" shapeId="0" xr:uid="{9B9B62A5-87F0-4676-9520-59818B77918D}">
      <text>
        <r>
          <rPr>
            <b/>
            <sz val="9"/>
            <color indexed="81"/>
            <rFont val="Tahoma"/>
            <family val="2"/>
          </rPr>
          <t>Best-possible file: full waste heat recovery assumed (100% penetration).</t>
        </r>
      </text>
    </comment>
    <comment ref="B109" authorId="0" shapeId="0" xr:uid="{BE142C51-7E20-475D-B0D3-BF7A73FCD891}">
      <text>
        <r>
          <rPr>
            <b/>
            <sz val="9"/>
            <color indexed="81"/>
            <rFont val="Tahoma"/>
            <family val="2"/>
          </rPr>
          <t>Dan O'Brien:</t>
        </r>
        <r>
          <rPr>
            <sz val="9"/>
            <color indexed="81"/>
            <rFont val="Tahoma"/>
            <family val="2"/>
          </rPr>
          <t xml:space="preserve">
REVISED — regenerative-burner addressability applied (see rows 142-155). = addressable share (B148) × the epsilon=0.8 archetype value + non-addressable share × the process-inherent-recovery efficiency (B150). Only ~42% of &gt;1000 °C band heat sits in equipment a regenerative/recuperative burner can improve; blast furnaces and coke ovens are already regeneratively heated (Cowper stoves, heating flues) and cement kilns recover through the preheater/precalciner tower, so applying the archetype to the whole band overstated fossil best practice. B150 is applied fuel-independently because its anchor (cement kiln GJ/t clinker vs theoretical) is a process-configuration efficiency, not a combustion property. Prior value for coal: 77.0%.</t>
        </r>
      </text>
    </comment>
    <comment ref="C109" authorId="0" shapeId="0" xr:uid="{FABF2121-A5FD-477F-A507-5413B1F80DFE}">
      <text>
        <r>
          <rPr>
            <b/>
            <sz val="9"/>
            <color indexed="81"/>
            <rFont val="Tahoma"/>
            <family val="2"/>
          </rPr>
          <t>Dan O'Brien:</t>
        </r>
        <r>
          <rPr>
            <sz val="9"/>
            <color indexed="81"/>
            <rFont val="Tahoma"/>
            <family val="2"/>
          </rPr>
          <t xml:space="preserve">
REVISED — see B109 note. Prior value for petroleum: 78.6%.</t>
        </r>
      </text>
    </comment>
    <comment ref="D109" authorId="0" shapeId="0" xr:uid="{49DC934E-7FBD-4097-9D5B-4EEC242A4D5D}">
      <text>
        <r>
          <rPr>
            <b/>
            <sz val="9"/>
            <color indexed="81"/>
            <rFont val="Tahoma"/>
            <family val="2"/>
          </rPr>
          <t>REVISED — see B109 note. Prior value for natural gas: 75.2% (epsilon=0.8 archetype applied to the whole band), giving a unit energy factor of 1.330. The addressability-corrected value restores an advantage for the best-practice electric route (EAF 1.429).</t>
        </r>
      </text>
    </comment>
    <comment ref="E109" authorId="0" shapeId="0" xr:uid="{CC7EE627-E836-49CD-BF6E-F807D6833B56}">
      <text>
        <r>
          <rPr>
            <b/>
            <sz val="9"/>
            <color indexed="81"/>
            <rFont val="Tahoma"/>
            <family val="2"/>
          </rPr>
          <t>Best-possible file: full waste heat recovery assumed (100% penetration).</t>
        </r>
      </text>
    </comment>
    <comment ref="B129" authorId="0" shapeId="0" xr:uid="{C7FCDB06-CCE6-4607-A966-4D087D030CC2}">
      <text>
        <r>
          <rPr>
            <b/>
            <sz val="9"/>
            <color indexed="81"/>
            <rFont val="Tahoma"/>
            <family val="2"/>
          </rPr>
          <t>Dan O'Brien:</t>
        </r>
        <r>
          <rPr>
            <sz val="9"/>
            <color indexed="81"/>
            <rFont val="Tahoma"/>
            <family val="2"/>
          </rPr>
          <t xml:space="preserve">
JUDGMENT INPUT (best-practice counterpart to the start-year file's 12%). Steam distribution losses (piping radiation, traps, leaks, condensate return) are commonly cited at 10-20% for industrial steam systems; 5% represents best practice — fully insulated distribution and headers, an active trap-maintenance program, and complete condensate return. Applied symmetrically to the fossil boiler path (rows 131-133) and the electric-boiler slice (Electric Process Heat min block), so the system boundary matches across fuels. Suggested range 3-8%.</t>
        </r>
      </text>
    </comment>
    <comment ref="B130" authorId="0" shapeId="0" xr:uid="{85F56E43-7A36-43C8-9D04-7793897C1479}">
      <text>
        <r>
          <rPr>
            <b/>
            <sz val="9"/>
            <color indexed="81"/>
            <rFont val="Tahoma"/>
            <family val="2"/>
          </rPr>
          <t>Dan O'Brien:</t>
        </r>
        <r>
          <rPr>
            <sz val="9"/>
            <color indexed="81"/>
            <rFont val="Tahoma"/>
            <family val="2"/>
          </rPr>
          <t xml:space="preserve">
Coal boiler combustion efficiency 90.3% (HHV), US DOE AMO Steam Tip Sheet #15 'Benchmark the Fuel Cost of Steam Generation', Table 2. DOE's stated configuration is a boiler equipped with an economizer or air preheater at 3% O2 in flue gas — i.e. already a well-equipped best-practice arrangement, which is why these values are used directly in this best-possible file rather than being uplifted. Note the HHV ordering coal &gt; oil &gt; NG (hydrogen-rich fuels lose more latent heat up the stack). Source: https://www.energy.gov/sites/prod/files/2014/05/f16/steam15_benchmark.pdf</t>
        </r>
      </text>
    </comment>
    <comment ref="C130" authorId="0" shapeId="0" xr:uid="{BD187ACD-3859-45E0-B5FC-AA34E04DE829}">
      <text>
        <r>
          <rPr>
            <b/>
            <sz val="9"/>
            <color indexed="81"/>
            <rFont val="Tahoma"/>
            <family val="2"/>
          </rPr>
          <t>Dan O'Brien:</t>
        </r>
        <r>
          <rPr>
            <sz val="9"/>
            <color indexed="81"/>
            <rFont val="Tahoma"/>
            <family val="2"/>
          </rPr>
          <t xml:space="preserve">
Petroleum: midpoint of Distillate/No.2 oil 88.7% and Residual/No.6 oil 89.6% (HHV), same source (Steam Tip Sheet #15, Table 2), since the EPS 'petroleum' fuel spans both.</t>
        </r>
      </text>
    </comment>
    <comment ref="D130" authorId="0" shapeId="0" xr:uid="{F284B8B1-C202-4452-B571-2CF76B643C4E}">
      <text>
        <r>
          <rPr>
            <b/>
            <sz val="9"/>
            <color indexed="81"/>
            <rFont val="Tahoma"/>
            <family val="2"/>
          </rPr>
          <t>Dan O'Brien:</t>
        </r>
        <r>
          <rPr>
            <sz val="9"/>
            <color indexed="81"/>
            <rFont val="Tahoma"/>
            <family val="2"/>
          </rPr>
          <t xml:space="preserve">
Natural gas boiler combustion efficiency 85.7% (HHV), same source. IMPORTANT: this is NOT the condensing value used for the &lt;200 °C bands (B10 = 99%). Condensing requires return-water temperature below the flue dew point (~55 °C), which is physically unavailable for 200-500 °C process steam, so the condensing archetype cannot be reused in this band. 85.7% with economizer/air preheater is the correct best-practice non-condensing steam-boiler value here.</t>
        </r>
      </text>
    </comment>
    <comment ref="B134" authorId="0" shapeId="0" xr:uid="{A50BF1E3-55F8-4A5E-8DEF-AD273CD49883}">
      <text>
        <r>
          <rPr>
            <b/>
            <sz val="9"/>
            <color indexed="81"/>
            <rFont val="Tahoma"/>
            <family val="2"/>
          </rPr>
          <t>Dan O'Brien:</t>
        </r>
        <r>
          <rPr>
            <sz val="9"/>
            <color indexed="81"/>
            <rFont val="Tahoma"/>
            <family val="2"/>
          </rPr>
          <t xml:space="preserve">
JUDGMENT INPUT, matched to the start-year file's F107 so the two files describe the same duty mix. Triangulation (McMillan et al. 2016, NREL/TP-6A50-66743 / INL/EXT-16-39680): conventional steam boilers + CHP ≈ 70% of heat loads across the 14 most energy-intensive industries; chemicals ~40% of delivered energy via steam loops; pulp &amp; paper ~70% steam. Offset: ~45% of US process heat is required below 200 °C, so much steam duty sits below this band, and steam systems top out ~250-300 °C. Suggested range 45-65%. Also drives the electric mix on the Electric Process Heat min block.</t>
        </r>
      </text>
    </comment>
    <comment ref="B135" authorId="0" shapeId="0" xr:uid="{E42090D5-D9B1-45DD-843F-B9085FBDE69D}">
      <text>
        <r>
          <rPr>
            <b/>
            <sz val="9"/>
            <color indexed="81"/>
            <rFont val="Tahoma"/>
            <family val="2"/>
          </rPr>
          <t>Dan O'Brien:</t>
        </r>
        <r>
          <rPr>
            <sz val="9"/>
            <color indexed="81"/>
            <rFont val="Tahoma"/>
            <family val="2"/>
          </rPr>
          <t xml:space="preserve">
PROXY (judgment), ported from the start-year file: these four industries' direct-fired heat is treated as fired-heater / process-reactor duty, where the process fluid absorbs the firebox duty directly, so available heat ≈ delivered heat (containment 1.00). Literature: modern refinery fired heaters run 80-92% thermal efficiency with convection sections and air preheat (radiant-only ≈57%; +convection ≈84%, Digital Refining; conventional maximum ≈91-92%). Band shares read from 'indst heat consumptionSY' column K.</t>
        </r>
      </text>
    </comment>
    <comment ref="B136" authorId="0" shapeId="0" xr:uid="{5F95B7F3-13BC-42DB-AB01-EFE8EDDC63B0}">
      <text>
        <r>
          <rPr>
            <b/>
            <sz val="9"/>
            <color indexed="81"/>
            <rFont val="Tahoma"/>
            <family val="2"/>
          </rPr>
          <t>Dan O'Brien:</t>
        </r>
        <r>
          <rPr>
            <sz val="9"/>
            <color indexed="81"/>
            <rFont val="Tahoma"/>
            <family val="2"/>
          </rPr>
          <t xml:space="preserve">
Same proxy as B135, using 500-1000 °C band shares (column L).</t>
        </r>
      </text>
    </comment>
    <comment ref="B137" authorId="0" shapeId="0" xr:uid="{33B04AF1-CA89-40A1-97AE-5A6E971A9369}">
      <text>
        <r>
          <rPr>
            <b/>
            <sz val="9"/>
            <color indexed="81"/>
            <rFont val="Tahoma"/>
            <family val="2"/>
          </rPr>
          <t>Dan O'Brien:</t>
        </r>
        <r>
          <rPr>
            <sz val="9"/>
            <color indexed="81"/>
            <rFont val="Tahoma"/>
            <family val="2"/>
          </rPr>
          <t xml:space="preserve">
Symmetry anchor, best-practice version. Containment losses (walls, openings, exhaust air changes, idle) are fuel-agnostic, so a gas oven suffers them on top of flue losses. = BEST-CASE electric resistance oven delivered efficiency ('Electric Process HeatSY'!D7 = 0.88, the high column) ÷ element conversion (0.99) ≈ 0.889. The start-year file uses the central value (0.80/0.99 ≈ 0.81); this file uses the high column because it represents best-achievable equipment. Literature range for gas oven/furnace delivered efficiency: recuperative burners 60-65% and self-recuperative 70-75% at 1000 °C (Thermal Processing 2018); direct-fired convective dryers 40-60%+ (Kemp, Wiley); DOE-assessed fuel-fired systems 30-60%. Plausible containment range 0.85-0.95 for best practice.</t>
        </r>
      </text>
    </comment>
    <comment ref="C146" authorId="0" shapeId="0" xr:uid="{68DF562B-234B-4F72-888F-22A36CA9E88C}">
      <text>
        <r>
          <rPr>
            <b/>
            <sz val="9"/>
            <color indexed="81"/>
            <rFont val="Tahoma"/>
            <family val="2"/>
          </rPr>
          <t>REVISED 25% -&gt; 55% (July 2026). The earlier 25% assumed blast-furnace and coke-oven fuel sat inside the &gt;1000 °C heat pool, so only reheat/anneal was addressable. It does not: in the EPS, COKING COAL IS TREATED AS FEEDSTOCK (non-energy use, with its carbon released through process-emissions accounting), and only steam coal and other fuels burned for energy enter the iron &amp; steel heat demand. The pool is therefore blast-furnace hot-stove fuel (BF gas / coke-oven gas), reheat and annealing furnaces, sinter plants and lime kilns. Of that: hot stoves are ALREADY regenerative (Cowper stoves) and lime kilns recover via preheaters, so they remain non-addressable (~40-45%); reheat, annealing and forging furnaces are directly retrofittable with recuperative/regenerative burners (~55%). Range 45-65%.</t>
        </r>
      </text>
    </comment>
    <comment ref="B148" authorId="0" shapeId="0" xr:uid="{5DD90938-D5FC-4176-8EBA-862018F6E5C6}">
      <text>
        <r>
          <rPr>
            <b/>
            <sz val="9"/>
            <color indexed="81"/>
            <rFont val="Tahoma"/>
            <family val="2"/>
          </rPr>
          <t>Dan O'Brien:</t>
        </r>
        <r>
          <rPr>
            <sz val="9"/>
            <color indexed="81"/>
            <rFont val="Tahoma"/>
            <family val="2"/>
          </rPr>
          <t xml:space="preserve">
Share of the four sub-sectors' &gt;1000 °C heat for which a regenerative/recuperative burner is a meaningful lever. The four together are ~95% of band heat.</t>
        </r>
      </text>
    </comment>
    <comment ref="B150" authorId="0" shapeId="0" xr:uid="{01D04AFD-7FB8-4D00-9CA2-B4AC34EB8EC8}">
      <text>
        <r>
          <rPr>
            <b/>
            <sz val="9"/>
            <color indexed="81"/>
            <rFont val="Tahoma"/>
            <family val="2"/>
          </rPr>
          <t>Dan O'Brien:</t>
        </r>
        <r>
          <rPr>
            <sz val="9"/>
            <color indexed="81"/>
            <rFont val="Tahoma"/>
            <family val="2"/>
          </rPr>
          <t xml:space="preserve">
JUDGMENT. Best-practice delivered efficiency for the duty that a regenerative burner cannot improve. Anchors: a modern multi-stage preheater/precalciner cement kiln uses ~3.0-3.3 GJ/t clinker against a theoretical ~1.75-1.85 GJ/t, i.e. ~55-60% delivered; integrated steel with Cowper stoves plus top-gas recovery is comparable. Range 0.55-0.68. Kept below the epsilon=0.8 archetype value (75.2%) because these processes have already banked their recovery and cannot go further with burner technology.</t>
        </r>
      </text>
    </comment>
    <comment ref="B151" authorId="0" shapeId="0" xr:uid="{C73147CD-36AF-4868-961D-21035943AD95}">
      <text>
        <r>
          <rPr>
            <b/>
            <sz val="9"/>
            <color indexed="81"/>
            <rFont val="Tahoma"/>
            <family val="2"/>
          </rPr>
          <t>Readback of the live band value. Formerly a standalone diagnostic re-blend; now that the correction is applied in row 109 this simply reports the result (a re-blend formula here would be circular).</t>
        </r>
      </text>
    </comment>
    <comment ref="B153" authorId="0" shapeId="0" xr:uid="{388A1824-80E5-46BC-922D-9CC6767A389F}">
      <text>
        <r>
          <rPr>
            <b/>
            <sz val="9"/>
            <color indexed="81"/>
            <rFont val="Tahoma"/>
            <family val="2"/>
          </rPr>
          <t>Dan O'Brien:</t>
        </r>
        <r>
          <rPr>
            <sz val="9"/>
            <color indexed="81"/>
            <rFont val="Tahoma"/>
            <family val="2"/>
          </rPr>
          <t xml:space="preserve">
Static record of the superseded value: natural gas 75.2% delivered → factor 1.330, from applying the epsilon=0.8 regenerative archetype to 100% of &gt;1000 °C band heat.</t>
        </r>
      </text>
    </comment>
    <comment ref="B158" authorId="0" shapeId="0" xr:uid="{C1ECD584-D8E4-4B40-879A-A31BF7CEBF93}">
      <text>
        <r>
          <rPr>
            <b/>
            <sz val="9"/>
            <color indexed="81"/>
            <rFont val="Tahoma"/>
            <family val="2"/>
          </rPr>
          <t>ZERO by EPS accounting convention (confirmed July 2026): coking coal is treated as FEEDSTOCK (non-energy use), with its carbon released through process-emissions accounting, and only steam coal plus other fuels burned for energy enter the iron &amp; steel heat demand. The chemical-reduction energy therefore never appears in the &gt;1000 °C heat pool, so it cannot be mis-switched by the fuel-switching unit energy factors. Set this above zero only if that convention changes — e.g. if coke or its derived BF gas / coke-oven gas were reclassified as energy use.</t>
        </r>
      </text>
    </comment>
    <comment ref="B159" authorId="0" shapeId="0" xr:uid="{28E9494B-7D43-45B7-87ED-F8D24F5559C3}">
      <text>
        <r>
          <rPr>
            <b/>
            <sz val="9"/>
            <color indexed="81"/>
            <rFont val="Tahoma"/>
            <family val="2"/>
          </rPr>
          <t>Dan O'Brien:</t>
        </r>
        <r>
          <rPr>
            <sz val="9"/>
            <color indexed="81"/>
            <rFont val="Tahoma"/>
            <family val="2"/>
          </rPr>
          <t xml:space="preserve">
Electrified calcination is a different kiln (plasma / electric-resistance calciner), not a different burner in the same kiln.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D2" authorId="0" shapeId="0" xr:uid="{3FAD7809-D806-43BC-A29B-6ECB960C269B}">
      <text>
        <r>
          <rPr>
            <b/>
            <sz val="9"/>
            <color indexed="81"/>
            <rFont val="Tahoma"/>
            <family val="2"/>
          </rPr>
          <t>Dan O'Brien:</t>
        </r>
        <r>
          <rPr>
            <sz val="9"/>
            <color indexed="81"/>
            <rFont val="Tahoma"/>
            <family val="2"/>
          </rPr>
          <t xml:space="preserve">
CHANGED (WP1). Previously ='Heat pumps'!H27 = 1.010, i.e. a flat 99% element-conversion efficiency. That is not a delivered efficiency and was not on the same system boundary as the fossil rows (which include flue losses and now containment and distribution losses). Now links to the best-practice delivered blend on 'Electric Process HeatSY' Section 7 — high-efficiency technology column, duty-matched mix, 5% best-practice distribution loss on the electric-boiler slice. 90.6% delivered → 1.103.</t>
        </r>
      </text>
    </comment>
    <comment ref="E2" authorId="0" shapeId="0" xr:uid="{8C597182-23F8-490E-806F-86CA183923CA}">
      <text>
        <r>
          <rPr>
            <b/>
            <sz val="9"/>
            <color indexed="81"/>
            <rFont val="Tahoma"/>
            <family val="2"/>
          </rPr>
          <t>Dan O'Brien:</t>
        </r>
        <r>
          <rPr>
            <sz val="9"/>
            <color indexed="81"/>
            <rFont val="Tahoma"/>
            <family val="2"/>
          </rPr>
          <t xml:space="preserve">
CHANGED (WP2). Previously ='Heat pumps'!H27 = 1.010. Now the best-practice delivered blend for 500-1000 °C: resistance furnace 76% (DOE metalcasting Table 19 max) / induction 70% / IR 90%, mix 55/40/5 → 74.3% delivered → 1.346. SEE the sign-flip finding at 'Electric Process HeatSY'!A59: in the best-practice case gas outperforms electricity on final energy in this band.</t>
        </r>
      </text>
    </comment>
    <comment ref="F2" authorId="0" shapeId="0" xr:uid="{AF31FD02-9C59-4A27-9F8E-4F1816790840}">
      <text>
        <r>
          <rPr>
            <b/>
            <sz val="9"/>
            <color indexed="81"/>
            <rFont val="Tahoma"/>
            <family val="2"/>
          </rPr>
          <t>Dan O'Brien:</t>
        </r>
        <r>
          <rPr>
            <sz val="9"/>
            <color indexed="81"/>
            <rFont val="Tahoma"/>
            <family val="2"/>
          </rPr>
          <t xml:space="preserve">
CHANGED (WP4). Previously ='High Temp'!G7 = 1.187, from a theoretical-minimum-to-actual intensity ratio (84.3%) — a best-practice-proximity metric, not a delivered efficiency, and inconsistent with the delivered basis used for 200-1000 °C. Now the best-practice delivered EAF efficiency, 70% (Kirschen et al. 2009 upper bound with scrap preheat and off-gas recovery) → 1.429. The 'High Temp' theoretical-minimum block is retained as documentation.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B6" authorId="0" shapeId="0" xr:uid="{E2564E6B-D763-4EDF-9B29-0C77FD3355C2}">
      <text>
        <r>
          <rPr>
            <b/>
            <sz val="9"/>
            <color indexed="81"/>
            <rFont val="Tahoma"/>
            <family val="2"/>
          </rPr>
          <t>Dan O'Brien:</t>
        </r>
        <r>
          <rPr>
            <sz val="9"/>
            <color indexed="81"/>
            <rFont val="Tahoma"/>
            <family val="2"/>
          </rPr>
          <t xml:space="preserve">
JUDGMENT INPUT, not a DOE-published figure. Anchored on DOE Sourcebook statement that resistance heating "efficiency can reach close to 100%"; direct immersion in the working fluid has minimal containment loss. 3 pts allowed for standby, blowdown and short-run distribution loss. Source: DOE/AMO, Improving Process Heating System Performance: A Sourcebook for Industry, 3rd ed. (2016), Resistance Heating and Melting, https://www.energy.gov/sites/prod/files/2016/04/f30/Improving%20Process%20Heating%20System%20Performance%20A%20Sourcebook%20for%20Industry%20Third%20Edition_0.pdf</t>
        </r>
      </text>
    </comment>
    <comment ref="B7" authorId="0" shapeId="0" xr:uid="{0B05481A-1311-4A4C-97B5-AFB5DB4F43D5}">
      <text>
        <r>
          <rPr>
            <b/>
            <sz val="9"/>
            <color indexed="81"/>
            <rFont val="Tahoma"/>
            <family val="2"/>
          </rPr>
          <t>Dan O'Brien:</t>
        </r>
        <r>
          <rPr>
            <sz val="9"/>
            <color indexed="81"/>
            <rFont val="Tahoma"/>
            <family val="2"/>
          </rPr>
          <t xml:space="preserve">
JUDGMENT INPUT interpolated between the immersion case (row 6) and the DOE-measured ~700C electric furnace (row 8). DOE Sourcebook notes resistance heaters relying on convection are used below 1,250F (~675C); losses at this temperature are dominated by exhaust air changes and shell conduction rather than radiation. Weakest number on this tab - flagged for replacement if better US data is found. Source context: DOE/AMO Process Heating Sourcebook 3rd ed. (2016).</t>
        </r>
      </text>
    </comment>
    <comment ref="B8" authorId="0" shapeId="0" xr:uid="{513B6B9D-06C8-4A62-9B26-5F8DA772B9E6}">
      <text>
        <r>
          <rPr>
            <b/>
            <sz val="9"/>
            <color indexed="81"/>
            <rFont val="Tahoma"/>
            <family val="2"/>
          </rPr>
          <t>Dan O'Brien:</t>
        </r>
        <r>
          <rPr>
            <sz val="9"/>
            <color indexed="81"/>
            <rFont val="Tahoma"/>
            <family val="2"/>
          </rPr>
          <t xml:space="preserve">
Source: U.S. DOE Industrial Technologies Program BestPractices, "Theoretical/Best Practice Energy Use in Metalcasting Operations" (Schifo &amp; Radia, 2004), Table 19 "Typical Energy Consumption for Aluminum Melting Furnaces": Wet Reverberatory ELECTRIC furnace delivered energy efficiency min 59%, max 76%, average 67.5%. (Gas reverberatory equivalent averages 36%.) https://www.energy.gov/sites/prod/files/2013/11/f4/doebestpractice_052804.pdf</t>
        </r>
      </text>
    </comment>
    <comment ref="C8" authorId="0" shapeId="0" xr:uid="{C7F1E419-7B20-42BE-8F8A-092CCD8F486B}">
      <text>
        <r>
          <rPr>
            <b/>
            <sz val="9"/>
            <color indexed="81"/>
            <rFont val="Tahoma"/>
            <family val="2"/>
          </rPr>
          <t>Dan O'Brien:</t>
        </r>
        <r>
          <rPr>
            <sz val="9"/>
            <color indexed="81"/>
            <rFont val="Tahoma"/>
            <family val="2"/>
          </rPr>
          <t xml:space="preserve">
DOE Table 19 minimum. Source: DOE BestPractices, Theoretical/Best Practice Energy Use in Metalcasting Operations (2004), https://www.energy.gov/sites/prod/files/2013/11/f4/doebestpractice_052804.pdf</t>
        </r>
      </text>
    </comment>
    <comment ref="D8" authorId="0" shapeId="0" xr:uid="{71791495-C93D-4BD0-A2B5-BC98AA7A6F7A}">
      <text>
        <r>
          <rPr>
            <b/>
            <sz val="9"/>
            <color indexed="81"/>
            <rFont val="Tahoma"/>
            <family val="2"/>
          </rPr>
          <t>Dan O'Brien:</t>
        </r>
        <r>
          <rPr>
            <sz val="9"/>
            <color indexed="81"/>
            <rFont val="Tahoma"/>
            <family val="2"/>
          </rPr>
          <t xml:space="preserve">
DOE Table 19 maximum. Source: DOE BestPractices, Theoretical/Best Practice Energy Use in Metalcasting Operations (2004), https://www.energy.gov/sites/prod/files/2013/11/f4/doebestpractice_052804.pdf</t>
        </r>
      </text>
    </comment>
    <comment ref="B9" authorId="0" shapeId="0" xr:uid="{21E59909-10C7-418D-80C7-3CE22B2A122F}">
      <text>
        <r>
          <rPr>
            <b/>
            <sz val="9"/>
            <color indexed="81"/>
            <rFont val="Tahoma"/>
            <family val="2"/>
          </rPr>
          <t>Dan O'Brien:</t>
        </r>
        <r>
          <rPr>
            <sz val="9"/>
            <color indexed="81"/>
            <rFont val="Tahoma"/>
            <family val="2"/>
          </rPr>
          <t xml:space="preserve">
Source: U.S. DOE ITP BestPractices, "Theoretical/Best Practice Energy Use in Metalcasting Operations" (2004): "The induction furnace energy efficiency is 36 to 65 percent delivered." Modern Batch Melting = 65% melt energy efficiency; older Heel Melting = 36%. Corroborated by the same report's finding that overall induction power-utilization efficiency rose from 44% to 70% between the 1950s and 1990s. 65% used as the start-year sales value (new equipment = modern batch). https://www.energy.gov/sites/prod/files/2013/11/f4/doebestpractice_052804.pdf</t>
        </r>
      </text>
    </comment>
    <comment ref="C9" authorId="0" shapeId="0" xr:uid="{F53AD1F2-D3A0-44CB-8520-D7B9C06D1EE3}">
      <text>
        <r>
          <rPr>
            <b/>
            <sz val="9"/>
            <color indexed="81"/>
            <rFont val="Tahoma"/>
            <family val="2"/>
          </rPr>
          <t>Dan O'Brien:</t>
        </r>
        <r>
          <rPr>
            <sz val="9"/>
            <color indexed="81"/>
            <rFont val="Tahoma"/>
            <family val="2"/>
          </rPr>
          <t xml:space="preserve">
DOE low end (heel melting). Source: DOE BestPractices, Theoretical/Best Practice Energy Use in Metalcasting Operations (2004), https://www.energy.gov/sites/prod/files/2013/11/f4/doebestpractice_052804.pdf</t>
        </r>
      </text>
    </comment>
    <comment ref="D9" authorId="0" shapeId="0" xr:uid="{E1016CF9-747C-41F6-9762-930703B9739D}">
      <text>
        <r>
          <rPr>
            <b/>
            <sz val="9"/>
            <color indexed="81"/>
            <rFont val="Tahoma"/>
            <family val="2"/>
          </rPr>
          <t>Dan O'Brien:</t>
        </r>
        <r>
          <rPr>
            <sz val="9"/>
            <color indexed="81"/>
            <rFont val="Tahoma"/>
            <family val="2"/>
          </rPr>
          <t xml:space="preserve">
DOE high end: overall power-utilization efficiency reached 70% by the 1990s. Source: DOE BestPractices, Theoretical/Best Practice Energy Use in Metalcasting Operations (2004), https://www.energy.gov/sites/prod/files/2013/11/f4/doebestpractice_052804.pdf</t>
        </r>
      </text>
    </comment>
    <comment ref="B10" authorId="0" shapeId="0" xr:uid="{F2C127A0-1AF2-4489-9D30-D32E4C38B1A5}">
      <text>
        <r>
          <rPr>
            <b/>
            <sz val="9"/>
            <color indexed="81"/>
            <rFont val="Tahoma"/>
            <family val="2"/>
          </rPr>
          <t>Dan O'Brien:</t>
        </r>
        <r>
          <rPr>
            <sz val="9"/>
            <color indexed="81"/>
            <rFont val="Tahoma"/>
            <family val="2"/>
          </rPr>
          <t xml:space="preserve">
Source: DOE/AMO, Improving Process Heating System Performance: A Sourcebook for Industry, 3rd ed. (2016), Table 3 "Infrared emitters by wavelength category": radiant output/efficiency 90% short (near, source up to 4,000F), 60% medium (up to 1,800F), 50% long (far, up to 1,000F). Medium-wave selected as typical for industrial curing/drying. NOTE: this is EMITTER radiant efficiency, before view-factor and workpiece absorption losses, so it is a generous upper bound on delivered efficiency. https://www.energy.gov/sites/prod/files/2016/04/f30/Improving%20Process%20Heating%20System%20Performance%20A%20Sourcebook%20for%20Industry%20Third%20Edition_0.pdf</t>
        </r>
      </text>
    </comment>
    <comment ref="C10" authorId="0" shapeId="0" xr:uid="{5ADEB524-C31C-4597-99AF-F071BF878CCA}">
      <text>
        <r>
          <rPr>
            <b/>
            <sz val="9"/>
            <color indexed="81"/>
            <rFont val="Tahoma"/>
            <family val="2"/>
          </rPr>
          <t>Dan O'Brien:</t>
        </r>
        <r>
          <rPr>
            <sz val="9"/>
            <color indexed="81"/>
            <rFont val="Tahoma"/>
            <family val="2"/>
          </rPr>
          <t xml:space="preserve">
DOE Sourcebook Table 3, long/far wavelength emitters: 50%. https://www.energy.gov/sites/prod/files/2016/04/f30/Improving%20Process%20Heating%20System%20Performance%20A%20Sourcebook%20for%20Industry%20Third%20Edition_0.pdf</t>
        </r>
      </text>
    </comment>
    <comment ref="D10" authorId="0" shapeId="0" xr:uid="{0E360159-1805-4703-A022-AFACAA9538AB}">
      <text>
        <r>
          <rPr>
            <b/>
            <sz val="9"/>
            <color indexed="81"/>
            <rFont val="Tahoma"/>
            <family val="2"/>
          </rPr>
          <t>Dan O'Brien:</t>
        </r>
        <r>
          <rPr>
            <sz val="9"/>
            <color indexed="81"/>
            <rFont val="Tahoma"/>
            <family val="2"/>
          </rPr>
          <t xml:space="preserve">
DOE Sourcebook Table 3, short/near wavelength emitters: 90%. https://www.energy.gov/sites/prod/files/2016/04/f30/Improving%20Process%20Heating%20System%20Performance%20A%20Sourcebook%20for%20Industry%20Third%20Edition_0.pdf</t>
        </r>
      </text>
    </comment>
    <comment ref="B15" authorId="0" shapeId="0" xr:uid="{9D7C1818-AC67-4010-9B45-E53440A139DC}">
      <text>
        <r>
          <rPr>
            <b/>
            <sz val="9"/>
            <color indexed="81"/>
            <rFont val="Tahoma"/>
            <family val="2"/>
          </rPr>
          <t>REPOINTED to this workbook's boiler-served share ('Combustion Efficiency'!B134 = 55%), so the electric duty mix stays matched to the fossil duty split in THIS file. Previously linked to the start-year file's equivalent cell via the imported 'Combustion EfficiencySY' tab, which has since been removed.</t>
        </r>
      </text>
    </comment>
    <comment ref="C15" authorId="0" shapeId="0" xr:uid="{477EEE81-D976-429E-BF50-97448F416267}">
      <text>
        <r>
          <rPr>
            <b/>
            <sz val="9"/>
            <color indexed="81"/>
            <rFont val="Tahoma"/>
            <family val="2"/>
          </rPr>
          <t>Residual share (resistance ovens/dryers) so the mix always sums to 100%.</t>
        </r>
      </text>
    </comment>
    <comment ref="D15" authorId="0" shapeId="0" xr:uid="{ECF3C815-0B9E-4061-A81D-0E717F31B2E1}">
      <text>
        <r>
          <rPr>
            <b/>
            <sz val="9"/>
            <color indexed="81"/>
            <rFont val="Tahoma"/>
            <family val="2"/>
          </rPr>
          <t>Dan O'Brien:</t>
        </r>
        <r>
          <rPr>
            <sz val="9"/>
            <color indexed="81"/>
            <rFont val="Tahoma"/>
            <family val="2"/>
          </rPr>
          <t xml:space="preserve">
Judgment. Radiant/indirect furnaces are assumed to sit in the 500-1000C band.</t>
        </r>
      </text>
    </comment>
    <comment ref="E15" authorId="0" shapeId="0" xr:uid="{E18F340D-8C85-4BFE-889B-2A542FB0AD84}">
      <text>
        <r>
          <rPr>
            <b/>
            <sz val="9"/>
            <color indexed="81"/>
            <rFont val="Tahoma"/>
            <family val="2"/>
          </rPr>
          <t>Dan O'Brien:</t>
        </r>
        <r>
          <rPr>
            <sz val="9"/>
            <color indexed="81"/>
            <rFont val="Tahoma"/>
            <family val="2"/>
          </rPr>
          <t xml:space="preserve">
Judgment. Limited billet/surface heating at this temperature.</t>
        </r>
      </text>
    </comment>
    <comment ref="F15" authorId="0" shapeId="0" xr:uid="{E26BD32B-D926-4A85-A83B-CEA99BD21EAC}">
      <text>
        <r>
          <rPr>
            <b/>
            <sz val="9"/>
            <color indexed="81"/>
            <rFont val="Tahoma"/>
            <family val="2"/>
          </rPr>
          <t>IR share trimmed 15%→10% with the move to a duty-matched mix (IR is concentrated in curing/drying niches).</t>
        </r>
      </text>
    </comment>
    <comment ref="B16" authorId="0" shapeId="0" xr:uid="{555EA141-5ED2-4DAF-8E80-D2156DD6900C}">
      <text>
        <r>
          <rPr>
            <b/>
            <sz val="9"/>
            <color indexed="81"/>
            <rFont val="Tahoma"/>
            <family val="2"/>
          </rPr>
          <t>Dan O'Brien:</t>
        </r>
        <r>
          <rPr>
            <sz val="9"/>
            <color indexed="81"/>
            <rFont val="Tahoma"/>
            <family val="2"/>
          </rPr>
          <t xml:space="preserve">
Judgment. Electric boilers cannot serve this band.</t>
        </r>
      </text>
    </comment>
    <comment ref="C16" authorId="0" shapeId="0" xr:uid="{6D878DB6-261D-4349-8F22-A061B22C9221}">
      <text>
        <r>
          <rPr>
            <b/>
            <sz val="9"/>
            <color indexed="81"/>
            <rFont val="Tahoma"/>
            <family val="2"/>
          </rPr>
          <t>Dan O'Brien:</t>
        </r>
        <r>
          <rPr>
            <sz val="9"/>
            <color indexed="81"/>
            <rFont val="Tahoma"/>
            <family val="2"/>
          </rPr>
          <t xml:space="preserve">
Judgment. Convection-dominated resistance ovens are used below ~675C per the DOE Sourcebook, so they are assigned to the 200-500C band.</t>
        </r>
      </text>
    </comment>
    <comment ref="D16" authorId="0" shapeId="0" xr:uid="{B5F13695-57F8-451C-99EF-9823AF50A461}">
      <text>
        <r>
          <rPr>
            <b/>
            <sz val="9"/>
            <color indexed="81"/>
            <rFont val="Tahoma"/>
            <family val="2"/>
          </rPr>
          <t>Dan O'Brien:</t>
        </r>
        <r>
          <rPr>
            <sz val="9"/>
            <color indexed="81"/>
            <rFont val="Tahoma"/>
            <family val="2"/>
          </rPr>
          <t xml:space="preserve">
Judgment. Heat treating, annealing and reheat furnaces in fabricated metals, transportation equipment and foundries.</t>
        </r>
      </text>
    </comment>
    <comment ref="E16" authorId="0" shapeId="0" xr:uid="{0A9A9A96-7C68-4334-9B17-1DA4CEC586F2}">
      <text>
        <r>
          <rPr>
            <b/>
            <sz val="9"/>
            <color indexed="81"/>
            <rFont val="Tahoma"/>
            <family val="2"/>
          </rPr>
          <t>Dan O'Brien:</t>
        </r>
        <r>
          <rPr>
            <sz val="9"/>
            <color indexed="81"/>
            <rFont val="Tahoma"/>
            <family val="2"/>
          </rPr>
          <t xml:space="preserve">
Judgment. Induction heat treating, forging pre-heat and non-ferrous melting.</t>
        </r>
      </text>
    </comment>
    <comment ref="F16" authorId="0" shapeId="0" xr:uid="{A53C8B55-8F75-4937-8A0E-870BB5B9FCA7}">
      <text>
        <r>
          <rPr>
            <b/>
            <sz val="9"/>
            <color indexed="81"/>
            <rFont val="Tahoma"/>
            <family val="2"/>
          </rPr>
          <t>Dan O'Brien:</t>
        </r>
        <r>
          <rPr>
            <sz val="9"/>
            <color indexed="81"/>
            <rFont val="Tahoma"/>
            <family val="2"/>
          </rPr>
          <t xml:space="preserve">
Judgment. Limited short-wave IR at this temperature.</t>
        </r>
      </text>
    </comment>
    <comment ref="B20" authorId="0" shapeId="0" xr:uid="{348030B0-2F91-4BF5-B57D-DAE1B43FC602}">
      <text>
        <r>
          <rPr>
            <b/>
            <sz val="9"/>
            <color indexed="81"/>
            <rFont val="Tahoma"/>
            <family val="2"/>
          </rPr>
          <t>START-YEAR VALUE, frozen (documentation only). Typical-case delivered blend at 200-500 °C from the start-year file = 80.2%. Was a live formula into the imported 'Combustion EfficiencySY' tab, which has been removed; frozen so the typical-vs-best-practice comparison in Sections 1-6 remains readable. The LIVE min-file value is in Section 7 (B55).</t>
        </r>
      </text>
    </comment>
    <comment ref="F20" authorId="0" shapeId="0" xr:uid="{E3D148C7-CD40-4A65-BBC0-63B30106758D}">
      <text>
        <r>
          <rPr>
            <b/>
            <sz val="9"/>
            <color indexed="81"/>
            <rFont val="Tahoma"/>
            <family val="2"/>
          </rPr>
          <t>Dan O'Brien:</t>
        </r>
        <r>
          <rPr>
            <sz val="9"/>
            <color indexed="81"/>
            <rFont val="Tahoma"/>
            <family val="2"/>
          </rPr>
          <t xml:space="preserve">
START-YEAR VALUE, frozen: typical-case natural-gas factor at 200-500 °C = 1.377. The min-file (best-practice) gas comparator is E55.</t>
        </r>
      </text>
    </comment>
    <comment ref="B21" authorId="0" shapeId="0" xr:uid="{F902EC68-ED11-4F45-ACAA-939653DD2CFD}">
      <text>
        <r>
          <rPr>
            <b/>
            <sz val="9"/>
            <color indexed="81"/>
            <rFont val="Tahoma"/>
            <family val="2"/>
          </rPr>
          <t>START-YEAR VALUE, frozen (documentation only): typical-case delivered blend at 500-1000 °C = 66.1%. See B20 note. LIVE min-file value is B56.</t>
        </r>
      </text>
    </comment>
    <comment ref="F21" authorId="0" shapeId="0" xr:uid="{9B89715B-F356-4275-8779-AA23BFDD84AE}">
      <text>
        <r>
          <rPr>
            <b/>
            <sz val="9"/>
            <color indexed="81"/>
            <rFont val="Tahoma"/>
            <family val="2"/>
          </rPr>
          <t>Dan O'Brien:</t>
        </r>
        <r>
          <rPr>
            <sz val="9"/>
            <color indexed="81"/>
            <rFont val="Tahoma"/>
            <family val="2"/>
          </rPr>
          <t xml:space="preserve">
START-YEAR VALUE, frozen: typical-case natural-gas factor at 500-1000 °C = 1.730. Min-file comparator is E56.</t>
        </r>
      </text>
    </comment>
    <comment ref="B26" authorId="0" shapeId="0" xr:uid="{556E1099-E08A-4A7E-A004-2FFBB3D2080B}">
      <text>
        <r>
          <rPr>
            <b/>
            <sz val="9"/>
            <color indexed="81"/>
            <rFont val="Tahoma"/>
            <family val="2"/>
          </rPr>
          <t>Dan O'Brien:</t>
        </r>
        <r>
          <rPr>
            <sz val="9"/>
            <color indexed="81"/>
            <rFont val="Tahoma"/>
            <family val="2"/>
          </rPr>
          <t xml:space="preserve">
START-YEAR low-sensitivity value, frozen (documentation only).</t>
        </r>
      </text>
    </comment>
    <comment ref="D26" authorId="0" shapeId="0" xr:uid="{2F6EEE4A-3E82-41A4-AA15-107838E0B7B6}">
      <text>
        <r>
          <rPr>
            <b/>
            <sz val="9"/>
            <color indexed="81"/>
            <rFont val="Tahoma"/>
            <family val="2"/>
          </rPr>
          <t>Dan O'Brien:</t>
        </r>
        <r>
          <rPr>
            <sz val="9"/>
            <color indexed="81"/>
            <rFont val="Tahoma"/>
            <family val="2"/>
          </rPr>
          <t xml:space="preserve">
START-YEAR high-sensitivity value, frozen. Note this is NOT the min-file value: the min file applies the best-practice 5% distribution loss rather than 12%, giving 90.6% (B55).</t>
        </r>
      </text>
    </comment>
    <comment ref="B27" authorId="0" shapeId="0" xr:uid="{0EDC25CA-C29D-493C-ACD1-A8903700F7CA}">
      <text>
        <r>
          <rPr>
            <b/>
            <sz val="9"/>
            <color indexed="81"/>
            <rFont val="Tahoma"/>
            <family val="2"/>
          </rPr>
          <t>Dan O'Brien:</t>
        </r>
        <r>
          <rPr>
            <sz val="9"/>
            <color indexed="81"/>
            <rFont val="Tahoma"/>
            <family val="2"/>
          </rPr>
          <t xml:space="preserve">
START-YEAR low-sensitivity value, frozen (documentation only).</t>
        </r>
      </text>
    </comment>
    <comment ref="D27" authorId="0" shapeId="0" xr:uid="{81FDFFAE-BE42-404B-B0AE-DEDA18F70345}">
      <text>
        <r>
          <rPr>
            <b/>
            <sz val="9"/>
            <color indexed="81"/>
            <rFont val="Tahoma"/>
            <family val="2"/>
          </rPr>
          <t>Dan O'Brien:</t>
        </r>
        <r>
          <rPr>
            <sz val="9"/>
            <color indexed="81"/>
            <rFont val="Tahoma"/>
            <family val="2"/>
          </rPr>
          <t xml:space="preserve">
START-YEAR high-sensitivity value, frozen. Equals the min-file 500-1000 °C blend (B56) because that band has no boiler slice, so the distribution-loss difference does not apply.</t>
        </r>
      </text>
    </comment>
    <comment ref="A31" authorId="0" shapeId="0" xr:uid="{58AEAF6F-AFD6-4535-9FB6-24812389340E}">
      <text>
        <r>
          <rPr>
            <b/>
            <sz val="9"/>
            <color indexed="81"/>
            <rFont val="Tahoma"/>
            <family val="2"/>
          </rPr>
          <t>Dan O'Brien:</t>
        </r>
        <r>
          <rPr>
            <sz val="9"/>
            <color indexed="81"/>
            <rFont val="Tahoma"/>
            <family val="2"/>
          </rPr>
          <t xml:space="preserve">
Source: U.S. DOE, Quadrennial Technology Review 2015, Chapter 6 Technology Assessment 6I "Industrial Process Heating Systems", Table 6.I.1 "U.S. Manufacturing Industries Ranked by Process Heating Energy Use in 2010". Percent of process heating energy lost within sector: petroleum refining 18%, chemicals 23%, forest products 72%, iron and steel 46%, food and beverage 56%, cement 39%, glass 55%, fabricated metals 36%, plastics and rubber 23%, alumina and aluminum 45%, transportation equipment 35%, foundries 46%, computers/electronics 35%, textiles 56%, machinery 34%. All manufacturing: 7,204 TBtu process heating energy, ~2,538 TBtu losses (~35%). The same table reports electricity at only 5% (325 TBtu) of U.S. manufacturing process heating energy. https://www.energy.gov/sites/prod/files/2016/06/f32/QTR2015-6I-Process-Heating.pdf</t>
        </r>
      </text>
    </comment>
    <comment ref="B48" authorId="0" shapeId="0" xr:uid="{8244E1A2-6058-4C54-982D-8492DC7CDFAB}">
      <text>
        <r>
          <rPr>
            <b/>
            <sz val="9"/>
            <color indexed="81"/>
            <rFont val="Tahoma"/>
            <family val="2"/>
          </rPr>
          <t>Dan O'Brien:</t>
        </r>
        <r>
          <rPr>
            <sz val="9"/>
            <color indexed="81"/>
            <rFont val="Tahoma"/>
            <family val="2"/>
          </rPr>
          <t xml:space="preserve">
Central value from EAF energy balances: US EPA final report (Ref 39) — product steel 57% of input energy, slag 10%, off-gas 20%, remainder cooling/misc. Consistent with Kirschen et al. 2009, Energy (Ref 38): steel+slag enthalpies = 50-70% of output, cooling 10-20%, off-gas 15-35%. Low/high in C48/D48 span that range (steel-only basis). Basis matches the DOE metalcasting-style delivered efficiencies used for 200-1000 °C (theoretical product energy ÷ actual input). EAF used as proxy for the whole &gt;1000 °C electric band: iron &amp; steel is ~39% of band heat and EAFs are the dominant electric equipment; electric glass melting and induction are the minority balance. Prior method gave 76.6% ('High Temp'!G4), which is a best-practice-proximity ratio, not a delivered efficiency.</t>
        </r>
      </text>
    </comment>
    <comment ref="B55" authorId="0" shapeId="0" xr:uid="{C2951FBF-4EB1-4CEA-AE52-B020AE7E2691}">
      <text>
        <r>
          <rPr>
            <b/>
            <sz val="9"/>
            <color indexed="81"/>
            <rFont val="Tahoma"/>
            <family val="2"/>
          </rPr>
          <t>Dan O'Brien:</t>
        </r>
        <r>
          <rPr>
            <sz val="9"/>
            <color indexed="81"/>
            <rFont val="Tahoma"/>
            <family val="2"/>
          </rPr>
          <t xml:space="preserve">
WP1. Same mix as row 15 (duty-matched: boiler 55% / resistance oven 30% / induction 5% / IR 10%) but using the HIGH-efficiency column D6:D10 — electric boiler 99%, resistance oven 88% (DOE metalcasting electric reverberatory max 76% scaled to oven duty), induction 70% (DOE metalcasting: power-utilisation efficiency reached 70% by the 1990s and 'is not likely to increase significantly'), infrared 90% (DOE Sourcebook Table 3 short-wave/near-IR radiant efficiency). Electric-boiler slice carries the best-practice 5% distribution loss ('Combustion Efficiency'!B129), symmetric with the fossil boiler path.</t>
        </r>
      </text>
    </comment>
    <comment ref="D55" authorId="0" shapeId="0" xr:uid="{5A857811-171E-4F69-BE17-D7EE5DE827FC}">
      <text>
        <r>
          <rPr>
            <b/>
            <sz val="9"/>
            <color indexed="81"/>
            <rFont val="Tahoma"/>
            <family val="2"/>
          </rPr>
          <t>Dan O'Brien:</t>
        </r>
        <r>
          <rPr>
            <sz val="9"/>
            <color indexed="81"/>
            <rFont val="Tahoma"/>
            <family val="2"/>
          </rPr>
          <t xml:space="preserve">
Start-year file value for reference (SYIEUEFbIPaF!D2 = 1.247). Entered as a static value, not a link, to avoid an external workbook reference. Update if the start-year file changes.</t>
        </r>
      </text>
    </comment>
    <comment ref="B56" authorId="0" shapeId="0" xr:uid="{64576F31-35E2-4875-A30B-EA8A0B06811B}">
      <text>
        <r>
          <rPr>
            <b/>
            <sz val="9"/>
            <color indexed="81"/>
            <rFont val="Tahoma"/>
            <family val="2"/>
          </rPr>
          <t>Dan O'Brien:</t>
        </r>
        <r>
          <rPr>
            <sz val="9"/>
            <color indexed="81"/>
            <rFont val="Tahoma"/>
            <family val="2"/>
          </rPr>
          <t xml:space="preserve">
WP2. Same mix as row 16 (resistance furnace 55% / induction 40% / IR 5%) on the HIGH-efficiency column. Resistance furnace 76% = DOE metalcasting Table 19 maximum for the electric wet reverberatory furnace (range 59-76%, average 67.5%). Boiler share is zero in this band.</t>
        </r>
      </text>
    </comment>
    <comment ref="D56" authorId="0" shapeId="0" xr:uid="{1F261682-7B33-44B3-BF13-8DB01F86D94D}">
      <text>
        <r>
          <rPr>
            <b/>
            <sz val="9"/>
            <color indexed="81"/>
            <rFont val="Tahoma"/>
            <family val="2"/>
          </rPr>
          <t>Dan O'Brien:</t>
        </r>
        <r>
          <rPr>
            <sz val="9"/>
            <color indexed="81"/>
            <rFont val="Tahoma"/>
            <family val="2"/>
          </rPr>
          <t xml:space="preserve">
Start-year file value for reference (SYIEUEFbIPaF!E2 = 1.512). Static — see D55 note.</t>
        </r>
      </text>
    </comment>
    <comment ref="B57" authorId="0" shapeId="0" xr:uid="{15CD8307-F3FA-4697-9C5C-6EF7C65D924E}">
      <text>
        <r>
          <rPr>
            <b/>
            <sz val="9"/>
            <color indexed="81"/>
            <rFont val="Tahoma"/>
            <family val="2"/>
          </rPr>
          <t>Dan O'Brien:</t>
        </r>
        <r>
          <rPr>
            <sz val="9"/>
            <color indexed="81"/>
            <rFont val="Tahoma"/>
            <family val="2"/>
          </rPr>
          <t xml:space="preserve">
WP4. Best-practice delivered EAF efficiency. Kirschen et al. 2009 (Energy) report steel + slag enthalpies at 50-70% of EAF output energy, with water cooling 10-20% and off-gas 15-35%; 70% is the top of that range, achievable with scrap preheating, off-gas heat recovery, good refractory and short tap-to-tap times. The start-year file uses 57% (US EPA energy balance: product steel 57% of input) as the typical value. Suggested range 65-72%. NOTE: this replaces the theoretical-minimum ratio on the 'High Temp' tab (G4 = 84.3%) for output purposes — that ratio measures proximity to a thermodynamic floor, not delivered efficiency, and is not comparable with the 200-1000 °C delivered basis.</t>
        </r>
      </text>
    </comment>
    <comment ref="D57" authorId="0" shapeId="0" xr:uid="{E491425D-6889-4063-A687-EB9BFBDDA9C9}">
      <text>
        <r>
          <rPr>
            <b/>
            <sz val="9"/>
            <color indexed="81"/>
            <rFont val="Tahoma"/>
            <family val="2"/>
          </rPr>
          <t>Dan O'Brien:</t>
        </r>
        <r>
          <rPr>
            <sz val="9"/>
            <color indexed="81"/>
            <rFont val="Tahoma"/>
            <family val="2"/>
          </rPr>
          <t xml:space="preserve">
Start-year file value for reference (SYIEUEFbIPaF!F2 = 1.754). Static — see D55 note.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Dan O'Brien</author>
  </authors>
  <commentList>
    <comment ref="N3" authorId="0" shapeId="0" xr:uid="{DE2EF301-7AF7-4759-AD25-97C8CA331F4F}">
      <text>
        <r>
          <rPr>
            <b/>
            <sz val="9"/>
            <color indexed="81"/>
            <rFont val="Tahoma"/>
            <family val="2"/>
          </rPr>
          <t>Dan O'Brien:</t>
        </r>
        <r>
          <rPr>
            <sz val="9"/>
            <color indexed="81"/>
            <rFont val="Tahoma"/>
            <family val="2"/>
          </rPr>
          <t xml:space="preserve">
T6: Process-heating energy losses within sector, US DOE QTR 2015 Table 6.I.1 (Ref 36), mapped to this file's industry rows. Direct matches: food&amp;bev 56%, textiles 56%, forest products 72% (wood + pulp/paper), refining 18%, chemicals 23%, plastics/rubber 23%, glass 55%, cement 39%, iron&amp;steel 46%, alumina/aluminum 45% (other metals), fabricated metals 36% (metal products), computers/electronics 35%, machinery 34%, transport equipment 35%, Other Mfg 39%. Proxies flagged in individual cell notes. Used by the delivered-efficiency benchmark on 'Combustion Efficiency' rows 142-148.</t>
        </r>
      </text>
    </comment>
    <comment ref="N4" authorId="0" shapeId="0" xr:uid="{FC4BE0D6-AE11-4593-83F0-2210F041F649}">
      <text>
        <r>
          <rPr>
            <b/>
            <sz val="9"/>
            <color indexed="81"/>
            <rFont val="Tahoma"/>
            <family val="2"/>
          </rPr>
          <t>Dan O'Brien:</t>
        </r>
        <r>
          <rPr>
            <sz val="9"/>
            <color indexed="81"/>
            <rFont val="Tahoma"/>
            <family val="2"/>
          </rPr>
          <t xml:space="preserve">
Non-manufacturing (agriculture/forestry): QTR 'Other Mfg' 39% used as proxy.</t>
        </r>
      </text>
    </comment>
    <comment ref="N5" authorId="0" shapeId="0" xr:uid="{79D6F011-0036-4EEC-9054-79B3F4A9915F}">
      <text>
        <r>
          <rPr>
            <b/>
            <sz val="9"/>
            <color indexed="81"/>
            <rFont val="Tahoma"/>
            <family val="2"/>
          </rPr>
          <t>Dan O'Brien:</t>
        </r>
        <r>
          <rPr>
            <sz val="9"/>
            <color indexed="81"/>
            <rFont val="Tahoma"/>
            <family val="2"/>
          </rPr>
          <t xml:space="preserve">
Non-manufacturing (coal mining): 'Other Mfg' proxy; zero heat share, no effect.</t>
        </r>
      </text>
    </comment>
    <comment ref="N6" authorId="0" shapeId="0" xr:uid="{55DF7C3E-1436-472F-8E0C-44C5E2EC0C0C}">
      <text>
        <r>
          <rPr>
            <b/>
            <sz val="9"/>
            <color indexed="81"/>
            <rFont val="Tahoma"/>
            <family val="2"/>
          </rPr>
          <t>Dan O'Brien:</t>
        </r>
        <r>
          <rPr>
            <sz val="9"/>
            <color indexed="81"/>
            <rFont val="Tahoma"/>
            <family val="2"/>
          </rPr>
          <t xml:space="preserve">
Oil &amp; gas extraction: petroleum refining (18%) used as proxy — same fired-heater equipment class.</t>
        </r>
      </text>
    </comment>
    <comment ref="N7" authorId="0" shapeId="0" xr:uid="{9853EDEA-0830-4695-813A-D0C43B44639A}">
      <text>
        <r>
          <rPr>
            <b/>
            <sz val="9"/>
            <color indexed="81"/>
            <rFont val="Tahoma"/>
            <family val="2"/>
          </rPr>
          <t>Dan O'Brien:</t>
        </r>
        <r>
          <rPr>
            <sz val="9"/>
            <color indexed="81"/>
            <rFont val="Tahoma"/>
            <family val="2"/>
          </rPr>
          <t xml:space="preserve">
Non-manufacturing (mining): 'Other Mfg' proxy.</t>
        </r>
      </text>
    </comment>
    <comment ref="N10" authorId="0" shapeId="0" xr:uid="{673983BF-CFA3-4F5D-937C-A1488D2AA0A3}">
      <text>
        <r>
          <rPr>
            <b/>
            <sz val="9"/>
            <color indexed="81"/>
            <rFont val="Tahoma"/>
            <family val="2"/>
          </rPr>
          <t>Dan O'Brien:</t>
        </r>
        <r>
          <rPr>
            <sz val="9"/>
            <color indexed="81"/>
            <rFont val="Tahoma"/>
            <family val="2"/>
          </rPr>
          <t xml:space="preserve">
Forest products 72%. CAVEAT: dominated by biomass/black-liquor recovery boilers and steam systems, not NG furnace containment — biases the 200-500 C benchmark low. See 'Combustion Efficiency' C146 note.</t>
        </r>
      </text>
    </comment>
    <comment ref="N11" authorId="0" shapeId="0" xr:uid="{27683C25-2EC1-4783-9432-C5973740D1AF}">
      <text>
        <r>
          <rPr>
            <b/>
            <sz val="9"/>
            <color indexed="81"/>
            <rFont val="Tahoma"/>
            <family val="2"/>
          </rPr>
          <t>Dan O'Brien:</t>
        </r>
        <r>
          <rPr>
            <sz val="9"/>
            <color indexed="81"/>
            <rFont val="Tahoma"/>
            <family val="2"/>
          </rPr>
          <t xml:space="preserve">
Forest products 72% — same caveat as wood products (N10).</t>
        </r>
      </text>
    </comment>
    <comment ref="N26" authorId="0" shapeId="0" xr:uid="{12760869-0BF2-4D91-A674-C37AC0B42325}">
      <text>
        <r>
          <rPr>
            <b/>
            <sz val="9"/>
            <color indexed="81"/>
            <rFont val="Tahoma"/>
            <family val="2"/>
          </rPr>
          <t>Dan O'Brien:</t>
        </r>
        <r>
          <rPr>
            <sz val="9"/>
            <color indexed="81"/>
            <rFont val="Tahoma"/>
            <family val="2"/>
          </rPr>
          <t xml:space="preserve">
Non-manufacturing: 'Other Mfg' proxy; zero heat share.</t>
        </r>
      </text>
    </comment>
    <comment ref="N27" authorId="0" shapeId="0" xr:uid="{D940B842-E346-4115-8944-89800AB89884}">
      <text>
        <r>
          <rPr>
            <b/>
            <sz val="9"/>
            <color indexed="81"/>
            <rFont val="Tahoma"/>
            <family val="2"/>
          </rPr>
          <t>Dan O'Brien:</t>
        </r>
        <r>
          <rPr>
            <sz val="9"/>
            <color indexed="81"/>
            <rFont val="Tahoma"/>
            <family val="2"/>
          </rPr>
          <t xml:space="preserve">
Non-manufacturing: 'Other Mfg' proxy.</t>
        </r>
      </text>
    </comment>
    <comment ref="N28" authorId="0" shapeId="0" xr:uid="{0411454E-248D-4F70-BF52-8263D2C864CD}">
      <text>
        <r>
          <rPr>
            <b/>
            <sz val="9"/>
            <color indexed="81"/>
            <rFont val="Tahoma"/>
            <family val="2"/>
          </rPr>
          <t>Dan O'Brien:</t>
        </r>
        <r>
          <rPr>
            <sz val="9"/>
            <color indexed="81"/>
            <rFont val="Tahoma"/>
            <family val="2"/>
          </rPr>
          <t xml:space="preserve">
Non-manufacturing (construction): 'Other Mfg' proxy.</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<sst xmlns="http://schemas.openxmlformats.org/spreadsheetml/2006/main" count="905" uniqueCount="703">
  <si>
    <t>Source:</t>
  </si>
  <si>
    <t>Unit: dimensionless</t>
  </si>
  <si>
    <t>Notes</t>
  </si>
  <si>
    <t xml:space="preserve">subscripted by industrial process and fuel. </t>
  </si>
  <si>
    <t>electricity if</t>
  </si>
  <si>
    <t>hard coal if</t>
  </si>
  <si>
    <t>natural gas if</t>
  </si>
  <si>
    <t>biomass if</t>
  </si>
  <si>
    <t>petroleum diesel if</t>
  </si>
  <si>
    <t>heat if</t>
  </si>
  <si>
    <t>crude oil if</t>
  </si>
  <si>
    <t>heavy or residual fuel oil if</t>
  </si>
  <si>
    <t>LPG propane or butane if</t>
  </si>
  <si>
    <t>hydrogen if</t>
  </si>
  <si>
    <t>Cooling</t>
  </si>
  <si>
    <t>Machine Drive</t>
  </si>
  <si>
    <t>Other process</t>
  </si>
  <si>
    <t xml:space="preserve">COP: </t>
  </si>
  <si>
    <t>Based on Arpagaus et al. curve, assuming a temperature lift of around 55 C (e.g., industries using waste heat as the heat source, boosting 45 C to 100 C or similar)</t>
  </si>
  <si>
    <t>Industrial heat pump efficiency</t>
  </si>
  <si>
    <t>Arpagaus et al.</t>
  </si>
  <si>
    <t>High temperature heat pumps: Market overview, state of the art, research status, refrigerants, and application potentials</t>
  </si>
  <si>
    <t>https://www.sciencedirect.com/science/article/pii/S0360544218305759</t>
  </si>
  <si>
    <t>Figure 8</t>
  </si>
  <si>
    <t>Energy Information Administration</t>
  </si>
  <si>
    <t>Assumptions to the Annual Energy Outlook 2025: Industrial Demand Module</t>
  </si>
  <si>
    <t>https://www.eia.gov/outlooks/aeo/assumptions/</t>
  </si>
  <si>
    <t>Table 3</t>
  </si>
  <si>
    <t>Energy Intensity Improvements</t>
  </si>
  <si>
    <t>UEC 2018 (trillion British thermal</t>
  </si>
  <si>
    <t>REI 2050</t>
  </si>
  <si>
    <t>improvement</t>
  </si>
  <si>
    <t>End use</t>
  </si>
  <si>
    <t>Fuel</t>
  </si>
  <si>
    <t>units per billion 2012$ of shipments)</t>
  </si>
  <si>
    <t>existing</t>
  </si>
  <si>
    <t>new REI</t>
  </si>
  <si>
    <t>over model run</t>
  </si>
  <si>
    <t>annual improvement</t>
  </si>
  <si>
    <t>Heat</t>
  </si>
  <si>
    <t>Natural gas</t>
  </si>
  <si>
    <t>Electricity</t>
  </si>
  <si>
    <t>Steam</t>
  </si>
  <si>
    <t>Refrigeration</t>
  </si>
  <si>
    <t>Machine drive</t>
  </si>
  <si>
    <t>Electrochemical</t>
  </si>
  <si>
    <t>processes Other</t>
  </si>
  <si>
    <t>Other</t>
  </si>
  <si>
    <t>Diesel</t>
  </si>
  <si>
    <t>Energy intensity</t>
  </si>
  <si>
    <t>Efficiency</t>
  </si>
  <si>
    <t>level by horsepower range. Premium Efficiency levels</t>
  </si>
  <si>
    <t>Motor Size Bin</t>
  </si>
  <si>
    <t>(%)</t>
  </si>
  <si>
    <t>86.4—90.1</t>
  </si>
  <si>
    <t>[6.0, 21.0)</t>
  </si>
  <si>
    <t>89.2_93.1</t>
  </si>
  <si>
    <t>92_94.7</t>
  </si>
  <si>
    <t>94.1-95.9</t>
  </si>
  <si>
    <t>Average Efficiency of Industrial Installed Base (%)</t>
  </si>
  <si>
    <t>Average Efficiency of Commercial Installed Base (%)</t>
  </si>
  <si>
    <t>94.5_96.2</t>
  </si>
  <si>
    <t>94.5-96.2</t>
  </si>
  <si>
    <t>N/A</t>
  </si>
  <si>
    <t>[1.0, 6.0)</t>
  </si>
  <si>
    <t>[21.0. 51.0)</t>
  </si>
  <si>
    <t>[51.0, 101.0)</t>
  </si>
  <si>
    <t>[101.0, 201.0)</t>
  </si>
  <si>
    <t>[201.0. 501.0)</t>
  </si>
  <si>
    <t>[501.0, 1,001.0)</t>
  </si>
  <si>
    <t>[1,001.0, 2,001.0)</t>
  </si>
  <si>
    <t>[2,001.0, 5,001.0)</t>
  </si>
  <si>
    <t>[5,001.0, ino</t>
  </si>
  <si>
    <t>Premium Efficiency Performance Level (%)</t>
  </si>
  <si>
    <t>Annual Electricity Consumption (TWh/yr)</t>
  </si>
  <si>
    <t>Industry-wide Efficiency</t>
  </si>
  <si>
    <t>Potential</t>
  </si>
  <si>
    <t>advanced motor % improvement at full load (permanent magnet)</t>
  </si>
  <si>
    <t xml:space="preserve">Implementation of variable frequency drives on variably underloaded motor systems </t>
  </si>
  <si>
    <t>reduction in motor drive efficiency due to low load inefficiency</t>
  </si>
  <si>
    <t>https://www.epa.gov/general-conformity/general-conformity-training-modules-appendix-sample-emissions-calculations</t>
  </si>
  <si>
    <t>Avg Energy Intensity</t>
  </si>
  <si>
    <t>https://www.energy.gov/sites/prod/files/2017/06/f35/CHP-Absorption%20Chiller-compliant.pdf</t>
  </si>
  <si>
    <t>Chiller</t>
  </si>
  <si>
    <r>
      <t>COP = 3.516/(</t>
    </r>
    <r>
      <rPr>
        <sz val="11"/>
        <color theme="1"/>
        <rFont val="Aptos Narrow"/>
        <family val="2"/>
        <scheme val="minor"/>
      </rPr>
      <t>kW</t>
    </r>
    <r>
      <rPr>
        <sz val="8"/>
        <color rgb="FF444444"/>
        <rFont val="Segoeui"/>
      </rPr>
      <t>/ton)</t>
    </r>
  </si>
  <si>
    <t>Electric chillers</t>
  </si>
  <si>
    <t>Florida Power &amp; Light</t>
  </si>
  <si>
    <t>undated</t>
  </si>
  <si>
    <t>Water-Cooled Chillers</t>
  </si>
  <si>
    <t>https://www.fpl.com/content/dam/fplgp/us/en/business/save/programs/pdf/water-cooled-chillers-primer.pdf</t>
  </si>
  <si>
    <t>Natural gas-fired chillers</t>
  </si>
  <si>
    <t>EnergistX</t>
  </si>
  <si>
    <t>500 Ton Natural Gas-Fired Absorption Chiller replacement of Aged Centrifugal Electric Chiller</t>
  </si>
  <si>
    <t>https://enrgistx.com/natural-gas-fired-chillers/</t>
  </si>
  <si>
    <t>positive</t>
  </si>
  <si>
    <t>&lt;75 t</t>
  </si>
  <si>
    <t>75-150</t>
  </si>
  <si>
    <t>150-300</t>
  </si>
  <si>
    <t>&gt;300</t>
  </si>
  <si>
    <t>centrifugal</t>
  </si>
  <si>
    <t>&lt;150</t>
  </si>
  <si>
    <t>300-600</t>
  </si>
  <si>
    <t>&gt;600t</t>
  </si>
  <si>
    <t>kW/t</t>
  </si>
  <si>
    <t>COP</t>
  </si>
  <si>
    <t>Avg COP</t>
  </si>
  <si>
    <t>indst/BIEEI</t>
  </si>
  <si>
    <t>Table 3: Energy efficiency of the installed base compared to the Premium Efficiency performance</t>
  </si>
  <si>
    <t>Example w/ efficiency of 0.48-0.55 kW/ton</t>
  </si>
  <si>
    <t>http://heattreatconsortium.com/metals-advisor/electric-arc-furnace/electric-arc-furnace-energy-consumption/#:~:text=Energy%20consumption%20varies%20from%20350-700%20kWh/ton%20of,burners%20reduces%20electric%20consumption%20to%20425%20kWh/ton.</t>
  </si>
  <si>
    <t>Electric arc furnaces</t>
  </si>
  <si>
    <t>HeatTreat Technologies</t>
  </si>
  <si>
    <t>Electric Arc Furnace: Energy Consumption</t>
  </si>
  <si>
    <t>standard EAF energy intensity:</t>
  </si>
  <si>
    <t>https://usea.org/sites/default/files/012012_CO2%20abatement%20in%20the%20iron%20and%20steel%20industry_ccc193.pdf</t>
  </si>
  <si>
    <t>kWh/ton</t>
  </si>
  <si>
    <t>theoretical minimum</t>
  </si>
  <si>
    <t>https://www.advancedenergy.com/en-us/about/news/blog/improving-scrap-steel-efficiency-with-arc-furnace-optimization-techniques/</t>
  </si>
  <si>
    <t>https://www.chnzbtech.com/news/electric-arc-furnace-in-steel-making.html</t>
  </si>
  <si>
    <t>Avg:</t>
  </si>
  <si>
    <t>Electric Arc Furnaces</t>
  </si>
  <si>
    <t>Coal cement kilns</t>
  </si>
  <si>
    <t>https://www.sciencedirect.com/science/article/abs/pii/S0196890414007596</t>
  </si>
  <si>
    <t>alkaline water electrolyzer efficiency</t>
  </si>
  <si>
    <t>Natural gas glass-melting furnace</t>
  </si>
  <si>
    <t>current energy intensity</t>
  </si>
  <si>
    <t>kWh/tonne</t>
  </si>
  <si>
    <t>practical minimum energy intensity</t>
  </si>
  <si>
    <t>"thermal efficiency"</t>
  </si>
  <si>
    <t>kiln energy intensity (w/o waste heat capture)</t>
  </si>
  <si>
    <t>kiln energy intensity (incl waste heat capture)</t>
  </si>
  <si>
    <t>https://www.energy.gov/eere/fuelcells/technical-targets-liquid-alkaline-electrolysis</t>
  </si>
  <si>
    <t>long-term target efficiency</t>
  </si>
  <si>
    <t>https://www.energy.gov/eere/fuelcells/technical-targets-proton-exchange-membrane-electrolysis</t>
  </si>
  <si>
    <t>intensity</t>
  </si>
  <si>
    <t>energy intensity</t>
  </si>
  <si>
    <t>Assumption</t>
  </si>
  <si>
    <t>IEMUEF Industrial Equipment Minimum Unit Energy Factor</t>
  </si>
  <si>
    <t>This file should contain the minimum theoretical unit energy factors for industrial equipment</t>
  </si>
  <si>
    <t>Max COP</t>
  </si>
  <si>
    <t xml:space="preserve">showed a 21 percent efficiency improvement in a large Miami office building cooled by a single </t>
  </si>
  <si>
    <t>Min Intensity</t>
  </si>
  <si>
    <t xml:space="preserve">"For example, ASHRAE computer simulations run during the development of Addendum m </t>
  </si>
  <si>
    <t>600-ton water-cooled centrifugal chiller with a VFD, compared to a constant-speed chiller."</t>
  </si>
  <si>
    <t>long-term average</t>
  </si>
  <si>
    <t>Diesel generator / NG combustion turbine max efficiency</t>
  </si>
  <si>
    <t>start year assumption</t>
  </si>
  <si>
    <t>energy intensity (MIN)</t>
  </si>
  <si>
    <t>Ag tractors (mobile equipment)</t>
  </si>
  <si>
    <t>Tractor</t>
  </si>
  <si>
    <t>η</t>
  </si>
  <si>
    <t>nom P [kW]</t>
  </si>
  <si>
    <t>nom w [rpm]</t>
  </si>
  <si>
    <t>reference</t>
  </si>
  <si>
    <r>
      <t xml:space="preserve">ref 19 // </t>
    </r>
    <r>
      <rPr>
        <i/>
        <sz val="11"/>
        <color theme="1"/>
        <rFont val="Aptos Narrow"/>
        <family val="2"/>
        <scheme val="minor"/>
      </rPr>
      <t>open circles are added via post processing and represent the weighted</t>
    </r>
  </si>
  <si>
    <t>unkn.</t>
  </si>
  <si>
    <t>average load &amp; engine speeds from ref 20 scaled by nominal engine speeds</t>
  </si>
  <si>
    <t>4WD / MFWD</t>
  </si>
  <si>
    <t>245/127</t>
  </si>
  <si>
    <t xml:space="preserve">Electric </t>
  </si>
  <si>
    <t>PM Electric Motor</t>
  </si>
  <si>
    <t>150 (overload)</t>
  </si>
  <si>
    <t>charging adjusted</t>
  </si>
  <si>
    <t>22,25</t>
  </si>
  <si>
    <t>Custom autonomous</t>
  </si>
  <si>
    <t>Simulated autonomous</t>
  </si>
  <si>
    <t>Reduction in fuel use</t>
  </si>
  <si>
    <t>Average</t>
  </si>
  <si>
    <r>
      <t xml:space="preserve">ref 21 // </t>
    </r>
    <r>
      <rPr>
        <i/>
        <sz val="11"/>
        <color theme="1"/>
        <rFont val="Aptos Narrow"/>
        <family val="2"/>
        <scheme val="minor"/>
      </rPr>
      <t>open circles are added via post processing and represent the weighted</t>
    </r>
  </si>
  <si>
    <t>Ref 20</t>
  </si>
  <si>
    <t>(from figure)</t>
  </si>
  <si>
    <t>Tables 2-5</t>
  </si>
  <si>
    <t>weighted values</t>
  </si>
  <si>
    <t>max t at speed</t>
  </si>
  <si>
    <t>load (fig 16)</t>
  </si>
  <si>
    <t>speed on fig 2</t>
  </si>
  <si>
    <t>speed on fig 14</t>
  </si>
  <si>
    <t>torque on fig 2</t>
  </si>
  <si>
    <t>torque on fig 14</t>
  </si>
  <si>
    <t>% of total field time</t>
  </si>
  <si>
    <t>weighted average torque %</t>
  </si>
  <si>
    <t>weighted average engine speed</t>
  </si>
  <si>
    <t>weighted-average torque</t>
  </si>
  <si>
    <t>weighted-average engine speed</t>
  </si>
  <si>
    <t>Field operation</t>
  </si>
  <si>
    <t>t (%)</t>
  </si>
  <si>
    <t>w (s^-1)</t>
  </si>
  <si>
    <t>TS-I</t>
  </si>
  <si>
    <t>TS-II</t>
  </si>
  <si>
    <t>TS-III</t>
  </si>
  <si>
    <t>NH3 application</t>
  </si>
  <si>
    <t>Field cultivation</t>
  </si>
  <si>
    <t>Corn planting</t>
  </si>
  <si>
    <t>Reference Number</t>
  </si>
  <si>
    <t>Author</t>
  </si>
  <si>
    <t>Year</t>
  </si>
  <si>
    <t>Document</t>
  </si>
  <si>
    <t>URL</t>
  </si>
  <si>
    <t>Page or Table</t>
  </si>
  <si>
    <t>U.S. Department of Energy</t>
  </si>
  <si>
    <t>D. Friso</t>
  </si>
  <si>
    <t>Brake Thermal Efficiency and BSFC of Diesel  Engines: Mathematical Modeling and Comparison  between Diesel Oil and Biodiesel Fueling</t>
  </si>
  <si>
    <t>https://www.m-hikari.com/ams/ams-2014/ams-129-132-2014/frisoAMS129-132-2014-1.pdf</t>
  </si>
  <si>
    <t>S. Pitla, J.D. Luck, J. Werner, N. Line, S.A. Shearer</t>
  </si>
  <si>
    <t xml:space="preserve">In-field fuel use and load states of agricultural field machinery </t>
  </si>
  <si>
    <t>https://www.sciencedirect.com/science/article/pii/S0168169916000041</t>
  </si>
  <si>
    <t>D. Troncon, L. Alberti</t>
  </si>
  <si>
    <t>Case of Study of the Electrification of a Tractor: Electric Motor Performance Requirements and Design</t>
  </si>
  <si>
    <t>https://www.mdpi.com/1996-1073/13/9/2197</t>
  </si>
  <si>
    <t>Z. Shao, S. Anup</t>
  </si>
  <si>
    <t>Incentives for electrifying agricultural tractors in India</t>
  </si>
  <si>
    <t>https://theicct.org/publication/india-hvs-evs-incentives-elec-tractors-india-oct22/</t>
  </si>
  <si>
    <t>O. Lagnelov et al.</t>
  </si>
  <si>
    <t>Cost analysis of autonomous battery electric field tractors in agriculture</t>
  </si>
  <si>
    <t>https://pub.epsilon.slu.se/id/document/20368600</t>
  </si>
  <si>
    <t>J. Engstrom and O. Lagnelov</t>
  </si>
  <si>
    <t>An Autonomous Electric Powered Tractor—Simulation of All Operations on a Swedish Dairy Farm</t>
  </si>
  <si>
    <t>https://www.davidpublisher.com/Public/uploads/Contribute/5ba1b8c2036b0.pdf</t>
  </si>
  <si>
    <t>Where the Energy Goes: Electric Cars</t>
  </si>
  <si>
    <t>https://www.fueleconomy.gov/feg/atv-ev.shtml</t>
  </si>
  <si>
    <t>Agricultural tractor efficiency development as a sustainable model and evaluating the implementation of its automation operations: a case study</t>
  </si>
  <si>
    <t>https://www.tandfonline.com/doi/pdf/10.1080/14735903.2025.2546703</t>
  </si>
  <si>
    <t>I. Herranz-Matey, L. Ruiz-Garcia</t>
  </si>
  <si>
    <t>Present day efficiencies</t>
  </si>
  <si>
    <t>-</t>
  </si>
  <si>
    <t># generations</t>
  </si>
  <si>
    <t>yr/generation</t>
  </si>
  <si>
    <t>linear coef.</t>
  </si>
  <si>
    <t>change/yr</t>
  </si>
  <si>
    <t>Historical Change in Tractor Energy Intensity</t>
  </si>
  <si>
    <t>Assume minimum E factor is if historical efficiency gains continue through the model run</t>
  </si>
  <si>
    <t>For electricity, scale this efficiency improvement by the ratio of electricity to combustion improvements</t>
  </si>
  <si>
    <t>in the AEO baseline.</t>
  </si>
  <si>
    <t>Electric</t>
  </si>
  <si>
    <t>https://www.mordorintelligence.com/industry-reports/industrial-lighting-market</t>
  </si>
  <si>
    <t>Industrial lighting market</t>
  </si>
  <si>
    <t>LED</t>
  </si>
  <si>
    <t>Fluorescent</t>
  </si>
  <si>
    <t>HID fixtures</t>
  </si>
  <si>
    <t>OLED</t>
  </si>
  <si>
    <t>https://www.gelighting.com/inform/guide-energy-efficient-light-bulbs</t>
  </si>
  <si>
    <t>Bulb efficiencies</t>
  </si>
  <si>
    <t>Fluoresecent</t>
  </si>
  <si>
    <t>Incandescent</t>
  </si>
  <si>
    <t>HID</t>
  </si>
  <si>
    <t>(assumption)</t>
  </si>
  <si>
    <t>Max effic</t>
  </si>
  <si>
    <t>Avg effic</t>
  </si>
  <si>
    <t>assumption for LEDs</t>
  </si>
  <si>
    <t>Facility HVAC</t>
  </si>
  <si>
    <t>Facility lighting</t>
  </si>
  <si>
    <t>Other nonprocess</t>
  </si>
  <si>
    <t>Lighting is powered by electricity. To use other fuels one can use a generator</t>
  </si>
  <si>
    <t>Avg efficiency</t>
  </si>
  <si>
    <t>Avg intensity</t>
  </si>
  <si>
    <t xml:space="preserve">We assume a 35% generator efficiency to start. Assume a 5% improvement for best possible. </t>
  </si>
  <si>
    <t>min intensity</t>
  </si>
  <si>
    <t>Combustion Efficiency Without Waste Heat Recovery</t>
  </si>
  <si>
    <t>Low-Temp Data</t>
  </si>
  <si>
    <t>Source</t>
  </si>
  <si>
    <t>Ratio Relative to Natural Gas</t>
  </si>
  <si>
    <t>Coal-fired boiler or furnace (&lt;500 °C)</t>
  </si>
  <si>
    <t>Petroleum-fired boiler or furnace  (&lt;500 °C)</t>
  </si>
  <si>
    <t>Natural gas-fired boiler or furnace (&lt;500 °C)</t>
  </si>
  <si>
    <t>DOE Temperature vs. Efficiency Curve</t>
  </si>
  <si>
    <t>https://www.energy.gov/sites/prod/files/2016/04/f30/Improving%20Process%20Heating%20System%20Performance%20A%20Sourcebook%20for%20Industry%20Third%20Edition_0.pdf</t>
  </si>
  <si>
    <t>We select a reference temperature to represent each temperature band in this study. We pick temperatures that line up with one of the</t>
  </si>
  <si>
    <t>200-F increment lines in the DOE figure above and that are close to the center of each temperature band. (The temperature bands are</t>
  </si>
  <si>
    <t>defined in Celsius.)</t>
  </si>
  <si>
    <t>Then we choose the value on the 10% excess air curve from the DOE figure above.  We use the 10% curve because</t>
  </si>
  <si>
    <t>DOE indicates: "Most high temperature direct-fired furnaces, radiant tubes, and boilers operate with about 10% to 20% excess combustion air at high fire to prevent the formation of dangerous carbon monoxide and soot deposits on heat transfer surfaces and inside radiant tubes."</t>
  </si>
  <si>
    <t>Temperature band from this study</t>
  </si>
  <si>
    <t>Reference temp. (F)</t>
  </si>
  <si>
    <t>Reference temp (C)</t>
  </si>
  <si>
    <t>Efficiency from DOE Curve</t>
  </si>
  <si>
    <t>Note</t>
  </si>
  <si>
    <t>&lt;100 C</t>
  </si>
  <si>
    <t>Extrapolated from DOE efficiency curve, which does not go lower than 300 F</t>
  </si>
  <si>
    <t>100-200 C</t>
  </si>
  <si>
    <t>200-500 C</t>
  </si>
  <si>
    <t>500-1000 C</t>
  </si>
  <si>
    <t>1000-1800 C</t>
  </si>
  <si>
    <t>Fuel Type Adjustments</t>
  </si>
  <si>
    <t>Coal efficiency</t>
  </si>
  <si>
    <t>Petroleum efficiency</t>
  </si>
  <si>
    <t>NG efficiency</t>
  </si>
  <si>
    <t>&lt;100 °C</t>
  </si>
  <si>
    <t>100-200 °C</t>
  </si>
  <si>
    <t>200-500 °C</t>
  </si>
  <si>
    <t>500-1000 °C</t>
  </si>
  <si>
    <t>1000-1800 °C</t>
  </si>
  <si>
    <t>Combustion Efficiency With Waste Heat Recovery</t>
  </si>
  <si>
    <t>Efficiency Curve for Equipment with Waste Heat Recovery</t>
  </si>
  <si>
    <t>https://www.chinesestandard.net/PDF.aspx/GB24500-2020</t>
  </si>
  <si>
    <t>Reference temp. (°C)</t>
  </si>
  <si>
    <t>Blended Efficiency (WHR penetration weighted)</t>
  </si>
  <si>
    <t>WHR penetration</t>
  </si>
  <si>
    <t>Temperature (°C)</t>
  </si>
  <si>
    <t>No Waste Heat Recovery</t>
  </si>
  <si>
    <t>Plug-in or Central Heat Exchanger</t>
  </si>
  <si>
    <t>Recuperative Burner</t>
  </si>
  <si>
    <t>Regenerative Burner</t>
  </si>
  <si>
    <t>Theoretical Maximum Efficiency</t>
  </si>
  <si>
    <t>Stephen R. Mickey</t>
  </si>
  <si>
    <t>Efficient Gas Heating of Industrial Furnaces</t>
  </si>
  <si>
    <t>https://thermalprocessing.com/efficient-gas-heating-of-industrial-furnaces/</t>
  </si>
  <si>
    <t>Best COP (100-200 °C):</t>
  </si>
  <si>
    <t>Direct electric heating efficiency (200-1000 °C, resistance/induction)</t>
  </si>
  <si>
    <t>&gt;1000 °C</t>
  </si>
  <si>
    <t>Combustion efficiency by temperature</t>
  </si>
  <si>
    <t>Check Burner Air-to-Fuel Ratios (Process Heating Tip Sheet)</t>
  </si>
  <si>
    <t>https://www.energy.gov/sites/prod/files/2014/05/f16/check_burner_air2.pdf</t>
  </si>
  <si>
    <t>Direct electric heating efficiency</t>
  </si>
  <si>
    <t>Assumption (this study)</t>
  </si>
  <si>
    <t>—</t>
  </si>
  <si>
    <t>Resistance/induction/infrared, ~99% at point of use (200-1000 °C, best case)</t>
  </si>
  <si>
    <t>Technology</t>
  </si>
  <si>
    <t>Combined heating and cooling heat pump, up to 80 °C, Temp lift = 75 K</t>
  </si>
  <si>
    <t>year</t>
  </si>
  <si>
    <t>Ref</t>
  </si>
  <si>
    <t>est</t>
  </si>
  <si>
    <t>ctrl</t>
  </si>
  <si>
    <t>lower</t>
  </si>
  <si>
    <t>upper</t>
  </si>
  <si>
    <t>cat</t>
  </si>
  <si>
    <t>par</t>
  </si>
  <si>
    <t>Energy/technical data</t>
  </si>
  <si>
    <t>Heat generation capacity for one unit [MW]</t>
  </si>
  <si>
    <t>A</t>
  </si>
  <si>
    <t>[1, 2]</t>
  </si>
  <si>
    <t>Total efficiency, net [%], nominel load</t>
  </si>
  <si>
    <t>B</t>
  </si>
  <si>
    <t>[1, 3]</t>
  </si>
  <si>
    <t>Total efficiency, net [%], annual average</t>
  </si>
  <si>
    <t>B,C</t>
  </si>
  <si>
    <t>Auxiliary electricity consumption [% of heat gen]</t>
  </si>
  <si>
    <t>Forced outage [%]</t>
  </si>
  <si>
    <t>D</t>
  </si>
  <si>
    <t>Planned outage [weeks per year]</t>
  </si>
  <si>
    <t>Technical lifetime [years]</t>
  </si>
  <si>
    <t>Construction time [years]</t>
  </si>
  <si>
    <t>Regulation Ability</t>
  </si>
  <si>
    <t>Minimum load [% of full load]</t>
  </si>
  <si>
    <t>Warm start-up time [hours]</t>
  </si>
  <si>
    <t>Cold start-up time [hours]</t>
  </si>
  <si>
    <t xml:space="preserve">Financial data                                 </t>
  </si>
  <si>
    <t>Nominal investment [M€/MW]</t>
  </si>
  <si>
    <t xml:space="preserve"> - of which equipment [%]</t>
  </si>
  <si>
    <t>E</t>
  </si>
  <si>
    <t xml:space="preserve"> - of which installation and other costs [%]</t>
  </si>
  <si>
    <t>F</t>
  </si>
  <si>
    <t>Fixed O&amp;M [€/MJ/s/year]</t>
  </si>
  <si>
    <t>Variable O&amp;M [€/MWh]</t>
  </si>
  <si>
    <t>Technology-specific data</t>
  </si>
  <si>
    <t>Indirect investments cost [M€/MW]</t>
  </si>
  <si>
    <t>H</t>
  </si>
  <si>
    <t>Non energy gains [M€/MW]</t>
  </si>
  <si>
    <t>Startup cost [€/MW/startup]</t>
  </si>
  <si>
    <t>Temperature heat source supply [°C]</t>
  </si>
  <si>
    <t>I</t>
  </si>
  <si>
    <t>Temperature heat source return [°C]</t>
  </si>
  <si>
    <t>Cooling generation capacity for one unit [MW]</t>
  </si>
  <si>
    <t>Notes:</t>
  </si>
  <si>
    <t>0,5-5 MW</t>
  </si>
  <si>
    <t>Estimated based on cases presented in [3]</t>
  </si>
  <si>
    <t>C</t>
  </si>
  <si>
    <t>Based on lost produktion during startup/shutdown</t>
  </si>
  <si>
    <t xml:space="preserve">May vary depending on heat source availability </t>
  </si>
  <si>
    <t>Very individual, can vary ÷ 20 %</t>
  </si>
  <si>
    <t>Very individual, can vary + 20 %</t>
  </si>
  <si>
    <t>G</t>
  </si>
  <si>
    <t xml:space="preserve">Based on the old technology catalogue on process heat from 2020. </t>
  </si>
  <si>
    <t>Going from current implementation to potential</t>
  </si>
  <si>
    <t>Uses waste heat</t>
  </si>
  <si>
    <t>References</t>
  </si>
  <si>
    <t>Viegand Maagøe, 2019.</t>
  </si>
  <si>
    <t>Danish Enegy Agency, Technology Data - Energy Plants for Electricity and District heating generation, 2025</t>
  </si>
  <si>
    <t xml:space="preserve"> EHPA, Large Scale heat pumps in Europe, 2019</t>
  </si>
  <si>
    <t>High-temperature heat pumps up to 150 °C</t>
  </si>
  <si>
    <t>Total efficiency, net [%], nominel load. Based on a temperature lift of 65 K</t>
  </si>
  <si>
    <t>C, H</t>
  </si>
  <si>
    <t>Forced outage [days]</t>
  </si>
  <si>
    <t>Space requirement [1000 m2/MW_e]</t>
  </si>
  <si>
    <t>Regulation ability</t>
  </si>
  <si>
    <t>Primary regulation (of full load, per 30 seconds) []</t>
  </si>
  <si>
    <t>Secondary regulation (of full load, per minute) []</t>
  </si>
  <si>
    <t>Minimum load (of full load) []</t>
  </si>
  <si>
    <t>Financial data</t>
  </si>
  <si>
    <t>Nominal investment (*total) [MEUR/MW]</t>
  </si>
  <si>
    <t xml:space="preserve"> - of which installation [%]</t>
  </si>
  <si>
    <t>Fixed O&amp;M  [EUR/MW_y], from last update in 2019</t>
  </si>
  <si>
    <t>Variable O&amp;M [EUR/MWh], from last update in 2019</t>
  </si>
  <si>
    <t>Technology dependent</t>
  </si>
  <si>
    <t xml:space="preserve">Indirect investment cost [M€/MW] </t>
  </si>
  <si>
    <t xml:space="preserve"> - Steam generation decreases COP [%-point]</t>
  </si>
  <si>
    <t>[1, 4]</t>
  </si>
  <si>
    <t xml:space="preserve"> - Steam generation increases equipment cost by [MEUR/MW]</t>
  </si>
  <si>
    <t xml:space="preserve"> - Additional equipment cost for temperature lift above 75 K [MEUR/MW]</t>
  </si>
  <si>
    <t xml:space="preserve"> - Total efficiency, net [%], nominel load. Based on a temperature lift of 40 K</t>
  </si>
  <si>
    <t xml:space="preserve"> - Total efficiency, net [%], nominel load. Based on a temperature lift of 80 K</t>
  </si>
  <si>
    <t xml:space="preserve"> - Total efficiency, net [%], nominel load. Based on a temperature lift of 100 K</t>
  </si>
  <si>
    <t>Depends on production infrastructure. If HTHP replaces another HTHP, there will be lower investment in new installation</t>
  </si>
  <si>
    <t>Unit sizes vary a lot and depends on production infrastructure. Lower capacities for specific production processes and higher capacities for central hot water supply</t>
  </si>
  <si>
    <t>Efficiency depends on temperature lift of HTHP. High temperature lift reduces COP.</t>
  </si>
  <si>
    <t>Both depends on lifetime of parts and new technology with higher efficiencies leading to replacement of existing systems</t>
  </si>
  <si>
    <t>Expected to be lower in future when serial production is gaining traction</t>
  </si>
  <si>
    <t>HTHPs are frequency controlled but typically a higher minimum load means smaller losses in COP</t>
  </si>
  <si>
    <t>Expected to be lower in future due to serial production and better integration knowledge</t>
  </si>
  <si>
    <t>Efficiency depends on technology of HTHP and production processes</t>
  </si>
  <si>
    <t xml:space="preserve">Relevant when needing to install new hot water piping instead of existing steam piping.  Assumed similar to gas boiler. </t>
  </si>
  <si>
    <t>References:</t>
  </si>
  <si>
    <t>Danish Technological Institute</t>
  </si>
  <si>
    <t>Jensen, J., Elmegaard, B., and Markussen, W. Industrial heat pumps for high temperature process applications.: A numerical study of the ammonia-water hybrid absorption-compression heat pump. PhD thesis. ,2016</t>
  </si>
  <si>
    <t>Viegand Maagøe</t>
  </si>
  <si>
    <t>Annex 58</t>
  </si>
  <si>
    <t>The ε = 0 curve roughly corresponds to the 10% excess air curve on the DOE graph above. On these curves, ε is the fraction of available waste heat</t>
  </si>
  <si>
    <t>recovered. The Mickey/Thermal Processing burner-efficiency curves distinguish burner-integral (UNIT-level) recovery from system-level recovery:</t>
  </si>
  <si>
    <t xml:space="preserve">  •  ε = 0.6  =  Recuperative burners (burner-integral WHR — this file's baseline with-recovery class)</t>
  </si>
  <si>
    <t xml:space="preserve">  •  ε = 0.8  =  Regenerative burners (burner-integral WHR — established practice for glass furnaces, steel stoves/reheat, other &gt;500 °C furnaces)</t>
  </si>
  <si>
    <t xml:space="preserve">  •  ε = 0.4  =  Central heat exchangers / fired-heater air preheaters = SYSTEM WHR — EXCLUDED from this unit-equipment file.</t>
  </si>
  <si>
    <t>We take the with-recovery efficiency from the ε = 0.6 and ε = 0.8 burner curves at each band's reference temperature (rounded to nearest 10).</t>
  </si>
  <si>
    <t>Eff. from ε = 0.6 curve (recuperative)</t>
  </si>
  <si>
    <t>Eff. from ε = 0.8 curve (regenerative)</t>
  </si>
  <si>
    <t>Why WHR Penetration = 100% and ε-Class Basis (Best-Possible File)</t>
  </si>
  <si>
    <t>This file represents best-achievable efficiency, so burner-integral (unit-WHR) recovery is assumed universal (100% penetration in every band). The</t>
  </si>
  <si>
    <t>Temperature band</t>
  </si>
  <si>
    <t>Ref temp (°C)</t>
  </si>
  <si>
    <t>(a) ε=0.6 universal</t>
  </si>
  <si>
    <t>(b) ε=0.8 universal</t>
  </si>
  <si>
    <t>(c) band/industry-specific</t>
  </si>
  <si>
    <t>ε=0.6 (regenerative not established &lt;500 °C)</t>
  </si>
  <si>
    <t>ε=0.6</t>
  </si>
  <si>
    <t>ε=0.8 (regenerative established &gt;500 °C: steel stoves/reheat)</t>
  </si>
  <si>
    <t>ε=0.8 (regenerative established: glass furnaces, high-temp reheat)</t>
  </si>
  <si>
    <t>Inputs (kWh/ton), from rows above:</t>
  </si>
  <si>
    <t>Burner-integral (unit-level) waste heat recovery assumed universal (100% penetration, best case). With-recovery basis = ε = 0.6 recuperative-burner curve; ε = 0.8 regenerative where established (glass, steel stoves/reheat, &gt;500 °C furnaces). ε = 0.4 (central HX / air preheat) = SYSTEM WHR, excluded. See Combustion Efficiency tab.</t>
  </si>
  <si>
    <t>Combustion efficiency — temperature/efficiency curves</t>
  </si>
  <si>
    <t>2015 (Third Edition)</t>
  </si>
  <si>
    <t>Improving Process Heating System Performance: A Sourcebook for Industry (Third Edition)</t>
  </si>
  <si>
    <t>Temperature vs. efficiency curves; 10% excess-air basis</t>
  </si>
  <si>
    <t>Burner ε-curve definitions (recuperative/regenerative/central HX)</t>
  </si>
  <si>
    <t>Stephen R. Mickey (Thermal Processing)</t>
  </si>
  <si>
    <t>Defines ε=0.4 central heat exchanger, ε=0.6 recuperative burner, ε=0.8 regenerative burner efficiency curves (see 'Mickey data' tab)</t>
  </si>
  <si>
    <t>Industrial WHR technology / regenerative practice</t>
  </si>
  <si>
    <t>Kermeli et al.</t>
  </si>
  <si>
    <t>Energy efficiency potential in the industrial sector (regenerative/recuperative burner practice by industry)</t>
  </si>
  <si>
    <t>Establishes regenerative burners as established practice for glass furnaces, steel stoves/reheat, and other &gt;500 °C furnace applications</t>
  </si>
  <si>
    <t>ε = 0.8 regenerative basis (option c): established practice ≥500 °C — steel stoves/reheat furnaces</t>
  </si>
  <si>
    <t>ε = 0.8 regenerative basis (option c): established practice — glass furnaces, high-temp reheat</t>
  </si>
  <si>
    <t>Regenerative vs. recuperative burner temperature ranges (supports option c band split)</t>
  </si>
  <si>
    <t>EE Metal — Recuperative and regenerative burners</t>
  </si>
  <si>
    <t>Recuperators preheat air to ~550-600 °C max (~30% savings); recuperative burners used in 700-1100 °C processes. Regenerative burners reach far higher preheat, reserved for high-temp furnaces.</t>
  </si>
  <si>
    <t>https://www.ee-metal.com/techniques/recuperative-and-regenerative-burners/</t>
  </si>
  <si>
    <t>Regenerative burner efficiency &amp; application list</t>
  </si>
  <si>
    <t>Osaka Gas / Daigas Group — Regenerative Burner System</t>
  </si>
  <si>
    <t>Regenerative burners widely used in relatively high-temperature furnaces (rolling, forging, heat treatment, melting, baking); ~90% relative air preheat achievable. Regenerative+recuperator ~30% less energy than recuperative alone (Chantasiriwan/ResearchGate).</t>
  </si>
  <si>
    <t>https://www.daigasgroup.com/en/rd/topic/1768584_56103.html</t>
  </si>
  <si>
    <t>Condensing boiler efficiency (NG, &lt;200 °C best-case)</t>
  </si>
  <si>
    <t>Condensing boiler (latent heat recovery); recuperative burners not applicable &lt;200 °C</t>
  </si>
  <si>
    <t>(d) technology-matched (LIVE)</t>
  </si>
  <si>
    <t>Condensing boiler (latent heat recovery)</t>
  </si>
  <si>
    <t>ε=0.6 recuperative burner</t>
  </si>
  <si>
    <t>ε=0.8 regenerative burner</t>
  </si>
  <si>
    <t>Best-Possible Factor Table — ε-Class Options + Technology-Matched Curve for the 100%-Penetration Basis</t>
  </si>
  <si>
    <t>Factors are NG-basis energy intensities (1 / efficiency). The model is wired to Option (d) technology-matched: condensing boiler &lt;200 °C, ε=0.6 recuperative 200-500 °C, ε=0.8 regenerative &gt;500 °C — each band uses the burner/boiler archetype actually deployed there (see About).</t>
  </si>
  <si>
    <t>with-recovery basis is technology-matched: condensing boiler (~99%) for the two &lt;200 °C bands (recuperative burners are not the right archetype there), ε=0.6 recuperative for 200-500 °C, ε=0.8 regenerative for the two &gt;500 °C bands (glass, steel stoves/reheat). ε=0.4 (central HX / air preheat) = SYSTEM WHR, excluded. See table below.</t>
  </si>
  <si>
    <t>Condensing boiler efficiency (&lt;200 °C combustion archetype)</t>
  </si>
  <si>
    <t>Gasmaster Industries / Price Industries / kW Engineering</t>
  </si>
  <si>
    <t>Condensing boilers recover latent flue-gas heat below the NG dew point (~55 °C return), reaching 98-99% (Gasmaster); up to 98% vs ~80% for conventional (Price Industries); 97% at ≤80°F return water (kW Engineering); best industrial units ~106% HHV (Kaineng). Right archetype &lt;200 °C where recuperative burners have too little sensible flue heat to recover.</t>
  </si>
  <si>
    <t>https://www.gasmaster.ca/news/what-are-condensing-boilers-benefits-efficiency-and-applications/</t>
  </si>
  <si>
    <t>https://blog.priceindustries.com/what-is-the-difference-between-conventional-and-condensing-boilers</t>
  </si>
  <si>
    <t>Best-case petroleum/oil boiler efficiency (&lt;200 °C)</t>
  </si>
  <si>
    <t>Condensing oil boiler (limited by sulfur/lower H2O vapor)</t>
  </si>
  <si>
    <t>Best-case coal boiler efficiency (&lt;200 °C, economizer)</t>
  </si>
  <si>
    <t>Coal boiler + economizer (no deep condensing — acid dewpoint/ash)</t>
  </si>
  <si>
    <t>Technology-matched (NG=condensing 99%, oil=condensing 92%, coal=economizer 88%); recuperative burners not the archetype &lt;200 °C</t>
  </si>
  <si>
    <t>Fuel-specific best-case boiler efficiency at &lt;200 °C (oil &amp; coal)</t>
  </si>
  <si>
    <t>PNNL Building America / Peerless / coalbiomassboiler.com / EPCB</t>
  </si>
  <si>
    <t>Oil: Category IV condensing oil boilers reach 90-93% (PNNL Building America); commercial units 92% (Peerless Pinnacle Oil) — capped below NG by sulfur &amp; lower flue moisture. Coal: cannot deep-condense (acid dewpoint 110-130 °C, ash fouling); economizer + air-preheater sensible recovery gives best-practice 85-92% (coalbiomassboiler.com), ~84.6% typical (EPCB). Used 92% oil, 88% coal.</t>
  </si>
  <si>
    <t>https://basc.pnnl.gov/resource-guides/oil-fired-boilers</t>
  </si>
  <si>
    <t>https://coalbiomassboiler.com/coal-fired-boiler-efficiency-factors/</t>
  </si>
  <si>
    <t>EAF thermal efficiency = theoretical min ÷ actual (no scrap preheat)</t>
  </si>
  <si>
    <t>EAF &gt;1000°C electricity factor — definition &amp; scrap-preheat treatment</t>
  </si>
  <si>
    <t>Factor = 1 / efficiency (same convention as condensing boiler 1/99%). Efficiency = theoretical min energy (useful) ÷ actual standard EAF intensity. See G4/G7 above.</t>
  </si>
  <si>
    <t>Actual standard EAF intensity (avg of B4:B6)</t>
  </si>
  <si>
    <t>Theoretical minimum, no scrap preheat (USEA CCC193) — USED</t>
  </si>
  <si>
    <t>Scrap-preheat-optimized minimum (Advanced Energy) — not standard</t>
  </si>
  <si>
    <t>(a) BASELINE — no scrap preheat (standard practice; feeds the model)</t>
  </si>
  <si>
    <t xml:space="preserve">   factor = actual ÷ no-preheat theoretical min = 421.7 / 361</t>
  </si>
  <si>
    <t>= 421.7 / 361  →  factor (≡ G7, LIVE)</t>
  </si>
  <si>
    <t>(b) IF scrap preheat were credited (NOT standard — shown for comparison only)</t>
  </si>
  <si>
    <t xml:space="preserve">   factor = actual ÷ preheat-optimized min = 421.7 / 300</t>
  </si>
  <si>
    <t>= 421.7 / 300  →  factor (higher: bigger gap vs aspirational floor)</t>
  </si>
  <si>
    <t>Share of &gt;1000 °C heat</t>
  </si>
  <si>
    <t>&lt; 100°C</t>
  </si>
  <si>
    <t>100-200°C</t>
  </si>
  <si>
    <t>200-500°C</t>
  </si>
  <si>
    <t>500-1000°C</t>
  </si>
  <si>
    <t>&gt; 1000°C</t>
  </si>
  <si>
    <t>Fired-heater share of 500-1000 °C band heat (same proxy)</t>
  </si>
  <si>
    <t>Start-Year Delivered Efficiency of Electric Process Heating, 200–1000°C (U.S.)</t>
  </si>
  <si>
    <t>Replaces the flat 99% "direct electric heating" assumption ('Heat pumps'!H25) for the 200-500°C and 500-1000°C bands. 99% is an electrical-to-thermal CONVERSION efficiency at the heating element; the fossil comparators on the 'Combustion Efficiency' tab are DELIVERED efficiencies (useful heat / fuel in) that include stack and containment losses. This tab puts the electric side on the same system boundary as the fossil side.</t>
  </si>
  <si>
    <t>SECTION 1. Delivered efficiency by electric heating technology</t>
  </si>
  <si>
    <t>Delivered efficiency</t>
  </si>
  <si>
    <t>Low</t>
  </si>
  <si>
    <t>High</t>
  </si>
  <si>
    <t>Applicable band / basis</t>
  </si>
  <si>
    <t>Electric boiler / immersion resistance (fluid &amp; steam heating)</t>
  </si>
  <si>
    <t>200-500°C only. Steam raising, fluid heating, distillation reboil.</t>
  </si>
  <si>
    <t>Judgment, anchored on DOE Sourcebook 3rd ed. (2016)</t>
  </si>
  <si>
    <t>Resistance oven / dryer, convection-dominated (&lt;~675°C)</t>
  </si>
  <si>
    <t>200-500°C. Drying, curing, baking, low-temp heat treating.</t>
  </si>
  <si>
    <t>Judgment, bracketed by rows 6 and 8</t>
  </si>
  <si>
    <t>Resistance furnace, indirect / radiant (~700°C)</t>
  </si>
  <si>
    <t>500-1000°C. Heat treating, reheating, annealing, non-ferrous melting.</t>
  </si>
  <si>
    <t>DOE BestPractices, Metalcasting Energy Use (2004), Table 19</t>
  </si>
  <si>
    <t>Induction heating &amp; melting (modern batch)</t>
  </si>
  <si>
    <t>Mainly 500-1000°C; some 200-500°C surface/billet heating.</t>
  </si>
  <si>
    <t>DOE BestPractices, Metalcasting Energy Use (2004)</t>
  </si>
  <si>
    <t>Electric infrared (medium wavelength)</t>
  </si>
  <si>
    <t>Both bands. Curing, drying, paper/coating, surface heating.</t>
  </si>
  <si>
    <t>DOE/AMO Process Heating Sourcebook 3rd ed. (2016), Table 3</t>
  </si>
  <si>
    <t>SECTION 2. Share of start-year electric heat sales by technology, within each band</t>
  </si>
  <si>
    <t>No U.S. survey splits electric process heat by electrotechnology (MECS reports only "Net electricity" for process heating). These shares are judgment, informed by which industries dominate each band on the 'indst heat consumption' tab. They are the largest uncertainty on this tab — vary them in Section 4.</t>
  </si>
  <si>
    <t>Boiler / immersion</t>
  </si>
  <si>
    <t>Resistance oven</t>
  </si>
  <si>
    <t>Resistance furnace</t>
  </si>
  <si>
    <t>Induction</t>
  </si>
  <si>
    <t>Infrared</t>
  </si>
  <si>
    <t>Sum (check)</t>
  </si>
  <si>
    <t>SECTION 3. Blended start-year efficiency and unit energy factor</t>
  </si>
  <si>
    <t>Blended efficiency</t>
  </si>
  <si>
    <t>Unit energy factor (1/eff)</t>
  </si>
  <si>
    <t>Prior assumption (99%)</t>
  </si>
  <si>
    <t>Change in electricity per unit heat</t>
  </si>
  <si>
    <t>Natural gas comparator</t>
  </si>
  <si>
    <t>Electric saving vs. gas</t>
  </si>
  <si>
    <t>SECTION 4. Cross-checks and sensitivity</t>
  </si>
  <si>
    <t>Sensitivity: blended efficiency using the low and high ends of the DOE-reported technology ranges (mix held constant)</t>
  </si>
  <si>
    <t>Low case</t>
  </si>
  <si>
    <t>Central</t>
  </si>
  <si>
    <t>High case</t>
  </si>
  <si>
    <t>Implied loss, central</t>
  </si>
  <si>
    <t>Cross-check 1 — plausibility of the implied losses</t>
  </si>
  <si>
    <t>The central cases imply 16.1% (200-500°C) and 33.9% (500-1000°C) of delivered electricity lost before it reaches the product. DOE QTR 2015 Table 6.I.1 reports process-heating energy losses within sector of 18% (petroleum refining) to 72% (forest products), ~35% across all U.S. manufacturing. Both central cases sit inside that observed range; the prior 99% assumption (1% loss) sits far outside it.</t>
  </si>
  <si>
    <t>Source: DOE Quadrennial Technology Review 2015, TA 6I Industrial Process Heating Systems, Table 6.I.1</t>
  </si>
  <si>
    <t>Cross-check 2 — RESOLVED (T6, see 'Combustion Efficiency' rows 142-149): is the fossil side too generous vs DOE field evidence (fuel-fired 30-60%, Ref 37; gas reverb 36% vs electric reverb 67.5%, Ref 35)?</t>
  </si>
  <si>
    <t>Finding: band-weighting QTR 2015 Table 6.I.1 sector losses (Ref 36) by this file's own band shares gives delivered-eff benchmarks of ~59.5% (200-500), ~70.7% (500-1000), ~56.5% (&gt;1000). The 500-1000 and &gt;1000 fossil blends (61.4%, 48.0%) sit BELOW their benchmarks — already conservative — because those bands are dominated by refinery/chemical fired heaters (QTR losses 18-23%) and WHR-heavy steel/cement, not the metals-niche furnaces behind the 30-60% field range. Only 200-500 got a trim: containment 0.97 on the direct-fired slice (NG 78.7% → 74.6%). The paired metalcasting comparison (1.9x) remains valid for foundry-type duty specifically — it is a minority share of every band.</t>
  </si>
  <si>
    <t>Cross-check 3 — RESOLVED (T3): the &gt;1000 °C band previously used 'High Temp'!G4 (76.6%), a theoretical-minimum-to-actual ratio — not comparable to the delivered-energy basis used for 200-1000 °C, and it implied &gt;1000 °C electric heat was MORE efficient than 500-1000 °C. Replaced by the delivered EAF efficiency in Section 6 below (rows 47-50); output cell SYIEUEFbIPaF!F2 repointed. 'High Temp'!G7 retained but superseded.</t>
  </si>
  <si>
    <t>High Temp'!G4 sets the &gt;1000°C electric efficiency at 76.6%, computed as the ratio of theoretical-minimum to typical EAF intensity. That is a 'distance from best practice' metric, not a delivered-energy efficiency, so it is not on the same basis as this tab or as the combustion tab. Taken at face value it makes &gt;1000°C electric heat more efficient than 500-1000°C electric heat, which is backwards. Recommend re-deriving the &gt;1000°C value on a delivered-energy basis. Separately, the comment on 'Heat pumps'!H25 cites ~71% for EAF while 'High Temp'!G4 computes 76.6% — these should be reconciled.</t>
  </si>
  <si>
    <t>SECTION 5. Maximum-efficiency (end-state) case</t>
  </si>
  <si>
    <t>The original 99% belongs here, not in the start year. It is the electrical-to-thermal conversion ceiling: what a best-available, well-insulated, fully heat-recovered electric system approaches. Keeping it as the start-year value leaves zero improvement headroom, so equipment-efficiency policy in the EPS can only improve fossil equipment — which biases the model toward the fossil pathway.</t>
  </si>
  <si>
    <t>Max-efficiency conversion ceiling, 200-1000°C</t>
  </si>
  <si>
    <t>Feed this to the 'Efficiency Improvements' file as the end-state target, not the start year.</t>
  </si>
  <si>
    <t>Implied improvement headroom, 200-500°C</t>
  </si>
  <si>
    <t>Implied improvement headroom, 500-1000°C</t>
  </si>
  <si>
    <t>Housekeeping: 'Heat pumps'!H25 (99%) is retained only as the max-efficiency ceiling (Section 5). Sources for this tab are in References (refs 26, 35-41) and summarized on the About tab (2026 revision blocks). Remaining open item: cross-check 2 (A33) — fossil furnace efficiencies at top of DOE field-assessed range.</t>
  </si>
  <si>
    <t>Section 6 — &gt;1000 °C: EAF delivered efficiency (T3; replaces the theoretical-minimum ratio method)</t>
  </si>
  <si>
    <t>EAF useful-heat efficiency (liquid-steel enthalpy ÷ total electrical + chemical input)</t>
  </si>
  <si>
    <t>Unit energy factor, &gt;1000 °C (= 1 / B48)</t>
  </si>
  <si>
    <t>Note: on this basis electric &gt;1000 °C (57%) sits below 500-1000 °C (66%), as physics suggests — the old method had it backwards. Savings vs NG at &gt;1000 °C become ~16% (1.754 vs 2.082) rather than ~37%. Headroom to the 99% ceiling: ~42%.</t>
  </si>
  <si>
    <t>Temperature mapping</t>
  </si>
  <si>
    <t>Share of all energy for heat at various temp bands</t>
  </si>
  <si>
    <t>Industry Category</t>
  </si>
  <si>
    <t>Share of all industry boiler/nonboiler heat</t>
  </si>
  <si>
    <t>QTR PH loss share (Ref 36)</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</si>
  <si>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</si>
  <si>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</si>
  <si>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</si>
  <si>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</si>
  <si>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</si>
  <si>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</si>
  <si>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</si>
  <si>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</si>
  <si>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</si>
  <si>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</si>
  <si>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</si>
  <si>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</si>
  <si>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</si>
  <si>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</si>
  <si>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</si>
  <si>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</si>
  <si>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</si>
  <si>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</si>
  <si>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</si>
  <si>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</si>
  <si>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</si>
  <si>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</si>
  <si>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</si>
  <si>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</si>
  <si>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</si>
  <si>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 from indst/BPFUbIP file</t>
  </si>
  <si>
    <t>Best-Practice Duty Structure (mirrors start-year file T1/T2/T6/T7, with best-practice parameter values)</t>
  </si>
  <si>
    <t>Parameter</t>
  </si>
  <si>
    <t>Value</t>
  </si>
  <si>
    <t>Basis</t>
  </si>
  <si>
    <t>Steam distribution loss (best practice)</t>
  </si>
  <si>
    <t>US boiler combustion efficiency, HHV (coal / petroleum / natural gas)</t>
  </si>
  <si>
    <t>Boiler path, coal (= boiler eff × (1 − distribution loss))</t>
  </si>
  <si>
    <t>Boiler path, petroleum</t>
  </si>
  <si>
    <t>Boiler path, natural gas</t>
  </si>
  <si>
    <t>Boiler-served share of 200-500 °C band heat</t>
  </si>
  <si>
    <t>Fired-heater share of 200-500 °C band heat (proxy: chemicals + refining + oil&amp;gas + rubber)</t>
  </si>
  <si>
    <t>Oven/dryer/furnace containment efficiency (best practice)</t>
  </si>
  <si>
    <t>Containment factor, 200-500 °C (= heater share + oven share × containment)</t>
  </si>
  <si>
    <t>Containment factor, 500-1000 °C</t>
  </si>
  <si>
    <t>&gt;1000 °C containment left at 1.00 — same rationale as the start-year file: this band's blend already sits below the QTR-implied benchmark and its burner-WHR recovery is separately modeled, so a further containment cut would double-count.</t>
  </si>
  <si>
    <t>SECTION 7. BEST-PRACTICE (MINIMUM UNIT ENERGY FACTOR) BLEND — THIS FILE'S LIVE OUTPUT</t>
  </si>
  <si>
    <t>Sections 1-6 above are the start-year (typical-equipment) derivation, retained as documentation of method and sources. This section re-runs the same structure on the HIGH-efficiency column (D6:D10) with best-practice distribution loss, producing the minimum unit energy factors this file supplies.</t>
  </si>
  <si>
    <t>Blended delivered efficiency</t>
  </si>
  <si>
    <t>Start-year factor (comparison)</t>
  </si>
  <si>
    <t>Best-practice NG comparator</t>
  </si>
  <si>
    <t>Electric vs. gas</t>
  </si>
  <si>
    <t>IMPORTANT FINDING — sign flip vs. the start-year file at and above 500 °C</t>
  </si>
  <si>
    <t>In the best-practice world, gas BEATS electricity on final energy at 500-1000 °C (column F above) and narrows sharply at &gt;1000 °C. This is not an error: best-practice gas furnaces use regenerative burners (epsilon = 0.8 air preheat, established practice above 500 °C — see 'Combustion Efficiency' rows 116-124), reaching ~85% delivered, while the best available electric furnace/induction equipment tops out near 74-76% delivered (DOE metalcasting Table 19 maximum). The start-year file shows electricity ahead by 12.6% because TYPICAL gas equipment in that band is far below best practice (57.8% delivered). Implication for the EPS: in the max-efficiency case, electrification of 500-1000 °C heat is justified by emissions and fuel-switching, NOT by final-energy savings. If that is unacceptable for model behaviour, the lever to revisit is the epsilon = 0.8 regenerative archetype for this band, not the electric numbers.</t>
  </si>
  <si>
    <t>VALIDATION — minimum unit energy factor must not exceed the start-year factor (July 2026 revision)</t>
  </si>
  <si>
    <t>Start-year values entered statically (red font) to avoid external workbook links. Re-enter if the start-year file is revised. Source: 'Start Year Indst Eqpt Unit E Factor by Indst Proc and Fuel.xlsx', sheet SYIEUEFbIPaF row 2 (electricity) and row 4 (natural gas).</t>
  </si>
  <si>
    <t>Row</t>
  </si>
  <si>
    <t>Electricity — this file (min)</t>
  </si>
  <si>
    <t>Electricity — start-year file</t>
  </si>
  <si>
    <t>Check (min ≤ start year)</t>
  </si>
  <si>
    <t>Headroom (start year ÷ min − 1)</t>
  </si>
  <si>
    <t>Natural gas — this file (min)</t>
  </si>
  <si>
    <t>Natural gas — start-year file</t>
  </si>
  <si>
    <t>J.F. Schifo, J.F. Radia (Keramida / U.S. DOE ITP)</t>
  </si>
  <si>
    <t>Theoretical/Best Practice Energy Use in Metalcasting Operations</t>
  </si>
  <si>
    <t>https://www.energy.gov/sites/prod/files/2013/11/f4/doebestpractice_052804.pdf</t>
  </si>
  <si>
    <t>Table 19 (electric wet reverberatory 59-76%, avg 67.5%; gas reverberatory 36%); induction 36-65% delivered, modern batch 65%, power utilisation 44%→70%</t>
  </si>
  <si>
    <t>Quadrennial Technology Review 2015, Ch. 6 TA 6I: Process Heating</t>
  </si>
  <si>
    <t>https://www.energy.gov/sites/prod/files/2016/06/f32/QTR2015-6I-Process-Heating.pdf</t>
  </si>
  <si>
    <t>Table 6.I.1 (sector process-heating losses 18-72%, all-mfg ~35%); electricity = 5% (325 TBtu) of process heating energy</t>
  </si>
  <si>
    <t>K. Thirumaran, S. Nimbalkar, A. Thekdi, J. Cresko (ORNL / E3M / U.S. DOE)</t>
  </si>
  <si>
    <t>Energy Implications of Electrotechnologies in Industrial Process Heating Systems (ACEEE Summer Study on Energy Efficiency in Industry)</t>
  </si>
  <si>
    <t>https://energyefficiency.ornl.gov/wp-content/uploads/2020/07/0313_0466_000057.pdf</t>
  </si>
  <si>
    <t>p. 4-87: fuel-fired systems 30-60% overall vs electrotechnologies 60-80%, from 500+ DOE plant assessments</t>
  </si>
  <si>
    <t>M. Kirschen, K. Badr, H. Pfeifer</t>
  </si>
  <si>
    <t>Energy efficiency and the influence of gas burners to the energy related carbon dioxide emissions of electric arc furnaces in steel industry (Energy)</t>
  </si>
  <si>
    <t>https://www.sciencedirect.com/science/article/abs/pii/S0360544209001285</t>
  </si>
  <si>
    <t>Steel + slag enthalpies = 50-70% of EAF output; water cooling 10-20%; off-gas 15-35%. Upper bound (70%) used as best-practice delivered EAF efficiency</t>
  </si>
  <si>
    <t>U.S. Department of Energy, Advanced Manufacturing Office</t>
  </si>
  <si>
    <t>Steam Tip Sheet #15: Benchmark the Fuel Cost of Steam Generation</t>
  </si>
  <si>
    <t>https://www.energy.gov/sites/prod/files/2014/05/f16/steam15_benchmark.pdf</t>
  </si>
  <si>
    <t>Table 2, HHV boiler combustion efficiency: natural gas 85.7%, distillate/No.2 oil 88.7%, residual/No.6 oil 89.6%, coal 90.3% (economizer or air preheater, 3% O2)</t>
  </si>
  <si>
    <t>C. McMillan, R. Boardman, M. McKellar, P. Sabharwall, M. Ruth, S. Bragg-Sitton (NREL / INL)</t>
  </si>
  <si>
    <t>Generation and Use of Thermal Energy in the U.S. Industrial Sector and Opportunities to Reduce its Carbon Emissions (NREL/TP-6A50-66743; INL/EXT-16-39680)</t>
  </si>
  <si>
    <t>https://www.osti.gov/servlets/purl/1389190/</t>
  </si>
  <si>
    <t>Steam boilers + CHP ≈ 70% of heat loads across 14 energy-intensive industries; chemicals ~40% via steam loops; pulp &amp; paper ~70% steam — basis for the 55% boiler-served share</t>
  </si>
  <si>
    <t>I.C. Kemp (in Modern Drying Technology, Wiley-VCH) / Thermal Processing Magazine</t>
  </si>
  <si>
    <t>2008; 2018</t>
  </si>
  <si>
    <t>Fundamentals of Energy Analysis of Dryers; Efficient Gas Heating of Industrial Furnaces</t>
  </si>
  <si>
    <t>https://application.wiley-vch.de/books/sample/3527315594_c01.pdf ; https://thermalprocessing.com/efficient-gas-heating-of-industrial-furnaces/</t>
  </si>
  <si>
    <t>Direct-fired convective dryers &gt;40% and better than steam-heated equivalents; gas recuperative burners 60-65% and self-recuperative 70-75% at 1000 °C — support for the oven/furnace containment factor</t>
  </si>
  <si>
    <t>Revision log — July 2026: alignment with the start-year file's delivered-efficiency revision (WP1-WP6)</t>
  </si>
  <si>
    <t>Purpose: the start-year file (Start Year Indst Eqpt Unit E Factor by Indst Proc and Fuel.xlsx) moved its electric process-heat factors from a flat 99% element-conversion efficiency onto a DELIVERED basis (technology-mix blends including containment and steam distribution losses), and re-derived &gt;1000 °C on a delivered EAF basis. This file was on the old boundary, so minimum factors were not comparable with start-year factors. WP1-WP6 put both files on the same boundary using best-practice rather than typical parameters.</t>
  </si>
  <si>
    <t>Imported tabs: 'Electric Process HeatSY', 'indst heat consumptionSY' and 'Combustion EfficiencySY' were copied from the start-year file. All 12 external workbook links they arrived with were rewired to local equivalents; the three Kermeli burner-diffusion cells were frozen to values (no Kermeli tab in this file, and WHR penetration is 100% here regardless). Zero external links remain.</t>
  </si>
  <si>
    <t>WP1: electricity 200-500 °C moved from 1/0.99 = 1.010 to the best-practice delivered blend, 90.6% → 1.103 ('Electric Process HeatSY' Section 7, high-efficiency column D6:D10, duty-matched mix, 5% distribution loss on the electric-boiler slice). Refs 27, 29.</t>
  </si>
  <si>
    <t>WP2: electricity 500-1000 °C moved from 1.010 to 74.3% delivered → 1.346 (resistance furnace 76% = DOE metalcasting Table 19 maximum, induction 70%, IR 90%). Ref 27.</t>
  </si>
  <si>
    <t>WP3: fossil bands 200-500 and 500-1000 °C given the same duty structure as the start-year file, with best-practice values ('Combustion Efficiency' rows 127-140): 5% steam distribution loss; 55% boiler-served share at 200-500 °C; boiler path = DOE Steam Tip #15 HHV efficiencies (NG 85.7%, oil 89.2%, coal 90.3%) × (1 − 5%); fired-heater shares 54.5% / 69.1% from band heat shares; oven/furnace containment 88.9%. Bands below 200 °C unchanged — the condensing-boiler archetype already applies there, and condensing is physically unavailable for 200-500 °C steam. Refs 27, 29, 31, 32, 33.</t>
  </si>
  <si>
    <t>WP4: electricity &gt;1000 °C moved from 1.187 (theoretical-minimum-to-actual ratio, 'High Temp'!G4 = 84.3%) to best-practice delivered EAF efficiency 70% → 1.429. Kirschen et al. 2009 upper bound with scrap preheat and off-gas recovery. The theoretical-minimum block on 'High Temp' is retained as documentation. Ref 30.</t>
  </si>
  <si>
    <t>LHV/HHV ratio</t>
  </si>
  <si>
    <t>Furnace-duty deduction</t>
  </si>
  <si>
    <t>Fuel-adjustment revision (July 2026, follow-up): the coal/petroleum furnace-curve ratios ('Combustion Efficiency' D3:D4) were re-derived on an HHV-consistent basis: ratio = (LHV/HHV fuel ÷ LHV/HHV natural gas) × (1 − furnace-duty deduction for unburned carbon / excess air). New ratios: coal 1.024, petroleum 1.045 (was 0.870 / 0.957 from Chinese-standard LHV boiler efficiencies, which had the wrong sign on an HHV basis). Result: coal/petroleum minimums now slightly BEAT natural gas above 200 °C (e.g. 200-500 °C: coal 1.146, petro 1.143, NG 1.192) — physically correct on HHV (less latent stack loss), with practical deductions flagged yellow. Ref 34. NOTE: the mirror fix in the START-YEAR file is still pending; until made, coal/petroleum headroom there is overstated.</t>
  </si>
  <si>
    <t>Cleanup (July 2026): superseded Chinese-standard boiler inputs cleared ('Combustion Efficiency' B3:C5 — replaced by E3:F5 LHV/HHV inputs); orphaned old electric factors cleared ('Heat pumps' H26:H27 = old 1/0.99; 'High Temp' G6:G7 = old &gt;1000 °C factor, G3:G4 theoretical-minimum documentation retained).</t>
  </si>
  <si>
    <t>CDP (technical guidance); Clarke Energy</t>
  </si>
  <si>
    <t>CDP Climate Change Question-level Guidance (heating-value conversion); Heating Value (HHV vs LHV)</t>
  </si>
  <si>
    <t>https://guidance.cdp.net/en/guidance?cid=C8.2c ; https://www.clarke-energy.com/gas-engines/heating-value/</t>
  </si>
  <si>
    <t>LHV/HHV ≈ 0.95 for solid and liquid hydrocarbon fuels, 0.90 for gaseous; NG HHV/LHV ≈ 1.108. Basis for the HHV-consistent furnace fuel-adjustment ratios (Combustion Efficiency D3:D5, E3:F5)</t>
  </si>
  <si>
    <t>Iron &amp; steel</t>
  </si>
  <si>
    <t>Cement</t>
  </si>
  <si>
    <t>Glass</t>
  </si>
  <si>
    <t>REGENERATIVE-BURNER ADDRESSABILITY, &gt;1000 °C — DIAGNOSTIC (does not feed the output grid)</t>
  </si>
  <si>
    <t>Sub-sector</t>
  </si>
  <si>
    <t>Assumed addressable</t>
  </si>
  <si>
    <t>Why</t>
  </si>
  <si>
    <t>Regenerative (end-port / side-port) melting furnaces are the industry standard — the archetype genuinely applies, though it is largely BASELINE practice rather than incremental headroom.</t>
  </si>
  <si>
    <t>Metal products + other metals</t>
  </si>
  <si>
    <t>Reheat, forging and heat-treat furnaces — recuperative/regenerative burners are directly retrofittable. This is the genuinely addressable core.</t>
  </si>
  <si>
    <t>Blast furnace (Cowper stoves) and coke ovens are ALREADY regenerative — recovery is banked in the baseline, not available as improvement. BOF is autothermal. Only reheat/anneal is addressable.</t>
  </si>
  <si>
    <t>Kiln exhaust is already recovered in the multi-stage cyclone preheater / precalciner tower. Recovery is inherent to the process configuration, not burner-based; a regenerative burner adds nothing.</t>
  </si>
  <si>
    <t>Burner-addressable share of &gt;1000 °C band heat</t>
  </si>
  <si>
    <t>Non-addressable delivered efficiency (cement precalciner kiln / integrated steel)</t>
  </si>
  <si>
    <t>SEPARATE AND MORE FUNDAMENTAL CAVEAT — process substitution, not burner substitution: above 1000 °C the electric and fossil routes in iron &amp; steel are not the same process doing the same job. The EAF's real counterfactual is the integrated blast-furnace/BOF route, where coke is simultaneously reductant and fuel and where the feedstock differs (scrap/DRI vs iron ore). Integrated steelmaking runs ~18-20 GJ per tonne of crude steel against ~2-2.5 GJ/t of electricity for an EAF — roughly an order of magnitude, which no unit-energy-factor ratio between 1.33 and 1.53 can express. The same applies to cement, where electrified calcination is a different kiln, not a different burner. CONSEQUENCE: the &gt;1000 °C unit energy factors in this file are valid for like-for-like heat substitution (reheat, melting, heat treating) but SYSTEMATICALLY UNDERSTATE the energy advantage of electrification where it displaces a chemical-reduction route. If the EPS models BF-BOF to EAF switching through these factors, that switch is being penalised. Worth checking how the EPS handles the steel route change before finalising.</t>
  </si>
  <si>
    <t>Tab changes (July 2026 sign-off): 'Combustion EfficiencySY' DELETED — it was a copy of the start-year file's typical-case tab, redundant here (this file's own 'Combustion Efficiency' carries the best-practice archetypes). The nine cells that referenced it were resolved first: 'Electric Process Heat'!B15 was repointed to this file's own boiler share ('Combustion Efficiency'!B134), and the eight start-year comparison cells in Sections 1-6 (B20, B21, F20, F21, B26, D26, B27, D27) were frozen to static values in red font with notes marking them as start-year documentation. Retained and RENAMED (suffix dropped): 'Electric Process HeatSY' -&gt; 'Electric Process Heat' (Section 7 is live and feeds IEMUEF D2:F2); 'indst heat consumptionSY' -&gt; 'indst heat consumption' (supplies band heat shares to 'Combustion Efficiency' B135:B136 and rows 142-148).</t>
  </si>
  <si>
    <t>Tabs retained despite having no incoming formula references, because they hold source data or superseded-method documentation: 'High Temp' (USEA EAF kWh/tonne data and the theoretical-minimum ratio method, superseded for output by WP4); '1.2 heat_cool hp 80 C 75 K' and '2.b High temp. hp Up to 150' (Danish Energy Agency heat-pump performance extracts underpinning the COP assumptions on the 'Heat pumps' tab). Delete these only if the underlying COP and EAF assumptions are also being retired.</t>
  </si>
  <si>
    <t>Judgment inputs (blue font on yellow fill, each with a source note and suggested range): steam distribution loss 5% ('Combustion Efficiency'!B129, range 3-8%); boiler-served share 55% (B134, range 45-65%); fired-heater proxy shares (B135:B136); oven containment 88.9% (B137, range 0.85-0.95); furnace-duty fuel deductions (F3:F4); iron &amp; steel burner-addressable share 25% (C146, range 15-35%); non-addressable delivered efficiency 60% (B150, range 0.55-0.68); best-practice EAF 70% ('Electric Process Heat'!B57, range 65-72%); electric technology mix ('Electric Process Heat' rows 15-16).</t>
  </si>
  <si>
    <t>APPLIED to the &gt;1000 °C band, all fuels (row 109): efficiency = addressable share × epsilon=0.8 archetype + non-addressable share × process-inherent-recovery efficiency</t>
  </si>
  <si>
    <t>Resulting &gt;1000 °C natural gas efficiency (live, = D109)</t>
  </si>
  <si>
    <t>Resulting &gt;1000 °C natural gas unit energy factor (live)</t>
  </si>
  <si>
    <t>Prior value before the addressability correction (epsilon=0.8 across the whole band)</t>
  </si>
  <si>
    <t>WHY THIS CORRECTION: only ~42% of &gt;1000 °C band heat is served by equipment where a regenerative or recuperative burner is a meaningful lever. Glass melting and steel reheat/forging/heat-treat furnaces qualify. Blast furnaces and coke ovens are ALREADY regeneratively heated — the blast furnace's tuyere hot blast is preheated in Cowper stoves and coke ovens use regenerative heating flues — so that recovery is banked in the baseline rather than available as headroom. Cement kilns recover through the multi-stage cyclone preheater / precalciner tower, not the burner. Applying the archetype to the whole band therefore overstated fossil best practice by roughly 9 percentage points of delivered efficiency. The non-addressable duty is instead represented at B150 (60%, from modern precalciner kiln GJ/t clinker against theoretical, with integrated steel comparable), which is a process-configuration efficiency and so is applied fuel-independently. Residual judgment: B150 itself and the iron &amp; steel addressable share (C146) are anchors rather than sourced values — ranges are in their notes.</t>
  </si>
  <si>
    <t>PROCESS-SUBSTITUTION EXPOSURE IN THE &gt;1000 °C BAND — for EPS configuration (no numeric effect in this file)</t>
  </si>
  <si>
    <t>Cement kiln calcination duty</t>
  </si>
  <si>
    <t>CLOSED DECISIONS — reviewed, understood, no further action. (1) Electric-vs-gas sign flip at 500-1000 °C: best-practice gas (1.178) beats best-practice electricity (1.346) on final energy. Accepted as physical — gas furnaces reach ~85% delivered with epsilon=0.8 regenerative burners while the best electric furnace/induction equipment tops out near 74-76%, and there is no electric analogue to a regenerative burner (regeneration recycles a recoverable hot flue-gas stream that electric heating does not produce; electric losses are shell/opening losses, smaller but unrecoverable). Consequence: in the max-efficiency case, electrification in this band is emissions-driven, not efficiency-driven. (2) Non-monotonic natural gas minimums: NG at 500-1000 °C (1.178) is marginally better than at 200-500 °C (1.192), because the lower band carries a majority boiler slice while the upper gets the regenerative archetype — physically true, accepted rather than tuned. Affects NG only; coal and petroleum are monotonic since the HHV fix (A111). (3) The 'heat' fuel factor (IEMUEF!B7 = 1.05) remains unsourced; read as a ~5% purchased-heat distribution loss it is reasonable, and being identical to the start-year file it creates no phantom improvement. (4) 100-200 °C modelled entirely as heat pumps (COP 3.0 → 0.333): a realistic e-boiler split for 150-200 °C steam would move this to ~0.70 here and ~0.74 in the start-year file, but it must move with the heat-pump capex structure — PARKED, revisit only if raised. (5) B3:B5 fuel-adjustment ratios — fixed; see A111.</t>
  </si>
  <si>
    <t>Blast furnace / coke oven reduction duty inside the &gt;1000 °C HEAT pool</t>
  </si>
  <si>
    <t>Total &gt;1000 °C heat-pool duty needing PROCESS rather than equipment substitution</t>
  </si>
  <si>
    <t>Duty where the unit energy factors in this file apply directly</t>
  </si>
  <si>
    <t>RESOLVED (July 2026). The concern was that blast-furnace/BOF reduction energy sat inside the &gt;1000 °C heat pool, where a ~0.95 fuel-switch ratio would understate a real ~85-90% energy reduction from BF-BOF to EAF. It does not: the EPS treats coking coal as FEEDSTOCK with carbon accounted through process emissions, so only steam coal and other combusted fuels enter iron &amp; steel heat demand. The reduction chemistry is outside these factors by construction, and the BF-BOF to EAF route change is handled by the EPS's material/process accounting, not here — so there is no double-count risk and no understatement from this file. WHAT REMAINS is cement kiln calcination (26.8% of band heat), which IS in the heat pool and cannot be electrified by swapping a burner (an electric or plasma calciner is a different kiln). That matters much less than steel would have: calcination enthalpy (~1.8 GJ/t clinker) is irreducible chemistry, so electrified calcination is roughly ENERGY-NEUTRAL — it avoids flue losses but adds electrical conversion — and its benefit is fuel-emissions removal and CO2 capturability, not energy savings. A fuel-switch ratio near 1.0 is therefore approximately correct for that duty. CONSEQUENCE FOR THIS FILE: the &gt;1000 °C factors are fit for purpose across the whole band. Revisit only if coking coal or its derived gases are ever reclassified from feedstock to energy use (see B158).</t>
  </si>
  <si>
    <t>CLOSED (July 2026) — process vs equipment substitution above 1000 °C. The concern was that blast-furnace/BOF reduction energy sat inside the &gt;1000 °C heat pool, where a ~0.95 fuel-switch ratio would badly understate the real ~85-90% energy reduction of a BF-BOF to EAF route change. RESOLVED by the EPS accounting convention: COKING COAL IS TREATED AS FEEDSTOCK (non-energy use), with its carbon released through process-emissions accounting, and only steam coal plus other combusted fuels enter iron &amp; steel heat demand. The reduction chemistry is therefore outside these unit energy factors by construction; the route change is handled by the EPS's material/process accounting. No double-count risk, no understatement from this file. Two consequences were followed through: (a) the iron &amp; steel burner-addressable share was RAISED from 25% to 55% ('Combustion Efficiency'!C146) — with coke out of the pool, the remaining steel heat is hot-stove fuel (already regenerative), reheat, annealing, sinter and lime, of which reheat/anneal/forging are directly addressable; (b) the residual in-pool process duty is cement kiln calcination alone (26.8% of band), which matters far less than steel would have — calcination enthalpy (~1.8 GJ/t clinker) is irreducible chemistry, so electrified calcination is roughly ENERGY-NEUTRAL and a fuel-switch ratio near 1.0 is approximately right for it; its benefit is fuel-emissions removal and CO2 capturability, not energy. Revisit only if coking coal or its derived BF/coke-oven gases are reclassified from feedstock to energy use. Detail at 'Combustion Efficiency' rows 157-162.</t>
  </si>
  <si>
    <t>Resulting IEMUEF electricity row: 0.200 / 0.333 / 1.103 / 1.346 / 1.429 (&lt;100 / 100-200 / 200-500 / 500-1000 / &gt;1000 °C). Natural gas: 1.010 / 1.010 / 1.192 / 1.178 / 1.465. Coal: 1.136 / 1.136 / 1.146 / 1.151 / 1.445. Petroleum: 1.087 / 1.087 / 1.143 / 1.127 / 1.427. Electric-vs-gas final energy at best practice: electricity ahead ~7% at 200-500 °C and ~2.5% above 1000 °C; gas ahead at 500-1000 °C (see closed decision 1 at A107).</t>
  </si>
  <si>
    <t>&gt;1000 °C REGENERATIVE-BURNER ADDRESSABILITY — APPLIED (July 2026, 'Combustion Efficiency' rows 142-155). Only ~54% of &gt;1000 °C band heat sits in equipment where a regenerative/recuperative burner is a meaningful lever: glass melting (12% of band, where regenerative furnaces are already the industry standard), metal reheat/forging/heat-treat furnaces (19%), and 55% of iron &amp; steel heat (reheat, annealing and forging — the balance being already-regenerative Cowper hot stoves and preheater-based lime kilns; note coking coal is excluded from the pool as feedstock, see A114). Cement kilns (27% of band) are not addressable at all — they recover through the multi-stage cyclone preheater / precalciner tower, not the burner. Row 109 now blends the epsilon=0.8 archetype over the addressable share with a process-inherent-recovery efficiency of 60% ('Combustion Efficiency'!B150, anchored on modern precalciner kiln GJ/t clinker vs theoretical; applied fuel-independently because it is a process-configuration efficiency, not a combustion property) over the remainder. EFFECT: &gt;1000 °C delivered efficiency falls from 75.2% to 68.2% for natural gas; unit energy factors rise from 1.330 to 1.465 (NG), 1.299 to 1.445 (coal), 1.273 to 1.427 (petroleum). Electricity (best-practice EAF, 1.429) is now ~2.5% BETTER than best-practice gas above 1000 °C, where before the correction it appeared 7% worse. Residual judgment: B150 and the iron &amp; steel addressable share (C146, 55%) are anchors rather than sourced values — ranges are in their notes.</t>
  </si>
  <si>
    <t>Maintenance dependency (not an open task): three blocks in this file hold STATIC copies of start-year outputs and must be re-pasted if the start-year file changes — the validation reference rows (IEMUEF rows 20 and 24), the comparison column 'Electric Process Heat'!D55:D57, and the frozen start-year cells in Sections 1-6 of that tab (B20, B21, F20, F21, B26, D26, B27, D27).</t>
  </si>
  <si>
    <t>Status at sign-off: NO OPEN ITEMS in this file. Closed and documented above — system-boundary alignment with the start-year file (WP1-WP6, A98-A104); HHV-consistent fuel-adjustment ratios (A111); &gt;1000 °C regenerative-burner addressability, applied with the 55% iron &amp; steel share (A113); process vs equipment substitution above 1000 °C, resolved by the coking-coal-as-feedstock convention (A114); five reviewed decisions (A107); tab cleanup (A115-A116). File state: no formula errors, no external workbook links, all ten min-vs-start-year validation checks PASS. Output grid — electricity 0.200 / 0.333 / 1.103 / 1.346 / 1.429; natural gas 1.010 / 1.010 / 1.192 / 1.178 / 1.465; coal 1.136 / 1.136 / 1.146 / 1.151 / 1.445; petroleum 1.087 / 1.087 / 1.143 / 1.127 / 1.427. The corresponding revisions to the START-YEAR file are tracked in that file, not here.</t>
  </si>
  <si>
    <t>WP5: validation block added at IEMUEF rows 14-24 — every minimum factor is checked against the corresponding start-year factor (electricity and natural gas). All ten checks PASS. Headroom: electricity 35.0% / 34.4% / 13.0% / 12.3% / 22.8%; natural gas 16.5% / 19.3% / 15.5% / 46.8% / 56.6%.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</si>
</sst>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36">
    <font>
      <sz val="11"/>
      <color theme="1"/>
      <name val="Aptos Narrow"/>
      <family val="2"/>
      <scheme val="minor"/>
    </font>
    <font>
      <b/>
      <sz val="11"/>
      <color theme="1"/>
      <name val="Aptos Narrow"/>
      <family val="2"/>
      <scheme val="minor"/>
    </font>
    <font>
      <i/>
      <sz val="11"/>
      <color theme="1"/>
      <name val="Aptos Narrow"/>
      <family val="2"/>
      <scheme val="minor"/>
    </font>
    <font>
      <sz val="11"/>
      <color theme="1"/>
      <name val="Aptos Narrow"/>
      <family val="2"/>
      <scheme val="minor"/>
    </font>
    <font>
      <b/>
      <sz val="11"/>
      <color rgb="FF000000"/>
      <name val="Aptos Narrow"/>
      <family val="2"/>
    </font>
    <font>
      <sz val="11"/>
      <color theme="1"/>
      <name val="Aptos Narrow"/>
      <family val="2"/>
    </font>
    <font>
      <u/>
      <sz val="11"/>
      <color theme="10"/>
      <name val="Aptos Narrow"/>
      <family val="2"/>
      <scheme val="minor"/>
    </font>
    <font>
      <sz val="8"/>
      <color rgb="FF444444"/>
      <name val="Segoeui"/>
    </font>
    <font>
      <sz val="10"/>
      <name val="Verdana"/>
      <family val="2"/>
    </font>
    <font>
      <sz val="11"/>
      <name val="Aptos Narrow"/>
      <family val="2"/>
      <scheme val="minor"/>
    </font>
    <font>
      <sz val="12"/>
      <color theme="1"/>
      <name val="Aptos Narrow"/>
      <family val="2"/>
      <scheme val="minor"/>
    </font>
    <font>
      <sz val="11"/>
      <color rgb="FF0000FF"/>
      <name val="Aptos Narrow"/>
      <family val="2"/>
      <scheme val="minor"/>
    </font>
    <font>
      <b/>
      <sz val="9"/>
      <color indexed="81"/>
      <name val="Tahoma"/>
      <family val="2"/>
    </font>
    <font>
      <sz val="9"/>
      <color indexed="81"/>
      <name val="Tahoma"/>
      <family val="2"/>
    </font>
    <font>
      <u/>
      <sz val="11"/>
      <color rgb="FF467886"/>
      <name val="Aptos Narrow"/>
      <family val="2"/>
      <scheme val="minor"/>
    </font>
    <font>
      <sz val="11"/>
      <color rgb="FF000000"/>
      <name val="Aptos Narrow"/>
      <family val="2"/>
      <scheme val="minor"/>
    </font>
    <font>
      <sz val="8"/>
      <color rgb="FF000000"/>
      <name val="Calibri"/>
      <family val="2"/>
    </font>
    <font>
      <b/>
      <sz val="8"/>
      <color rgb="FF000000"/>
      <name val="Calibri"/>
      <family val="2"/>
    </font>
    <font>
      <b/>
      <sz val="9"/>
      <color theme="1"/>
      <name val="Aptos Narrow"/>
      <family val="2"/>
      <scheme val="minor"/>
    </font>
    <font>
      <sz val="8"/>
      <color theme="1"/>
      <name val="Calibri"/>
      <family val="2"/>
    </font>
    <font>
      <b/>
      <sz val="8"/>
      <color rgb="FFBEBEBE"/>
      <name val="Calibri"/>
      <family val="2"/>
    </font>
    <font>
      <b/>
      <sz val="8"/>
      <color theme="1"/>
      <name val="Calibri"/>
      <family val="2"/>
    </font>
    <font>
      <b/>
      <sz val="8"/>
      <name val="Calibri"/>
      <family val="2"/>
    </font>
    <font>
      <sz val="8"/>
      <name val="Calibri"/>
      <family val="2"/>
    </font>
    <font>
      <b/>
      <sz val="8"/>
      <color rgb="FFFF0000"/>
      <name val="Calibri"/>
      <family val="2"/>
    </font>
    <font>
      <sz val="8"/>
      <color rgb="FFFF0000"/>
      <name val="Calibri"/>
      <family val="2"/>
    </font>
    <font>
      <b/>
      <sz val="11"/>
      <color rgb="FF000000"/>
      <name val="Aptos Narrow"/>
      <family val="2"/>
      <scheme val="minor"/>
    </font>
    <font>
      <sz val="11"/>
      <color rgb="FFFF0000"/>
      <name val="Aptos Narrow"/>
      <family val="2"/>
      <scheme val="minor"/>
    </font>
    <font>
      <sz val="11"/>
      <color rgb="FF008000"/>
      <name val="Aptos Narrow"/>
      <family val="2"/>
      <scheme val="minor"/>
    </font>
    <font>
      <i/>
      <sz val="9"/>
      <color theme="1"/>
      <name val="Aptos Narrow"/>
      <family val="2"/>
      <scheme val="minor"/>
    </font>
    <font>
      <b/>
      <sz val="14"/>
      <color theme="1"/>
      <name val="Aptos Narrow"/>
      <family val="2"/>
      <scheme val="minor"/>
    </font>
    <font>
      <i/>
      <sz val="10"/>
      <color theme="1"/>
      <name val="Aptos Narrow"/>
      <family val="2"/>
      <scheme val="minor"/>
    </font>
    <font>
      <sz val="10"/>
      <color theme="1"/>
      <name val="Aptos Narrow"/>
      <family val="2"/>
      <scheme val="minor"/>
    </font>
    <font>
      <b/>
      <sz val="11"/>
      <color rgb="FF000000"/>
      <name val="Calibri"/>
      <family val="2"/>
    </font>
    <font>
      <b/>
      <sz val="11"/>
      <color theme="1"/>
      <name val="Calibri"/>
      <family val="2"/>
    </font>
    <font>
      <sz val="11"/>
      <color theme="1"/>
      <name val="Calibri"/>
      <family val="2"/>
    </font>
  </fonts>
  <fills count="18">
    <fill>
      <patternFill patternType="none"/>
    </fill>
    <fill>
      <patternFill patternType="gray125"/>
    </fill>
    <fill>
      <patternFill patternType="solid">
        <fgColor theme="0" tint="-0.249977111117893"/>
        <bgColor indexed="64"/>
      </patternFill>
    </fill>
    <fill>
      <patternFill patternType="solid">
        <fgColor rgb="FFBFBFBF"/>
        <bgColor rgb="FF000000"/>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tint="-0.249977111117893"/>
        <bgColor indexed="64"/>
      </patternFill>
    </fill>
    <fill>
      <patternFill patternType="solid">
        <fgColor theme="3" tint="0.749992370372631"/>
        <bgColor indexed="64"/>
      </patternFill>
    </fill>
    <fill>
      <patternFill patternType="solid">
        <fgColor rgb="FFA6C9EC"/>
        <bgColor indexed="64"/>
      </patternFill>
    </fill>
    <fill>
      <patternFill patternType="solid">
        <fgColor rgb="FFFFFF00"/>
        <bgColor indexed="64"/>
      </patternFill>
    </fill>
    <fill>
      <patternFill patternType="solid">
        <fgColor rgb="FFBFBFBF"/>
        <bgColor indexed="64"/>
      </patternFill>
    </fill>
    <fill>
      <patternFill patternType="solid">
        <fgColor theme="0"/>
      </patternFill>
    </fill>
    <fill>
      <patternFill patternType="solid">
        <fgColor theme="0"/>
        <bgColor indexed="64"/>
      </patternFill>
    </fill>
    <fill>
      <patternFill patternType="solid">
        <fgColor rgb="FF92D050"/>
        <bgColor indexed="64"/>
      </patternFill>
    </fill>
    <fill>
      <patternFill patternType="solid">
        <fgColor rgb="FF92D050"/>
        <bgColor rgb="FF000000"/>
      </patternFill>
    </fill>
    <fill>
      <patternFill patternType="solid">
        <fgColor rgb="FFF2F2F2"/>
        <bgColor rgb="FF000000"/>
      </patternFill>
    </fill>
    <fill>
      <patternFill patternType="solid">
        <fgColor rgb="FFC6EFCE"/>
        <bgColor indexed="64"/>
      </patternFill>
    </fill>
  </fills>
  <borders count="16">
    <border>
      <left/>
      <right/>
      <top/>
      <bottom/>
      <diagonal/>
    </border>
    <border>
      <left/>
      <right style="thin">
        <color indexed="64"/>
      </right>
      <top/>
      <bottom/>
      <diagonal/>
    </border>
    <border>
      <left style="thin">
        <color indexed="64"/>
      </left>
      <right/>
      <top/>
      <bottom/>
      <diagonal/>
    </border>
    <border>
      <left/>
      <right/>
      <top/>
      <bottom style="medium">
        <color indexed="64"/>
      </bottom>
      <diagonal/>
    </border>
    <border>
      <left/>
      <right style="thin">
        <color indexed="64"/>
      </right>
      <top/>
      <bottom style="medium">
        <color indexed="64"/>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medium">
        <color theme="1"/>
      </left>
      <right style="thin">
        <color theme="0" tint="-0.14999847407452621"/>
      </right>
      <top style="thin">
        <color theme="0" tint="-0.14999847407452621"/>
      </top>
      <bottom style="medium">
        <color theme="1"/>
      </bottom>
      <diagonal/>
    </border>
    <border>
      <left style="thin">
        <color theme="0" tint="-0.14999847407452621"/>
      </left>
      <right style="thin">
        <color theme="0" tint="-0.14999847407452621"/>
      </right>
      <top style="thin">
        <color theme="0" tint="-0.14999847407452621"/>
      </top>
      <bottom style="medium">
        <color theme="1"/>
      </bottom>
      <diagonal/>
    </border>
    <border>
      <left style="thin">
        <color theme="0" tint="-0.14999847407452621"/>
      </left>
      <right style="medium">
        <color theme="1"/>
      </right>
      <top style="thin">
        <color theme="0" tint="-0.14999847407452621"/>
      </top>
      <bottom style="medium">
        <color theme="1"/>
      </bottom>
      <diagonal/>
    </border>
  </borders>
  <cellStyleXfs count="6">
    <xf numFmtId="0" fontId="0" fillId="0" borderId="0"/>
    <xf numFmtId="9" fontId="3" fillId="0" borderId="0" applyFont="0" applyFill="0" applyBorder="0" applyAlignment="0" applyProtection="0"/>
    <xf numFmtId="0" fontId="6" fillId="0" borderId="0" applyNumberFormat="0" applyFill="0" applyBorder="0" applyAlignment="0" applyProtection="0"/>
    <xf numFmtId="0" fontId="8" fillId="0" borderId="0"/>
    <xf numFmtId="9" fontId="10" fillId="0" borderId="0" applyFont="0" applyFill="0" applyBorder="0" applyAlignment="0" applyProtection="0"/>
    <xf numFmtId="0" fontId="16" fillId="0" borderId="0"/>
  </cellStyleXfs>
  <cellXfs count="166">
    <xf numFmtId="0" fontId="0" fillId="0" borderId="0" xfId="0"/>
    <xf numFmtId="0" fontId="1" fillId="0" borderId="0" xfId="0" applyFont="1"/>
    <xf numFmtId="0" fontId="2" fillId="0" borderId="0" xfId="0" applyFont="1"/>
    <xf numFmtId="2" fontId="0" fillId="0" borderId="0" xfId="0" applyNumberFormat="1"/>
    <xf numFmtId="0" fontId="1" fillId="2" borderId="0" xfId="0" applyFont="1" applyFill="1"/>
    <xf numFmtId="0" fontId="0" fillId="0" borderId="0" xfId="0" applyAlignment="1">
      <alignment horizontal="left"/>
    </xf>
    <xf numFmtId="0" fontId="4" fillId="3" borderId="0" xfId="0" applyFont="1" applyFill="1"/>
    <xf numFmtId="0" fontId="5" fillId="0" borderId="0" xfId="0" applyFont="1"/>
    <xf numFmtId="0" fontId="5" fillId="0" borderId="0" xfId="0" applyFont="1" applyAlignment="1">
      <alignment horizontal="left"/>
    </xf>
    <xf numFmtId="0" fontId="0" fillId="0" borderId="0" xfId="0" applyAlignment="1">
      <alignment wrapText="1"/>
    </xf>
    <xf numFmtId="0" fontId="1" fillId="0" borderId="0" xfId="0" applyFont="1" applyAlignment="1">
      <alignment horizontal="right" wrapText="1"/>
    </xf>
    <xf numFmtId="9" fontId="0" fillId="0" borderId="0" xfId="0" applyNumberFormat="1"/>
    <xf numFmtId="164" fontId="0" fillId="0" borderId="0" xfId="0" applyNumberFormat="1"/>
    <xf numFmtId="10" fontId="0" fillId="0" borderId="0" xfId="1" applyNumberFormat="1" applyFont="1"/>
    <xf numFmtId="9" fontId="0" fillId="0" borderId="0" xfId="1" applyFont="1"/>
    <xf numFmtId="49" fontId="0" fillId="0" borderId="0" xfId="0" applyNumberFormat="1"/>
    <xf numFmtId="0" fontId="6" fillId="0" borderId="0" xfId="2"/>
    <xf numFmtId="10" fontId="0" fillId="0" borderId="0" xfId="0" applyNumberFormat="1"/>
    <xf numFmtId="1" fontId="0" fillId="0" borderId="0" xfId="0" applyNumberFormat="1"/>
    <xf numFmtId="0" fontId="7" fillId="0" borderId="0" xfId="0" applyFont="1"/>
    <xf numFmtId="164" fontId="0" fillId="4" borderId="0" xfId="0" applyNumberFormat="1" applyFill="1"/>
    <xf numFmtId="0" fontId="0" fillId="5" borderId="0" xfId="0" applyFill="1"/>
    <xf numFmtId="0" fontId="1" fillId="5" borderId="0" xfId="0" applyFont="1" applyFill="1"/>
    <xf numFmtId="165" fontId="0" fillId="0" borderId="0" xfId="0" applyNumberFormat="1"/>
    <xf numFmtId="0" fontId="1" fillId="6" borderId="0" xfId="0" applyFont="1" applyFill="1"/>
    <xf numFmtId="0" fontId="0" fillId="0" borderId="0" xfId="0" applyAlignment="1">
      <alignment horizontal="center"/>
    </xf>
    <xf numFmtId="0" fontId="2" fillId="0" borderId="0" xfId="0" applyFont="1" applyAlignment="1">
      <alignment horizontal="center"/>
    </xf>
    <xf numFmtId="2" fontId="0" fillId="0" borderId="0" xfId="0" applyNumberFormat="1" applyAlignment="1">
      <alignment horizontal="right"/>
    </xf>
    <xf numFmtId="0" fontId="0" fillId="0" borderId="0" xfId="0" applyAlignment="1">
      <alignment horizontal="right"/>
    </xf>
    <xf numFmtId="0" fontId="0" fillId="2" borderId="0" xfId="0" applyFill="1"/>
    <xf numFmtId="0" fontId="1" fillId="2" borderId="0" xfId="0" applyFont="1" applyFill="1" applyAlignment="1">
      <alignment horizontal="center" wrapText="1"/>
    </xf>
    <xf numFmtId="0" fontId="1" fillId="2" borderId="0" xfId="0" applyFont="1" applyFill="1" applyAlignment="1">
      <alignment horizontal="center"/>
    </xf>
    <xf numFmtId="164" fontId="0" fillId="0" borderId="0" xfId="0" applyNumberFormat="1" applyAlignment="1">
      <alignment horizontal="right"/>
    </xf>
    <xf numFmtId="0" fontId="1" fillId="7" borderId="0" xfId="0" applyFont="1" applyFill="1"/>
    <xf numFmtId="0" fontId="0" fillId="7" borderId="0" xfId="0" applyFill="1"/>
    <xf numFmtId="0" fontId="1" fillId="8" borderId="0" xfId="0" applyFont="1" applyFill="1"/>
    <xf numFmtId="0" fontId="1" fillId="8" borderId="0" xfId="0" applyFont="1" applyFill="1" applyAlignment="1">
      <alignment wrapText="1"/>
    </xf>
    <xf numFmtId="0" fontId="0" fillId="8" borderId="0" xfId="0" applyFill="1"/>
    <xf numFmtId="0" fontId="1" fillId="0" borderId="0" xfId="0" applyFont="1" applyAlignment="1">
      <alignment wrapText="1"/>
    </xf>
    <xf numFmtId="0" fontId="9" fillId="0" borderId="0" xfId="3" applyFont="1"/>
    <xf numFmtId="0" fontId="1" fillId="2" borderId="0" xfId="3" applyFont="1" applyFill="1" applyAlignment="1">
      <alignment wrapText="1"/>
    </xf>
    <xf numFmtId="0" fontId="1" fillId="2" borderId="0" xfId="3" applyFont="1" applyFill="1" applyAlignment="1">
      <alignment horizontal="right" wrapText="1"/>
    </xf>
    <xf numFmtId="1" fontId="9" fillId="0" borderId="0" xfId="3" applyNumberFormat="1" applyFont="1"/>
    <xf numFmtId="9" fontId="0" fillId="0" borderId="0" xfId="4" applyFont="1" applyFill="1"/>
    <xf numFmtId="0" fontId="0" fillId="0" borderId="0" xfId="3" applyFont="1"/>
    <xf numFmtId="0" fontId="1" fillId="9" borderId="0" xfId="0" applyFont="1" applyFill="1"/>
    <xf numFmtId="0" fontId="0" fillId="9" borderId="0" xfId="0" applyFill="1"/>
    <xf numFmtId="0" fontId="1" fillId="0" borderId="0" xfId="0" applyFont="1" applyAlignment="1">
      <alignment horizontal="right"/>
    </xf>
    <xf numFmtId="9" fontId="11" fillId="0" borderId="0" xfId="0" applyNumberFormat="1" applyFont="1"/>
    <xf numFmtId="0" fontId="1" fillId="2" borderId="0" xfId="0" applyFont="1" applyFill="1" applyAlignment="1">
      <alignment horizontal="right" wrapText="1"/>
    </xf>
    <xf numFmtId="0" fontId="1" fillId="2" borderId="0" xfId="0" applyFont="1" applyFill="1" applyAlignment="1">
      <alignment horizontal="left" wrapText="1"/>
    </xf>
    <xf numFmtId="0" fontId="6" fillId="0" borderId="0" xfId="2" applyAlignment="1">
      <alignment horizontal="left"/>
    </xf>
    <xf numFmtId="0" fontId="11" fillId="10" borderId="0" xfId="0" applyFont="1" applyFill="1"/>
    <xf numFmtId="0" fontId="1" fillId="11" borderId="0" xfId="0" applyFont="1" applyFill="1"/>
    <xf numFmtId="0" fontId="14" fillId="0" borderId="0" xfId="0" applyFont="1"/>
    <xf numFmtId="0" fontId="15" fillId="0" borderId="0" xfId="2" applyFont="1"/>
    <xf numFmtId="0" fontId="17" fillId="12" borderId="0" xfId="5" applyFont="1" applyFill="1" applyAlignment="1">
      <alignment vertical="center"/>
    </xf>
    <xf numFmtId="0" fontId="17" fillId="12" borderId="1" xfId="5" applyFont="1" applyFill="1" applyBorder="1" applyAlignment="1">
      <alignment horizontal="left" vertical="center"/>
    </xf>
    <xf numFmtId="0" fontId="17" fillId="12" borderId="0" xfId="5" applyFont="1" applyFill="1" applyAlignment="1">
      <alignment horizontal="center" vertical="center"/>
    </xf>
    <xf numFmtId="0" fontId="19" fillId="13" borderId="0" xfId="0" applyFont="1" applyFill="1" applyAlignment="1">
      <alignment vertical="center"/>
    </xf>
    <xf numFmtId="0" fontId="20" fillId="13" borderId="0" xfId="5" applyFont="1" applyFill="1" applyAlignment="1">
      <alignment vertical="center"/>
    </xf>
    <xf numFmtId="0" fontId="20" fillId="13" borderId="1" xfId="5" applyFont="1" applyFill="1" applyBorder="1" applyAlignment="1">
      <alignment vertical="center"/>
    </xf>
    <xf numFmtId="0" fontId="20" fillId="12" borderId="3" xfId="5" applyFont="1" applyFill="1" applyBorder="1" applyAlignment="1">
      <alignment vertical="center"/>
    </xf>
    <xf numFmtId="0" fontId="20" fillId="12" borderId="4" xfId="5" applyFont="1" applyFill="1" applyBorder="1" applyAlignment="1">
      <alignment vertical="center"/>
    </xf>
    <xf numFmtId="0" fontId="17" fillId="12" borderId="3" xfId="5" applyFont="1" applyFill="1" applyBorder="1" applyAlignment="1">
      <alignment horizontal="center" vertical="center"/>
    </xf>
    <xf numFmtId="0" fontId="20" fillId="12" borderId="0" xfId="5" applyFont="1" applyFill="1" applyAlignment="1">
      <alignment vertical="center"/>
    </xf>
    <xf numFmtId="0" fontId="20" fillId="12" borderId="1" xfId="5" applyFont="1" applyFill="1" applyBorder="1" applyAlignment="1">
      <alignment vertical="center"/>
    </xf>
    <xf numFmtId="0" fontId="21" fillId="13" borderId="0" xfId="0" applyFont="1" applyFill="1" applyAlignment="1">
      <alignment vertical="center"/>
    </xf>
    <xf numFmtId="0" fontId="19" fillId="13" borderId="1" xfId="0" applyFont="1" applyFill="1" applyBorder="1" applyAlignment="1">
      <alignment vertical="center"/>
    </xf>
    <xf numFmtId="0" fontId="17" fillId="13" borderId="0" xfId="0" applyFont="1" applyFill="1" applyAlignment="1">
      <alignment vertical="center"/>
    </xf>
    <xf numFmtId="0" fontId="22" fillId="13" borderId="0" xfId="0" applyFont="1" applyFill="1" applyAlignment="1">
      <alignment vertical="center"/>
    </xf>
    <xf numFmtId="0" fontId="23" fillId="13" borderId="1" xfId="0" applyFont="1" applyFill="1" applyBorder="1" applyAlignment="1">
      <alignment vertical="center"/>
    </xf>
    <xf numFmtId="0" fontId="16" fillId="13" borderId="0" xfId="0" applyFont="1" applyFill="1" applyAlignment="1">
      <alignment horizontal="center" vertical="center"/>
    </xf>
    <xf numFmtId="0" fontId="19" fillId="13" borderId="0" xfId="0" applyFont="1" applyFill="1" applyAlignment="1">
      <alignment horizontal="center" vertical="center"/>
    </xf>
    <xf numFmtId="9" fontId="16" fillId="13" borderId="0" xfId="0" applyNumberFormat="1" applyFont="1" applyFill="1" applyAlignment="1">
      <alignment horizontal="center" vertical="center"/>
    </xf>
    <xf numFmtId="0" fontId="17" fillId="13" borderId="1" xfId="0" applyFont="1" applyFill="1" applyBorder="1" applyAlignment="1">
      <alignment horizontal="center" vertical="center"/>
    </xf>
    <xf numFmtId="0" fontId="17" fillId="13" borderId="0" xfId="0" applyFont="1" applyFill="1" applyAlignment="1">
      <alignment horizontal="center" vertical="center"/>
    </xf>
    <xf numFmtId="0" fontId="23" fillId="13" borderId="0" xfId="0" applyFont="1" applyFill="1" applyAlignment="1">
      <alignment horizontal="center" vertical="center"/>
    </xf>
    <xf numFmtId="9" fontId="19" fillId="13" borderId="0" xfId="0" applyNumberFormat="1" applyFont="1" applyFill="1" applyAlignment="1">
      <alignment horizontal="center" vertical="center"/>
    </xf>
    <xf numFmtId="3" fontId="19" fillId="13" borderId="0" xfId="0" applyNumberFormat="1" applyFont="1" applyFill="1" applyAlignment="1">
      <alignment horizontal="center" vertical="center"/>
    </xf>
    <xf numFmtId="3" fontId="16" fillId="13" borderId="0" xfId="0" applyNumberFormat="1" applyFont="1" applyFill="1" applyAlignment="1">
      <alignment horizontal="center" vertical="center"/>
    </xf>
    <xf numFmtId="3" fontId="19" fillId="13" borderId="0" xfId="0" applyNumberFormat="1" applyFont="1" applyFill="1" applyAlignment="1">
      <alignment vertical="center"/>
    </xf>
    <xf numFmtId="166" fontId="23" fillId="13" borderId="0" xfId="0" applyNumberFormat="1" applyFont="1" applyFill="1" applyAlignment="1">
      <alignment horizontal="center" vertical="center"/>
    </xf>
    <xf numFmtId="2" fontId="23" fillId="13" borderId="0" xfId="0" applyNumberFormat="1" applyFont="1" applyFill="1" applyAlignment="1">
      <alignment horizontal="center" vertical="center"/>
    </xf>
    <xf numFmtId="166" fontId="19" fillId="13" borderId="0" xfId="0" applyNumberFormat="1" applyFont="1" applyFill="1" applyAlignment="1">
      <alignment horizontal="center" vertical="center"/>
    </xf>
    <xf numFmtId="0" fontId="19" fillId="13" borderId="3" xfId="0" applyFont="1" applyFill="1" applyBorder="1" applyAlignment="1">
      <alignment vertical="center"/>
    </xf>
    <xf numFmtId="0" fontId="23" fillId="13" borderId="0" xfId="0" applyFont="1" applyFill="1" applyAlignment="1">
      <alignment vertical="center"/>
    </xf>
    <xf numFmtId="0" fontId="17" fillId="13" borderId="0" xfId="5" applyFont="1" applyFill="1" applyAlignment="1">
      <alignment vertical="center"/>
    </xf>
    <xf numFmtId="0" fontId="19" fillId="13" borderId="0" xfId="0" applyFont="1" applyFill="1" applyAlignment="1">
      <alignment horizontal="right" vertical="center"/>
    </xf>
    <xf numFmtId="0" fontId="17" fillId="12" borderId="0" xfId="5" applyFont="1" applyFill="1" applyAlignment="1">
      <alignment horizontal="left" vertical="center"/>
    </xf>
    <xf numFmtId="0" fontId="16" fillId="13" borderId="0" xfId="5" applyFill="1" applyAlignment="1">
      <alignment vertical="center"/>
    </xf>
    <xf numFmtId="0" fontId="16" fillId="13" borderId="0" xfId="5" applyFill="1" applyAlignment="1">
      <alignment horizontal="center" vertical="center"/>
    </xf>
    <xf numFmtId="0" fontId="23" fillId="13" borderId="0" xfId="5" applyFont="1" applyFill="1" applyAlignment="1">
      <alignment horizontal="center" vertical="center"/>
    </xf>
    <xf numFmtId="9" fontId="23" fillId="13" borderId="0" xfId="5" applyNumberFormat="1" applyFont="1" applyFill="1" applyAlignment="1">
      <alignment horizontal="center" vertical="center"/>
    </xf>
    <xf numFmtId="9" fontId="16" fillId="13" borderId="0" xfId="5" applyNumberFormat="1" applyFill="1" applyAlignment="1">
      <alignment vertical="center"/>
    </xf>
    <xf numFmtId="1" fontId="23" fillId="13" borderId="0" xfId="5" applyNumberFormat="1" applyFont="1" applyFill="1" applyAlignment="1">
      <alignment horizontal="center" vertical="center"/>
    </xf>
    <xf numFmtId="166" fontId="23" fillId="13" borderId="0" xfId="5" applyNumberFormat="1" applyFont="1" applyFill="1" applyAlignment="1">
      <alignment horizontal="center" vertical="center"/>
    </xf>
    <xf numFmtId="2" fontId="23" fillId="13" borderId="0" xfId="5" applyNumberFormat="1" applyFont="1" applyFill="1" applyAlignment="1">
      <alignment horizontal="center" vertical="center"/>
    </xf>
    <xf numFmtId="9" fontId="23" fillId="13" borderId="0" xfId="1" applyFont="1" applyFill="1" applyAlignment="1">
      <alignment horizontal="center" vertical="center"/>
    </xf>
    <xf numFmtId="3" fontId="23" fillId="13" borderId="0" xfId="5" applyNumberFormat="1" applyFont="1" applyFill="1" applyAlignment="1">
      <alignment horizontal="center" vertical="center"/>
    </xf>
    <xf numFmtId="2" fontId="23" fillId="13" borderId="0" xfId="1" applyNumberFormat="1" applyFont="1" applyFill="1" applyAlignment="1">
      <alignment horizontal="center" vertical="center"/>
    </xf>
    <xf numFmtId="0" fontId="16" fillId="13" borderId="0" xfId="5" quotePrefix="1" applyFill="1" applyAlignment="1">
      <alignment vertical="center"/>
    </xf>
    <xf numFmtId="4" fontId="23" fillId="13" borderId="0" xfId="5" applyNumberFormat="1" applyFont="1" applyFill="1" applyAlignment="1">
      <alignment horizontal="center" vertical="center"/>
    </xf>
    <xf numFmtId="0" fontId="24" fillId="13" borderId="0" xfId="5" applyFont="1" applyFill="1" applyAlignment="1">
      <alignment vertical="center"/>
    </xf>
    <xf numFmtId="0" fontId="25" fillId="13" borderId="0" xfId="5" applyFont="1" applyFill="1" applyAlignment="1">
      <alignment vertical="center"/>
    </xf>
    <xf numFmtId="2" fontId="25" fillId="13" borderId="0" xfId="5" applyNumberFormat="1" applyFont="1" applyFill="1" applyAlignment="1">
      <alignment vertical="center"/>
    </xf>
    <xf numFmtId="0" fontId="23" fillId="13" borderId="0" xfId="5" applyFont="1" applyFill="1" applyAlignment="1">
      <alignment vertical="center"/>
    </xf>
    <xf numFmtId="0" fontId="1" fillId="11" borderId="0" xfId="0" applyFont="1" applyFill="1" applyAlignment="1">
      <alignment horizontal="right"/>
    </xf>
    <xf numFmtId="0" fontId="0" fillId="0" borderId="0" xfId="0" quotePrefix="1"/>
    <xf numFmtId="0" fontId="26" fillId="10" borderId="0" xfId="0" applyFont="1" applyFill="1"/>
    <xf numFmtId="9" fontId="11" fillId="10" borderId="0" xfId="0" applyNumberFormat="1" applyFont="1" applyFill="1"/>
    <xf numFmtId="165" fontId="11" fillId="0" borderId="0" xfId="0" applyNumberFormat="1" applyFont="1"/>
    <xf numFmtId="0" fontId="29" fillId="0" borderId="0" xfId="0" applyFont="1"/>
    <xf numFmtId="165" fontId="28" fillId="0" borderId="0" xfId="0" applyNumberFormat="1" applyFont="1"/>
    <xf numFmtId="0" fontId="30" fillId="0" borderId="0" xfId="0" applyFont="1"/>
    <xf numFmtId="0" fontId="3" fillId="0" borderId="0" xfId="0" applyFont="1"/>
    <xf numFmtId="0" fontId="31" fillId="0" borderId="0" xfId="0" applyFont="1"/>
    <xf numFmtId="0" fontId="1" fillId="14" borderId="0" xfId="0" applyFont="1" applyFill="1"/>
    <xf numFmtId="0" fontId="3" fillId="14" borderId="0" xfId="0" applyFont="1" applyFill="1"/>
    <xf numFmtId="0" fontId="1" fillId="11" borderId="0" xfId="0" applyFont="1" applyFill="1" applyAlignment="1">
      <alignment horizontal="center"/>
    </xf>
    <xf numFmtId="165" fontId="11" fillId="10" borderId="0" xfId="0" applyNumberFormat="1" applyFont="1" applyFill="1"/>
    <xf numFmtId="9" fontId="28" fillId="10" borderId="0" xfId="0" applyNumberFormat="1" applyFont="1" applyFill="1"/>
    <xf numFmtId="9" fontId="15" fillId="10" borderId="0" xfId="0" applyNumberFormat="1" applyFont="1" applyFill="1"/>
    <xf numFmtId="9" fontId="3" fillId="0" borderId="0" xfId="0" applyNumberFormat="1" applyFont="1"/>
    <xf numFmtId="165" fontId="3" fillId="0" borderId="0" xfId="0" applyNumberFormat="1" applyFont="1"/>
    <xf numFmtId="164" fontId="3" fillId="0" borderId="0" xfId="0" applyNumberFormat="1" applyFont="1"/>
    <xf numFmtId="164" fontId="28" fillId="0" borderId="0" xfId="0" applyNumberFormat="1" applyFont="1"/>
    <xf numFmtId="165" fontId="3" fillId="10" borderId="0" xfId="0" applyNumberFormat="1" applyFont="1" applyFill="1"/>
    <xf numFmtId="0" fontId="32" fillId="0" borderId="0" xfId="0" applyFont="1"/>
    <xf numFmtId="0" fontId="1" fillId="10" borderId="0" xfId="0" applyFont="1" applyFill="1"/>
    <xf numFmtId="0" fontId="32" fillId="0" borderId="0" xfId="0" quotePrefix="1" applyFont="1"/>
    <xf numFmtId="0" fontId="33" fillId="15" borderId="0" xfId="0" applyFont="1" applyFill="1"/>
    <xf numFmtId="0" fontId="33" fillId="3" borderId="0" xfId="0" applyFont="1" applyFill="1" applyAlignment="1">
      <alignment horizontal="right" wrapText="1"/>
    </xf>
    <xf numFmtId="9" fontId="34" fillId="3" borderId="0" xfId="1" applyFont="1" applyFill="1" applyBorder="1"/>
    <xf numFmtId="0" fontId="0" fillId="0" borderId="8" xfId="0" applyBorder="1" applyAlignment="1">
      <alignment wrapText="1"/>
    </xf>
    <xf numFmtId="0" fontId="0" fillId="0" borderId="9" xfId="0" applyBorder="1" applyAlignment="1">
      <alignment wrapText="1"/>
    </xf>
    <xf numFmtId="49" fontId="1" fillId="0" borderId="0" xfId="0" applyNumberFormat="1" applyFont="1" applyAlignment="1">
      <alignment wrapText="1"/>
    </xf>
    <xf numFmtId="165" fontId="0" fillId="0" borderId="0" xfId="1" applyNumberFormat="1" applyFont="1"/>
    <xf numFmtId="9" fontId="35" fillId="16" borderId="0" xfId="1" applyFont="1" applyFill="1" applyBorder="1"/>
    <xf numFmtId="165" fontId="0" fillId="0" borderId="10" xfId="0" applyNumberFormat="1" applyBorder="1"/>
    <xf numFmtId="165" fontId="0" fillId="0" borderId="11" xfId="0" applyNumberFormat="1" applyBorder="1"/>
    <xf numFmtId="165" fontId="0" fillId="0" borderId="12" xfId="0" applyNumberFormat="1" applyBorder="1"/>
    <xf numFmtId="9" fontId="35" fillId="0" borderId="0" xfId="1" applyFont="1" applyFill="1" applyBorder="1"/>
    <xf numFmtId="165" fontId="0" fillId="0" borderId="13" xfId="0" applyNumberFormat="1" applyBorder="1"/>
    <xf numFmtId="165" fontId="0" fillId="0" borderId="14" xfId="0" applyNumberFormat="1" applyBorder="1"/>
    <xf numFmtId="165" fontId="0" fillId="0" borderId="15" xfId="0" applyNumberFormat="1" applyBorder="1"/>
    <xf numFmtId="49" fontId="1" fillId="9" borderId="0" xfId="0" applyNumberFormat="1" applyFont="1" applyFill="1"/>
    <xf numFmtId="49" fontId="1" fillId="11" borderId="0" xfId="0" applyNumberFormat="1" applyFont="1" applyFill="1"/>
    <xf numFmtId="49" fontId="2" fillId="0" borderId="0" xfId="0" applyNumberFormat="1" applyFont="1"/>
    <xf numFmtId="164" fontId="27" fillId="0" borderId="0" xfId="0" applyNumberFormat="1" applyFont="1"/>
    <xf numFmtId="49" fontId="1" fillId="0" borderId="0" xfId="0" applyNumberFormat="1" applyFont="1"/>
    <xf numFmtId="49" fontId="1" fillId="10" borderId="0" xfId="0" applyNumberFormat="1" applyFont="1" applyFill="1"/>
    <xf numFmtId="49" fontId="0" fillId="0" borderId="0" xfId="0" applyNumberFormat="1" applyAlignment="1">
      <alignment horizontal="right"/>
    </xf>
    <xf numFmtId="49" fontId="0" fillId="0" borderId="0" xfId="0" applyNumberFormat="1" applyAlignment="1">
      <alignment horizontal="center"/>
    </xf>
    <xf numFmtId="49" fontId="0" fillId="10" borderId="0" xfId="0" applyNumberFormat="1" applyFill="1"/>
    <xf numFmtId="49" fontId="0" fillId="0" borderId="0" xfId="0" applyNumberFormat="1" applyAlignment="1">
      <alignment wrapText="1"/>
    </xf>
    <xf numFmtId="165" fontId="27" fillId="0" borderId="0" xfId="0" applyNumberFormat="1" applyFont="1"/>
    <xf numFmtId="165" fontId="1" fillId="0" borderId="0" xfId="0" applyNumberFormat="1" applyFont="1"/>
    <xf numFmtId="49" fontId="0" fillId="17" borderId="0" xfId="0" applyNumberFormat="1" applyFill="1"/>
    <xf numFmtId="0" fontId="18" fillId="12" borderId="2" xfId="2" applyFont="1" applyFill="1" applyBorder="1" applyAlignment="1">
      <alignment horizontal="center" vertical="center"/>
    </xf>
    <xf numFmtId="0" fontId="17" fillId="12" borderId="0" xfId="5" applyFont="1" applyFill="1" applyAlignment="1">
      <alignment horizontal="center" vertical="center"/>
    </xf>
    <xf numFmtId="0" fontId="18" fillId="12" borderId="0" xfId="2" applyFont="1" applyFill="1" applyAlignment="1">
      <alignment horizontal="center" vertical="center"/>
    </xf>
    <xf numFmtId="0" fontId="0" fillId="0" borderId="0" xfId="0" applyAlignment="1">
      <alignment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cellXfs>
  <cellStyles count="6">
    <cellStyle name="Hyperlink" xfId="2" builtinId="8"/>
    <cellStyle name="Normal" xfId="0" builtinId="0"/>
    <cellStyle name="Normal 2" xfId="3" xr:uid="{F9941CD3-3E97-4E11-8B00-24B2CFFCEABF}"/>
    <cellStyle name="Normal 5" xfId="5" xr:uid="{C050E049-66AF-4039-8F30-2B179E693DE9}"/>
    <cellStyle name="Percent" xfId="1" builtinId="5"/>
    <cellStyle name="Percent 3" xfId="4" xr:uid="{06970343-B7D9-4514-8AED-427A85B806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6.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5.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'Mickey data'!$B$1</c:f>
              <c:strCache>
                <c:ptCount val="1"/>
                <c:pt idx="0">
                  <c:v>No Waste Heat Recovery</c:v>
                </c:pt>
              </c:strCache>
            </c:strRef>
          </c:tx>
          <c:spPr>
            <a:ln w="38100" cap="rnd">
              <a:noFill/>
              <a:round/>
            </a:ln>
            <a:effectLst/>
          </c:spPr>
          <c:marker>
            <c:symbol val="circle"/>
            <c:size val="3"/>
            <c:spPr>
              <a:solidFill>
                <a:schemeClr val="accent1"/>
              </a:solidFill>
              <a:ln w="9525">
                <a:solidFill>
                  <a:schemeClr val="accent1"/>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data'!$B$2:$B$152</c:f>
              <c:numCache>
                <c:formatCode>0.00%</c:formatCode>
                <c:ptCount val="151"/>
                <c:pt idx="0">
                  <c:v>0.99950000000000006</c:v>
                </c:pt>
                <c:pt idx="1">
                  <c:v>0.99550000000000005</c:v>
                </c:pt>
                <c:pt idx="2">
                  <c:v>0.99139999999999995</c:v>
                </c:pt>
                <c:pt idx="3">
                  <c:v>0.98729999999999996</c:v>
                </c:pt>
                <c:pt idx="4">
                  <c:v>0.98329999999999995</c:v>
                </c:pt>
                <c:pt idx="5">
                  <c:v>0.97919999999999996</c:v>
                </c:pt>
                <c:pt idx="6">
                  <c:v>0.97509999999999997</c:v>
                </c:pt>
                <c:pt idx="7">
                  <c:v>0.97089999999999999</c:v>
                </c:pt>
                <c:pt idx="8">
                  <c:v>0.96679999999999999</c:v>
                </c:pt>
                <c:pt idx="9">
                  <c:v>0.96260000000000001</c:v>
                </c:pt>
                <c:pt idx="10">
                  <c:v>0.95840000000000003</c:v>
                </c:pt>
                <c:pt idx="11">
                  <c:v>0.95420000000000005</c:v>
                </c:pt>
                <c:pt idx="12">
                  <c:v>0.95</c:v>
                </c:pt>
                <c:pt idx="13">
                  <c:v>0.94579999999999997</c:v>
                </c:pt>
                <c:pt idx="14">
                  <c:v>0.9415</c:v>
                </c:pt>
                <c:pt idx="15">
                  <c:v>0.93730000000000002</c:v>
                </c:pt>
                <c:pt idx="16">
                  <c:v>0.93300000000000005</c:v>
                </c:pt>
                <c:pt idx="17">
                  <c:v>0.92869999999999997</c:v>
                </c:pt>
                <c:pt idx="18">
                  <c:v>0.9244</c:v>
                </c:pt>
                <c:pt idx="19">
                  <c:v>0.92010000000000003</c:v>
                </c:pt>
                <c:pt idx="20">
                  <c:v>0.91569999999999996</c:v>
                </c:pt>
                <c:pt idx="21">
                  <c:v>0.91139999999999999</c:v>
                </c:pt>
                <c:pt idx="22">
                  <c:v>0.90700000000000003</c:v>
                </c:pt>
                <c:pt idx="23">
                  <c:v>0.90259999999999996</c:v>
                </c:pt>
                <c:pt idx="24">
                  <c:v>0.8982</c:v>
                </c:pt>
                <c:pt idx="25">
                  <c:v>0.89380000000000004</c:v>
                </c:pt>
                <c:pt idx="26">
                  <c:v>0.88929999999999998</c:v>
                </c:pt>
                <c:pt idx="27">
                  <c:v>0.88490000000000002</c:v>
                </c:pt>
                <c:pt idx="28">
                  <c:v>0.88039999999999996</c:v>
                </c:pt>
                <c:pt idx="29">
                  <c:v>0.87590000000000001</c:v>
                </c:pt>
                <c:pt idx="30">
                  <c:v>0.87139999999999995</c:v>
                </c:pt>
                <c:pt idx="31">
                  <c:v>0.8669</c:v>
                </c:pt>
                <c:pt idx="32">
                  <c:v>0.86229999999999996</c:v>
                </c:pt>
                <c:pt idx="33">
                  <c:v>0.85780000000000001</c:v>
                </c:pt>
                <c:pt idx="34">
                  <c:v>0.85319999999999996</c:v>
                </c:pt>
                <c:pt idx="35">
                  <c:v>0.84860000000000002</c:v>
                </c:pt>
                <c:pt idx="36">
                  <c:v>0.84399999999999997</c:v>
                </c:pt>
                <c:pt idx="37">
                  <c:v>0.83940000000000003</c:v>
                </c:pt>
                <c:pt idx="38">
                  <c:v>0.83479999999999999</c:v>
                </c:pt>
                <c:pt idx="39">
                  <c:v>0.83009999999999995</c:v>
                </c:pt>
                <c:pt idx="40">
                  <c:v>0.82540000000000002</c:v>
                </c:pt>
                <c:pt idx="41">
                  <c:v>0.82069999999999999</c:v>
                </c:pt>
                <c:pt idx="42">
                  <c:v>0.81599999999999995</c:v>
                </c:pt>
                <c:pt idx="43">
                  <c:v>0.81130000000000002</c:v>
                </c:pt>
                <c:pt idx="44">
                  <c:v>0.80659999999999998</c:v>
                </c:pt>
                <c:pt idx="45">
                  <c:v>0.80179999999999996</c:v>
                </c:pt>
                <c:pt idx="46">
                  <c:v>0.79710000000000003</c:v>
                </c:pt>
                <c:pt idx="47">
                  <c:v>0.7923</c:v>
                </c:pt>
                <c:pt idx="48">
                  <c:v>0.78749999999999998</c:v>
                </c:pt>
                <c:pt idx="49">
                  <c:v>0.78269999999999995</c:v>
                </c:pt>
                <c:pt idx="50">
                  <c:v>0.77780000000000005</c:v>
                </c:pt>
                <c:pt idx="51">
                  <c:v>0.77300000000000002</c:v>
                </c:pt>
                <c:pt idx="52">
                  <c:v>0.7681</c:v>
                </c:pt>
                <c:pt idx="53">
                  <c:v>0.76319999999999999</c:v>
                </c:pt>
                <c:pt idx="54">
                  <c:v>0.75839999999999996</c:v>
                </c:pt>
                <c:pt idx="55">
                  <c:v>0.75339999999999996</c:v>
                </c:pt>
                <c:pt idx="56">
                  <c:v>0.74850000000000005</c:v>
                </c:pt>
                <c:pt idx="57">
                  <c:v>0.74360000000000004</c:v>
                </c:pt>
                <c:pt idx="58">
                  <c:v>0.73860000000000003</c:v>
                </c:pt>
                <c:pt idx="59">
                  <c:v>0.73360000000000003</c:v>
                </c:pt>
                <c:pt idx="60">
                  <c:v>0.72860000000000003</c:v>
                </c:pt>
                <c:pt idx="61">
                  <c:v>0.72360000000000002</c:v>
                </c:pt>
                <c:pt idx="62">
                  <c:v>0.71860000000000002</c:v>
                </c:pt>
                <c:pt idx="63">
                  <c:v>0.71350000000000002</c:v>
                </c:pt>
                <c:pt idx="64">
                  <c:v>0.70850000000000002</c:v>
                </c:pt>
                <c:pt idx="65">
                  <c:v>0.70340000000000003</c:v>
                </c:pt>
                <c:pt idx="66">
                  <c:v>0.69830000000000003</c:v>
                </c:pt>
                <c:pt idx="67">
                  <c:v>0.69320000000000004</c:v>
                </c:pt>
                <c:pt idx="68">
                  <c:v>0.68810000000000004</c:v>
                </c:pt>
                <c:pt idx="69">
                  <c:v>0.68289999999999995</c:v>
                </c:pt>
                <c:pt idx="70">
                  <c:v>0.67779999999999996</c:v>
                </c:pt>
                <c:pt idx="71">
                  <c:v>0.67259999999999998</c:v>
                </c:pt>
                <c:pt idx="72">
                  <c:v>0.66739999999999999</c:v>
                </c:pt>
                <c:pt idx="73">
                  <c:v>0.66220000000000001</c:v>
                </c:pt>
                <c:pt idx="74">
                  <c:v>0.65700000000000003</c:v>
                </c:pt>
                <c:pt idx="75">
                  <c:v>0.65169999999999995</c:v>
                </c:pt>
                <c:pt idx="76">
                  <c:v>0.64649999999999996</c:v>
                </c:pt>
                <c:pt idx="77">
                  <c:v>0.64119999999999999</c:v>
                </c:pt>
                <c:pt idx="78">
                  <c:v>0.63590000000000002</c:v>
                </c:pt>
                <c:pt idx="79">
                  <c:v>0.63060000000000005</c:v>
                </c:pt>
                <c:pt idx="80">
                  <c:v>0.62529999999999997</c:v>
                </c:pt>
                <c:pt idx="81">
                  <c:v>0.62</c:v>
                </c:pt>
                <c:pt idx="82">
                  <c:v>0.61460000000000004</c:v>
                </c:pt>
                <c:pt idx="83">
                  <c:v>0.60919999999999996</c:v>
                </c:pt>
                <c:pt idx="84">
                  <c:v>0.60389999999999999</c:v>
                </c:pt>
                <c:pt idx="85">
                  <c:v>0.59850000000000003</c:v>
                </c:pt>
                <c:pt idx="86">
                  <c:v>0.59299999999999997</c:v>
                </c:pt>
                <c:pt idx="87">
                  <c:v>0.58760000000000001</c:v>
                </c:pt>
                <c:pt idx="88">
                  <c:v>0.58220000000000005</c:v>
                </c:pt>
                <c:pt idx="89">
                  <c:v>0.57669999999999999</c:v>
                </c:pt>
                <c:pt idx="90">
                  <c:v>0.57120000000000004</c:v>
                </c:pt>
                <c:pt idx="91">
                  <c:v>0.56569999999999998</c:v>
                </c:pt>
                <c:pt idx="92">
                  <c:v>0.56020000000000003</c:v>
                </c:pt>
                <c:pt idx="93">
                  <c:v>0.55469999999999997</c:v>
                </c:pt>
                <c:pt idx="94">
                  <c:v>0.54910000000000003</c:v>
                </c:pt>
                <c:pt idx="95">
                  <c:v>0.54349999999999998</c:v>
                </c:pt>
                <c:pt idx="96">
                  <c:v>0.53800000000000003</c:v>
                </c:pt>
                <c:pt idx="97">
                  <c:v>0.53239999999999998</c:v>
                </c:pt>
                <c:pt idx="98">
                  <c:v>0.52669999999999995</c:v>
                </c:pt>
                <c:pt idx="99">
                  <c:v>0.52110000000000001</c:v>
                </c:pt>
                <c:pt idx="100">
                  <c:v>0.51549999999999996</c:v>
                </c:pt>
                <c:pt idx="101">
                  <c:v>0.50980000000000003</c:v>
                </c:pt>
                <c:pt idx="102">
                  <c:v>0.50409999999999999</c:v>
                </c:pt>
                <c:pt idx="103">
                  <c:v>0.49840000000000001</c:v>
                </c:pt>
                <c:pt idx="104">
                  <c:v>0.49270000000000003</c:v>
                </c:pt>
                <c:pt idx="105">
                  <c:v>0.48699999999999999</c:v>
                </c:pt>
                <c:pt idx="106">
                  <c:v>0.48120000000000002</c:v>
                </c:pt>
                <c:pt idx="107">
                  <c:v>0.47549999999999998</c:v>
                </c:pt>
                <c:pt idx="108">
                  <c:v>0.46970000000000001</c:v>
                </c:pt>
                <c:pt idx="109">
                  <c:v>0.46389999999999998</c:v>
                </c:pt>
                <c:pt idx="110">
                  <c:v>0.45810000000000001</c:v>
                </c:pt>
                <c:pt idx="111">
                  <c:v>0.45229999999999998</c:v>
                </c:pt>
                <c:pt idx="112">
                  <c:v>0.44640000000000002</c:v>
                </c:pt>
                <c:pt idx="113">
                  <c:v>0.44059999999999999</c:v>
                </c:pt>
                <c:pt idx="114">
                  <c:v>0.43469999999999998</c:v>
                </c:pt>
                <c:pt idx="115">
                  <c:v>0.42880000000000001</c:v>
                </c:pt>
                <c:pt idx="116">
                  <c:v>0.4229</c:v>
                </c:pt>
                <c:pt idx="117">
                  <c:v>0.41699999999999998</c:v>
                </c:pt>
                <c:pt idx="118">
                  <c:v>0.41099999999999998</c:v>
                </c:pt>
                <c:pt idx="119">
                  <c:v>0.40510000000000002</c:v>
                </c:pt>
                <c:pt idx="120">
                  <c:v>0.39910000000000001</c:v>
                </c:pt>
                <c:pt idx="121">
                  <c:v>0.3931</c:v>
                </c:pt>
                <c:pt idx="122">
                  <c:v>0.3871</c:v>
                </c:pt>
                <c:pt idx="123">
                  <c:v>0.38109999999999999</c:v>
                </c:pt>
                <c:pt idx="124">
                  <c:v>0.37509999999999999</c:v>
                </c:pt>
                <c:pt idx="125">
                  <c:v>0.36899999999999999</c:v>
                </c:pt>
                <c:pt idx="126">
                  <c:v>0.3629</c:v>
                </c:pt>
                <c:pt idx="127">
                  <c:v>0.3569</c:v>
                </c:pt>
                <c:pt idx="128">
                  <c:v>0.3508</c:v>
                </c:pt>
                <c:pt idx="129">
                  <c:v>0.34460000000000002</c:v>
                </c:pt>
                <c:pt idx="130">
                  <c:v>0.33850000000000002</c:v>
                </c:pt>
                <c:pt idx="131">
                  <c:v>0.33239999999999997</c:v>
                </c:pt>
                <c:pt idx="132">
                  <c:v>0.32619999999999999</c:v>
                </c:pt>
                <c:pt idx="133">
                  <c:v>0.32</c:v>
                </c:pt>
                <c:pt idx="134">
                  <c:v>0.31380000000000002</c:v>
                </c:pt>
                <c:pt idx="135">
                  <c:v>0.30759999999999998</c:v>
                </c:pt>
                <c:pt idx="136">
                  <c:v>0.3014</c:v>
                </c:pt>
                <c:pt idx="137">
                  <c:v>0.29509999999999997</c:v>
                </c:pt>
                <c:pt idx="138">
                  <c:v>0.2888</c:v>
                </c:pt>
                <c:pt idx="139">
                  <c:v>0.28260000000000002</c:v>
                </c:pt>
                <c:pt idx="140">
                  <c:v>0.27629999999999999</c:v>
                </c:pt>
                <c:pt idx="141">
                  <c:v>0.26989999999999997</c:v>
                </c:pt>
                <c:pt idx="142">
                  <c:v>0.2636</c:v>
                </c:pt>
                <c:pt idx="143">
                  <c:v>0.25729999999999997</c:v>
                </c:pt>
                <c:pt idx="144">
                  <c:v>0.25090000000000001</c:v>
                </c:pt>
                <c:pt idx="145">
                  <c:v>0.2445</c:v>
                </c:pt>
                <c:pt idx="146">
                  <c:v>0.23810000000000001</c:v>
                </c:pt>
                <c:pt idx="147">
                  <c:v>0.23169999999999999</c:v>
                </c:pt>
                <c:pt idx="148">
                  <c:v>0.2253</c:v>
                </c:pt>
                <c:pt idx="149">
                  <c:v>0.21879999999999999</c:v>
                </c:pt>
                <c:pt idx="150">
                  <c:v>0.21240000000000001</c:v>
                </c:pt>
              </c:numCache>
            </c:numRef>
          </c:yVal>
          <c:smooth val="0"/>
          <c:extLst>
            <c:ext xmlns:c16="http://schemas.microsoft.com/office/drawing/2014/chart" uri="{C3380CC4-5D6E-409C-BE32-E72D297353CC}">
              <c16:uniqueId val="{00000000-661D-47E9-B6D6-FEE724388AA5}"/>
            </c:ext>
          </c:extLst>
        </c:ser>
        <c:ser>
          <c:idx val="1"/>
          <c:order val="1"/>
          <c:tx>
            <c:strRef>
              <c:f>'Mickey data'!$C$1</c:f>
              <c:strCache>
                <c:ptCount val="1"/>
                <c:pt idx="0">
                  <c:v>Plug-in or Central Heat Exchanger</c:v>
                </c:pt>
              </c:strCache>
            </c:strRef>
          </c:tx>
          <c:spPr>
            <a:ln w="38100" cap="rnd">
              <a:noFill/>
              <a:round/>
            </a:ln>
            <a:effectLst/>
          </c:spPr>
          <c:marker>
            <c:symbol val="circle"/>
            <c:size val="3"/>
            <c:spPr>
              <a:solidFill>
                <a:schemeClr val="accent2"/>
              </a:solidFill>
              <a:ln w="9525">
                <a:solidFill>
                  <a:schemeClr val="accent2"/>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data'!$C$2:$C$152</c:f>
              <c:numCache>
                <c:formatCode>0.00%</c:formatCode>
                <c:ptCount val="151"/>
                <c:pt idx="0">
                  <c:v>0.99460000000000004</c:v>
                </c:pt>
                <c:pt idx="1">
                  <c:v>0.99180000000000001</c:v>
                </c:pt>
                <c:pt idx="2">
                  <c:v>0.98899999999999999</c:v>
                </c:pt>
                <c:pt idx="3">
                  <c:v>0.98619999999999997</c:v>
                </c:pt>
                <c:pt idx="4">
                  <c:v>0.98340000000000005</c:v>
                </c:pt>
                <c:pt idx="5">
                  <c:v>0.98060000000000003</c:v>
                </c:pt>
                <c:pt idx="6">
                  <c:v>0.9778</c:v>
                </c:pt>
                <c:pt idx="7">
                  <c:v>0.97489999999999999</c:v>
                </c:pt>
                <c:pt idx="8">
                  <c:v>0.97209999999999996</c:v>
                </c:pt>
                <c:pt idx="9">
                  <c:v>0.96930000000000005</c:v>
                </c:pt>
                <c:pt idx="10">
                  <c:v>0.96640000000000004</c:v>
                </c:pt>
                <c:pt idx="11">
                  <c:v>0.96360000000000001</c:v>
                </c:pt>
                <c:pt idx="12">
                  <c:v>0.9607</c:v>
                </c:pt>
                <c:pt idx="13">
                  <c:v>0.95779999999999998</c:v>
                </c:pt>
                <c:pt idx="14">
                  <c:v>0.95499999999999996</c:v>
                </c:pt>
                <c:pt idx="15">
                  <c:v>0.95209999999999995</c:v>
                </c:pt>
                <c:pt idx="16">
                  <c:v>0.94920000000000004</c:v>
                </c:pt>
                <c:pt idx="17">
                  <c:v>0.94630000000000003</c:v>
                </c:pt>
                <c:pt idx="18">
                  <c:v>0.94340000000000002</c:v>
                </c:pt>
                <c:pt idx="19">
                  <c:v>0.9405</c:v>
                </c:pt>
                <c:pt idx="20">
                  <c:v>0.93759999999999999</c:v>
                </c:pt>
                <c:pt idx="21">
                  <c:v>0.93469999999999998</c:v>
                </c:pt>
                <c:pt idx="22">
                  <c:v>0.93169999999999997</c:v>
                </c:pt>
                <c:pt idx="23">
                  <c:v>0.92879999999999996</c:v>
                </c:pt>
                <c:pt idx="24">
                  <c:v>0.92589999999999995</c:v>
                </c:pt>
                <c:pt idx="25">
                  <c:v>0.92290000000000005</c:v>
                </c:pt>
                <c:pt idx="26">
                  <c:v>0.92</c:v>
                </c:pt>
                <c:pt idx="27">
                  <c:v>0.91700000000000004</c:v>
                </c:pt>
                <c:pt idx="28">
                  <c:v>0.91410000000000002</c:v>
                </c:pt>
                <c:pt idx="29">
                  <c:v>0.91110000000000002</c:v>
                </c:pt>
                <c:pt idx="30">
                  <c:v>0.90810000000000002</c:v>
                </c:pt>
                <c:pt idx="31">
                  <c:v>0.9052</c:v>
                </c:pt>
                <c:pt idx="32">
                  <c:v>0.9022</c:v>
                </c:pt>
                <c:pt idx="33">
                  <c:v>0.8992</c:v>
                </c:pt>
                <c:pt idx="34">
                  <c:v>0.8962</c:v>
                </c:pt>
                <c:pt idx="35">
                  <c:v>0.89319999999999999</c:v>
                </c:pt>
                <c:pt idx="36">
                  <c:v>0.89019999999999999</c:v>
                </c:pt>
                <c:pt idx="37">
                  <c:v>0.8871</c:v>
                </c:pt>
                <c:pt idx="38">
                  <c:v>0.8841</c:v>
                </c:pt>
                <c:pt idx="39">
                  <c:v>0.88109999999999999</c:v>
                </c:pt>
                <c:pt idx="40">
                  <c:v>0.87809999999999999</c:v>
                </c:pt>
                <c:pt idx="41">
                  <c:v>0.875</c:v>
                </c:pt>
                <c:pt idx="42">
                  <c:v>0.872</c:v>
                </c:pt>
                <c:pt idx="43">
                  <c:v>0.86890000000000001</c:v>
                </c:pt>
                <c:pt idx="44">
                  <c:v>0.86580000000000001</c:v>
                </c:pt>
                <c:pt idx="45">
                  <c:v>0.86280000000000001</c:v>
                </c:pt>
                <c:pt idx="46">
                  <c:v>0.85970000000000002</c:v>
                </c:pt>
                <c:pt idx="47">
                  <c:v>0.85660000000000003</c:v>
                </c:pt>
                <c:pt idx="48">
                  <c:v>0.85350000000000004</c:v>
                </c:pt>
                <c:pt idx="49">
                  <c:v>0.85040000000000004</c:v>
                </c:pt>
                <c:pt idx="50">
                  <c:v>0.84730000000000005</c:v>
                </c:pt>
                <c:pt idx="51">
                  <c:v>0.84419999999999995</c:v>
                </c:pt>
                <c:pt idx="52">
                  <c:v>0.84109999999999996</c:v>
                </c:pt>
                <c:pt idx="53">
                  <c:v>0.83799999999999997</c:v>
                </c:pt>
                <c:pt idx="54">
                  <c:v>0.83489999999999998</c:v>
                </c:pt>
                <c:pt idx="55">
                  <c:v>0.83179999999999998</c:v>
                </c:pt>
                <c:pt idx="56">
                  <c:v>0.8286</c:v>
                </c:pt>
                <c:pt idx="57">
                  <c:v>0.82550000000000001</c:v>
                </c:pt>
                <c:pt idx="58">
                  <c:v>0.82230000000000003</c:v>
                </c:pt>
                <c:pt idx="59">
                  <c:v>0.81920000000000004</c:v>
                </c:pt>
                <c:pt idx="60">
                  <c:v>0.81599999999999995</c:v>
                </c:pt>
                <c:pt idx="61">
                  <c:v>0.81279999999999997</c:v>
                </c:pt>
                <c:pt idx="62">
                  <c:v>0.80969999999999998</c:v>
                </c:pt>
                <c:pt idx="63">
                  <c:v>0.80649999999999999</c:v>
                </c:pt>
                <c:pt idx="64">
                  <c:v>0.80330000000000001</c:v>
                </c:pt>
                <c:pt idx="65">
                  <c:v>0.80010000000000003</c:v>
                </c:pt>
                <c:pt idx="66">
                  <c:v>0.79690000000000005</c:v>
                </c:pt>
                <c:pt idx="67">
                  <c:v>0.79369999999999996</c:v>
                </c:pt>
                <c:pt idx="68">
                  <c:v>0.79049999999999998</c:v>
                </c:pt>
                <c:pt idx="69">
                  <c:v>0.7873</c:v>
                </c:pt>
                <c:pt idx="70">
                  <c:v>0.78400000000000003</c:v>
                </c:pt>
                <c:pt idx="71">
                  <c:v>0.78080000000000005</c:v>
                </c:pt>
                <c:pt idx="72">
                  <c:v>0.77759999999999996</c:v>
                </c:pt>
                <c:pt idx="73">
                  <c:v>0.77429999999999999</c:v>
                </c:pt>
                <c:pt idx="74">
                  <c:v>0.77110000000000001</c:v>
                </c:pt>
                <c:pt idx="75">
                  <c:v>0.76780000000000004</c:v>
                </c:pt>
                <c:pt idx="76">
                  <c:v>0.76459999999999995</c:v>
                </c:pt>
                <c:pt idx="77">
                  <c:v>0.76129999999999998</c:v>
                </c:pt>
                <c:pt idx="78">
                  <c:v>0.75800000000000001</c:v>
                </c:pt>
                <c:pt idx="79">
                  <c:v>0.75470000000000004</c:v>
                </c:pt>
                <c:pt idx="80">
                  <c:v>0.75139999999999996</c:v>
                </c:pt>
                <c:pt idx="81">
                  <c:v>0.74819999999999998</c:v>
                </c:pt>
                <c:pt idx="82">
                  <c:v>0.74490000000000001</c:v>
                </c:pt>
                <c:pt idx="83">
                  <c:v>0.74150000000000005</c:v>
                </c:pt>
                <c:pt idx="84">
                  <c:v>0.73819999999999997</c:v>
                </c:pt>
                <c:pt idx="85">
                  <c:v>0.7349</c:v>
                </c:pt>
                <c:pt idx="86">
                  <c:v>0.73160000000000003</c:v>
                </c:pt>
                <c:pt idx="87">
                  <c:v>0.72829999999999995</c:v>
                </c:pt>
                <c:pt idx="88">
                  <c:v>0.72489999999999999</c:v>
                </c:pt>
                <c:pt idx="89">
                  <c:v>0.72160000000000002</c:v>
                </c:pt>
                <c:pt idx="90">
                  <c:v>0.71819999999999995</c:v>
                </c:pt>
                <c:pt idx="91">
                  <c:v>0.71489999999999998</c:v>
                </c:pt>
                <c:pt idx="92">
                  <c:v>0.71150000000000002</c:v>
                </c:pt>
                <c:pt idx="93">
                  <c:v>0.70809999999999995</c:v>
                </c:pt>
                <c:pt idx="94">
                  <c:v>0.70479999999999998</c:v>
                </c:pt>
                <c:pt idx="95">
                  <c:v>0.70140000000000002</c:v>
                </c:pt>
                <c:pt idx="96">
                  <c:v>0.69799999999999995</c:v>
                </c:pt>
                <c:pt idx="97">
                  <c:v>0.6946</c:v>
                </c:pt>
                <c:pt idx="98">
                  <c:v>0.69120000000000004</c:v>
                </c:pt>
                <c:pt idx="99">
                  <c:v>0.68779999999999997</c:v>
                </c:pt>
                <c:pt idx="100">
                  <c:v>0.68440000000000001</c:v>
                </c:pt>
                <c:pt idx="101">
                  <c:v>0.68100000000000005</c:v>
                </c:pt>
                <c:pt idx="102">
                  <c:v>0.67749999999999999</c:v>
                </c:pt>
                <c:pt idx="103">
                  <c:v>0.67410000000000003</c:v>
                </c:pt>
                <c:pt idx="104">
                  <c:v>0.67069999999999996</c:v>
                </c:pt>
                <c:pt idx="105">
                  <c:v>0.66720000000000002</c:v>
                </c:pt>
                <c:pt idx="106">
                  <c:v>0.66379999999999995</c:v>
                </c:pt>
                <c:pt idx="107">
                  <c:v>0.6603</c:v>
                </c:pt>
                <c:pt idx="108">
                  <c:v>0.65680000000000005</c:v>
                </c:pt>
                <c:pt idx="109">
                  <c:v>0.65339999999999998</c:v>
                </c:pt>
                <c:pt idx="110">
                  <c:v>0.64990000000000003</c:v>
                </c:pt>
                <c:pt idx="111">
                  <c:v>0.64639999999999997</c:v>
                </c:pt>
                <c:pt idx="112">
                  <c:v>0.64290000000000003</c:v>
                </c:pt>
                <c:pt idx="113">
                  <c:v>0.63939999999999997</c:v>
                </c:pt>
                <c:pt idx="114">
                  <c:v>0.63590000000000002</c:v>
                </c:pt>
                <c:pt idx="115">
                  <c:v>0.63239999999999996</c:v>
                </c:pt>
                <c:pt idx="116">
                  <c:v>0.62890000000000001</c:v>
                </c:pt>
                <c:pt idx="117">
                  <c:v>0.62539999999999996</c:v>
                </c:pt>
                <c:pt idx="118">
                  <c:v>0.62190000000000001</c:v>
                </c:pt>
                <c:pt idx="119">
                  <c:v>0.61829999999999996</c:v>
                </c:pt>
                <c:pt idx="120">
                  <c:v>0.61480000000000001</c:v>
                </c:pt>
                <c:pt idx="121">
                  <c:v>0.61119999999999997</c:v>
                </c:pt>
                <c:pt idx="122">
                  <c:v>0.60770000000000002</c:v>
                </c:pt>
                <c:pt idx="123">
                  <c:v>0.60409999999999997</c:v>
                </c:pt>
                <c:pt idx="124">
                  <c:v>0.60060000000000002</c:v>
                </c:pt>
                <c:pt idx="125">
                  <c:v>0.59699999999999998</c:v>
                </c:pt>
                <c:pt idx="126">
                  <c:v>0.59340000000000004</c:v>
                </c:pt>
                <c:pt idx="127">
                  <c:v>0.58979999999999999</c:v>
                </c:pt>
                <c:pt idx="128">
                  <c:v>0.58620000000000005</c:v>
                </c:pt>
                <c:pt idx="129">
                  <c:v>0.58260000000000001</c:v>
                </c:pt>
                <c:pt idx="130">
                  <c:v>0.57899999999999996</c:v>
                </c:pt>
                <c:pt idx="131">
                  <c:v>0.57540000000000002</c:v>
                </c:pt>
                <c:pt idx="132">
                  <c:v>0.57179999999999997</c:v>
                </c:pt>
                <c:pt idx="133">
                  <c:v>0.56820000000000004</c:v>
                </c:pt>
                <c:pt idx="134">
                  <c:v>0.56459999999999999</c:v>
                </c:pt>
                <c:pt idx="135">
                  <c:v>0.56089999999999995</c:v>
                </c:pt>
                <c:pt idx="136">
                  <c:v>0.55730000000000002</c:v>
                </c:pt>
                <c:pt idx="137">
                  <c:v>0.55369999999999997</c:v>
                </c:pt>
                <c:pt idx="138">
                  <c:v>0.55000000000000004</c:v>
                </c:pt>
                <c:pt idx="139">
                  <c:v>0.54630000000000001</c:v>
                </c:pt>
                <c:pt idx="140">
                  <c:v>0.54269999999999996</c:v>
                </c:pt>
                <c:pt idx="141">
                  <c:v>0.53900000000000003</c:v>
                </c:pt>
                <c:pt idx="142">
                  <c:v>0.5353</c:v>
                </c:pt>
                <c:pt idx="143">
                  <c:v>0.53159999999999996</c:v>
                </c:pt>
                <c:pt idx="144">
                  <c:v>0.52800000000000002</c:v>
                </c:pt>
                <c:pt idx="145">
                  <c:v>0.52429999999999999</c:v>
                </c:pt>
                <c:pt idx="146">
                  <c:v>0.52059999999999995</c:v>
                </c:pt>
                <c:pt idx="147">
                  <c:v>0.51680000000000004</c:v>
                </c:pt>
                <c:pt idx="148">
                  <c:v>0.5131</c:v>
                </c:pt>
                <c:pt idx="149">
                  <c:v>0.50939999999999996</c:v>
                </c:pt>
                <c:pt idx="150">
                  <c:v>0.50570000000000004</c:v>
                </c:pt>
              </c:numCache>
            </c:numRef>
          </c:yVal>
          <c:smooth val="0"/>
          <c:extLst>
            <c:ext xmlns:c16="http://schemas.microsoft.com/office/drawing/2014/chart" uri="{C3380CC4-5D6E-409C-BE32-E72D297353CC}">
              <c16:uniqueId val="{00000001-661D-47E9-B6D6-FEE724388AA5}"/>
            </c:ext>
          </c:extLst>
        </c:ser>
        <c:ser>
          <c:idx val="2"/>
          <c:order val="2"/>
          <c:tx>
            <c:strRef>
              <c:f>'Mickey data'!$D$1</c:f>
              <c:strCache>
                <c:ptCount val="1"/>
                <c:pt idx="0">
                  <c:v>Recuperative Burner</c:v>
                </c:pt>
              </c:strCache>
            </c:strRef>
          </c:tx>
          <c:spPr>
            <a:ln w="38100" cap="rnd">
              <a:noFill/>
              <a:round/>
            </a:ln>
            <a:effectLst/>
          </c:spPr>
          <c:marker>
            <c:symbol val="circle"/>
            <c:size val="3"/>
            <c:spPr>
              <a:solidFill>
                <a:schemeClr val="accent5">
                  <a:lumMod val="40000"/>
                  <a:lumOff val="60000"/>
                </a:schemeClr>
              </a:solidFill>
              <a:ln w="9525">
                <a:solidFill>
                  <a:schemeClr val="accent5">
                    <a:lumMod val="40000"/>
                    <a:lumOff val="60000"/>
                  </a:schemeClr>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data'!$D$2:$D$152</c:f>
              <c:numCache>
                <c:formatCode>0.00%</c:formatCode>
                <c:ptCount val="151"/>
                <c:pt idx="0">
                  <c:v>0.99419999999999997</c:v>
                </c:pt>
                <c:pt idx="1">
                  <c:v>0.99199999999999999</c:v>
                </c:pt>
                <c:pt idx="2">
                  <c:v>0.98980000000000001</c:v>
                </c:pt>
                <c:pt idx="3">
                  <c:v>0.98760000000000003</c:v>
                </c:pt>
                <c:pt idx="4">
                  <c:v>0.98540000000000005</c:v>
                </c:pt>
                <c:pt idx="5">
                  <c:v>0.98319999999999996</c:v>
                </c:pt>
                <c:pt idx="6">
                  <c:v>0.98099999999999998</c:v>
                </c:pt>
                <c:pt idx="7">
                  <c:v>0.9788</c:v>
                </c:pt>
                <c:pt idx="8">
                  <c:v>0.97660000000000002</c:v>
                </c:pt>
                <c:pt idx="9">
                  <c:v>0.97430000000000005</c:v>
                </c:pt>
                <c:pt idx="10">
                  <c:v>0.97209999999999996</c:v>
                </c:pt>
                <c:pt idx="11">
                  <c:v>0.96989999999999998</c:v>
                </c:pt>
                <c:pt idx="12">
                  <c:v>0.9677</c:v>
                </c:pt>
                <c:pt idx="13">
                  <c:v>0.96540000000000004</c:v>
                </c:pt>
                <c:pt idx="14">
                  <c:v>0.96319999999999995</c:v>
                </c:pt>
                <c:pt idx="15">
                  <c:v>0.96099999999999997</c:v>
                </c:pt>
                <c:pt idx="16">
                  <c:v>0.9587</c:v>
                </c:pt>
                <c:pt idx="17">
                  <c:v>0.95650000000000002</c:v>
                </c:pt>
                <c:pt idx="18">
                  <c:v>0.95430000000000004</c:v>
                </c:pt>
                <c:pt idx="19">
                  <c:v>0.95199999999999996</c:v>
                </c:pt>
                <c:pt idx="20">
                  <c:v>0.94979999999999998</c:v>
                </c:pt>
                <c:pt idx="21">
                  <c:v>0.94750000000000001</c:v>
                </c:pt>
                <c:pt idx="22">
                  <c:v>0.94530000000000003</c:v>
                </c:pt>
                <c:pt idx="23">
                  <c:v>0.94299999999999995</c:v>
                </c:pt>
                <c:pt idx="24">
                  <c:v>0.94079999999999997</c:v>
                </c:pt>
                <c:pt idx="25">
                  <c:v>0.9385</c:v>
                </c:pt>
                <c:pt idx="26">
                  <c:v>0.93620000000000003</c:v>
                </c:pt>
                <c:pt idx="27">
                  <c:v>0.93400000000000005</c:v>
                </c:pt>
                <c:pt idx="28">
                  <c:v>0.93169999999999997</c:v>
                </c:pt>
                <c:pt idx="29">
                  <c:v>0.9294</c:v>
                </c:pt>
                <c:pt idx="30">
                  <c:v>0.92720000000000002</c:v>
                </c:pt>
                <c:pt idx="31">
                  <c:v>0.92490000000000006</c:v>
                </c:pt>
                <c:pt idx="32">
                  <c:v>0.92259999999999998</c:v>
                </c:pt>
                <c:pt idx="33">
                  <c:v>0.92030000000000001</c:v>
                </c:pt>
                <c:pt idx="34">
                  <c:v>0.91810000000000003</c:v>
                </c:pt>
                <c:pt idx="35">
                  <c:v>0.91579999999999995</c:v>
                </c:pt>
                <c:pt idx="36">
                  <c:v>0.91349999999999998</c:v>
                </c:pt>
                <c:pt idx="37">
                  <c:v>0.91120000000000001</c:v>
                </c:pt>
                <c:pt idx="38">
                  <c:v>0.90890000000000004</c:v>
                </c:pt>
                <c:pt idx="39">
                  <c:v>0.90659999999999996</c:v>
                </c:pt>
                <c:pt idx="40">
                  <c:v>0.90429999999999999</c:v>
                </c:pt>
                <c:pt idx="41">
                  <c:v>0.90200000000000002</c:v>
                </c:pt>
                <c:pt idx="42">
                  <c:v>0.89970000000000006</c:v>
                </c:pt>
                <c:pt idx="43">
                  <c:v>0.89739999999999998</c:v>
                </c:pt>
                <c:pt idx="44">
                  <c:v>0.89510000000000001</c:v>
                </c:pt>
                <c:pt idx="45">
                  <c:v>0.89280000000000004</c:v>
                </c:pt>
                <c:pt idx="46">
                  <c:v>0.89039999999999997</c:v>
                </c:pt>
                <c:pt idx="47">
                  <c:v>0.8881</c:v>
                </c:pt>
                <c:pt idx="48">
                  <c:v>0.88580000000000003</c:v>
                </c:pt>
                <c:pt idx="49">
                  <c:v>0.88349999999999995</c:v>
                </c:pt>
                <c:pt idx="50">
                  <c:v>0.88119999999999998</c:v>
                </c:pt>
                <c:pt idx="51">
                  <c:v>0.87880000000000003</c:v>
                </c:pt>
                <c:pt idx="52">
                  <c:v>0.87649999999999995</c:v>
                </c:pt>
                <c:pt idx="53">
                  <c:v>0.87419999999999998</c:v>
                </c:pt>
                <c:pt idx="54">
                  <c:v>0.87180000000000002</c:v>
                </c:pt>
                <c:pt idx="55">
                  <c:v>0.86950000000000005</c:v>
                </c:pt>
                <c:pt idx="56">
                  <c:v>0.86719999999999997</c:v>
                </c:pt>
                <c:pt idx="57">
                  <c:v>0.86480000000000001</c:v>
                </c:pt>
                <c:pt idx="58">
                  <c:v>0.86250000000000004</c:v>
                </c:pt>
                <c:pt idx="59">
                  <c:v>0.86009999999999998</c:v>
                </c:pt>
                <c:pt idx="60">
                  <c:v>0.85780000000000001</c:v>
                </c:pt>
                <c:pt idx="61">
                  <c:v>0.85540000000000005</c:v>
                </c:pt>
                <c:pt idx="62">
                  <c:v>0.85309999999999997</c:v>
                </c:pt>
                <c:pt idx="63">
                  <c:v>0.85070000000000001</c:v>
                </c:pt>
                <c:pt idx="64">
                  <c:v>0.84830000000000005</c:v>
                </c:pt>
                <c:pt idx="65">
                  <c:v>0.84599999999999997</c:v>
                </c:pt>
                <c:pt idx="66">
                  <c:v>0.84360000000000002</c:v>
                </c:pt>
                <c:pt idx="67">
                  <c:v>0.84119999999999995</c:v>
                </c:pt>
                <c:pt idx="68">
                  <c:v>0.83889999999999998</c:v>
                </c:pt>
                <c:pt idx="69">
                  <c:v>0.83650000000000002</c:v>
                </c:pt>
                <c:pt idx="70">
                  <c:v>0.83409999999999995</c:v>
                </c:pt>
                <c:pt idx="71">
                  <c:v>0.83169999999999999</c:v>
                </c:pt>
                <c:pt idx="72">
                  <c:v>0.82930000000000004</c:v>
                </c:pt>
                <c:pt idx="73">
                  <c:v>0.82699999999999996</c:v>
                </c:pt>
                <c:pt idx="74">
                  <c:v>0.8246</c:v>
                </c:pt>
                <c:pt idx="75">
                  <c:v>0.82220000000000004</c:v>
                </c:pt>
                <c:pt idx="76">
                  <c:v>0.81979999999999997</c:v>
                </c:pt>
                <c:pt idx="77">
                  <c:v>0.81740000000000002</c:v>
                </c:pt>
                <c:pt idx="78">
                  <c:v>0.81499999999999995</c:v>
                </c:pt>
                <c:pt idx="79">
                  <c:v>0.81259999999999999</c:v>
                </c:pt>
                <c:pt idx="80">
                  <c:v>0.81020000000000003</c:v>
                </c:pt>
                <c:pt idx="81">
                  <c:v>0.80779999999999996</c:v>
                </c:pt>
                <c:pt idx="82">
                  <c:v>0.8054</c:v>
                </c:pt>
                <c:pt idx="83">
                  <c:v>0.80300000000000005</c:v>
                </c:pt>
                <c:pt idx="84">
                  <c:v>0.80049999999999999</c:v>
                </c:pt>
                <c:pt idx="85">
                  <c:v>0.79810000000000003</c:v>
                </c:pt>
                <c:pt idx="86">
                  <c:v>0.79569999999999996</c:v>
                </c:pt>
                <c:pt idx="87">
                  <c:v>0.79330000000000001</c:v>
                </c:pt>
                <c:pt idx="88">
                  <c:v>0.79090000000000005</c:v>
                </c:pt>
                <c:pt idx="89">
                  <c:v>0.78839999999999999</c:v>
                </c:pt>
                <c:pt idx="90">
                  <c:v>0.78600000000000003</c:v>
                </c:pt>
                <c:pt idx="91">
                  <c:v>0.78359999999999996</c:v>
                </c:pt>
                <c:pt idx="92">
                  <c:v>0.78110000000000002</c:v>
                </c:pt>
                <c:pt idx="93">
                  <c:v>0.77869999999999995</c:v>
                </c:pt>
                <c:pt idx="94">
                  <c:v>0.77629999999999999</c:v>
                </c:pt>
                <c:pt idx="95">
                  <c:v>0.77380000000000004</c:v>
                </c:pt>
                <c:pt idx="96">
                  <c:v>0.77139999999999997</c:v>
                </c:pt>
                <c:pt idx="97">
                  <c:v>0.76890000000000003</c:v>
                </c:pt>
                <c:pt idx="98">
                  <c:v>0.76649999999999996</c:v>
                </c:pt>
                <c:pt idx="99">
                  <c:v>0.76400000000000001</c:v>
                </c:pt>
                <c:pt idx="100">
                  <c:v>0.76160000000000005</c:v>
                </c:pt>
                <c:pt idx="101">
                  <c:v>0.7591</c:v>
                </c:pt>
                <c:pt idx="102">
                  <c:v>0.75660000000000005</c:v>
                </c:pt>
                <c:pt idx="103">
                  <c:v>0.75419999999999998</c:v>
                </c:pt>
                <c:pt idx="104">
                  <c:v>0.75170000000000003</c:v>
                </c:pt>
                <c:pt idx="105">
                  <c:v>0.74919999999999998</c:v>
                </c:pt>
                <c:pt idx="106">
                  <c:v>0.74680000000000002</c:v>
                </c:pt>
                <c:pt idx="107">
                  <c:v>0.74429999999999996</c:v>
                </c:pt>
                <c:pt idx="108">
                  <c:v>0.74180000000000001</c:v>
                </c:pt>
                <c:pt idx="109">
                  <c:v>0.73929999999999996</c:v>
                </c:pt>
                <c:pt idx="110">
                  <c:v>0.7369</c:v>
                </c:pt>
                <c:pt idx="111">
                  <c:v>0.73440000000000005</c:v>
                </c:pt>
                <c:pt idx="112">
                  <c:v>0.7319</c:v>
                </c:pt>
                <c:pt idx="113">
                  <c:v>0.72940000000000005</c:v>
                </c:pt>
                <c:pt idx="114">
                  <c:v>0.72689999999999999</c:v>
                </c:pt>
                <c:pt idx="115">
                  <c:v>0.72440000000000004</c:v>
                </c:pt>
                <c:pt idx="116">
                  <c:v>0.72189999999999999</c:v>
                </c:pt>
                <c:pt idx="117">
                  <c:v>0.71940000000000004</c:v>
                </c:pt>
                <c:pt idx="118">
                  <c:v>0.71689999999999998</c:v>
                </c:pt>
                <c:pt idx="119">
                  <c:v>0.71440000000000003</c:v>
                </c:pt>
                <c:pt idx="120">
                  <c:v>0.71189999999999998</c:v>
                </c:pt>
                <c:pt idx="121">
                  <c:v>0.70940000000000003</c:v>
                </c:pt>
                <c:pt idx="122">
                  <c:v>0.70689999999999997</c:v>
                </c:pt>
                <c:pt idx="123">
                  <c:v>0.70430000000000004</c:v>
                </c:pt>
                <c:pt idx="124">
                  <c:v>0.70179999999999998</c:v>
                </c:pt>
                <c:pt idx="125">
                  <c:v>0.69930000000000003</c:v>
                </c:pt>
                <c:pt idx="126">
                  <c:v>0.69679999999999997</c:v>
                </c:pt>
                <c:pt idx="127">
                  <c:v>0.69420000000000004</c:v>
                </c:pt>
                <c:pt idx="128">
                  <c:v>0.69169999999999998</c:v>
                </c:pt>
                <c:pt idx="129">
                  <c:v>0.68920000000000003</c:v>
                </c:pt>
                <c:pt idx="130">
                  <c:v>0.68659999999999999</c:v>
                </c:pt>
                <c:pt idx="131">
                  <c:v>0.68410000000000004</c:v>
                </c:pt>
                <c:pt idx="132">
                  <c:v>0.68159999999999998</c:v>
                </c:pt>
                <c:pt idx="133">
                  <c:v>0.67900000000000005</c:v>
                </c:pt>
                <c:pt idx="134">
                  <c:v>0.67649999999999999</c:v>
                </c:pt>
                <c:pt idx="135">
                  <c:v>0.67390000000000005</c:v>
                </c:pt>
                <c:pt idx="136">
                  <c:v>0.6714</c:v>
                </c:pt>
                <c:pt idx="137">
                  <c:v>0.66879999999999995</c:v>
                </c:pt>
                <c:pt idx="138">
                  <c:v>0.6663</c:v>
                </c:pt>
                <c:pt idx="139">
                  <c:v>0.66369999999999996</c:v>
                </c:pt>
                <c:pt idx="140">
                  <c:v>0.66110000000000002</c:v>
                </c:pt>
                <c:pt idx="141">
                  <c:v>0.65859999999999996</c:v>
                </c:pt>
                <c:pt idx="142">
                  <c:v>0.65600000000000003</c:v>
                </c:pt>
                <c:pt idx="143">
                  <c:v>0.65339999999999998</c:v>
                </c:pt>
                <c:pt idx="144">
                  <c:v>0.65090000000000003</c:v>
                </c:pt>
                <c:pt idx="145">
                  <c:v>0.64829999999999999</c:v>
                </c:pt>
                <c:pt idx="146">
                  <c:v>0.64570000000000005</c:v>
                </c:pt>
                <c:pt idx="147">
                  <c:v>0.6431</c:v>
                </c:pt>
                <c:pt idx="148">
                  <c:v>0.64059999999999995</c:v>
                </c:pt>
                <c:pt idx="149">
                  <c:v>0.63800000000000001</c:v>
                </c:pt>
                <c:pt idx="150">
                  <c:v>0.63539999999999996</c:v>
                </c:pt>
              </c:numCache>
            </c:numRef>
          </c:yVal>
          <c:smooth val="0"/>
          <c:extLst>
            <c:ext xmlns:c16="http://schemas.microsoft.com/office/drawing/2014/chart" uri="{C3380CC4-5D6E-409C-BE32-E72D297353CC}">
              <c16:uniqueId val="{00000002-661D-47E9-B6D6-FEE724388AA5}"/>
            </c:ext>
          </c:extLst>
        </c:ser>
        <c:ser>
          <c:idx val="3"/>
          <c:order val="3"/>
          <c:tx>
            <c:strRef>
              <c:f>'Mickey data'!$E$1</c:f>
              <c:strCache>
                <c:ptCount val="1"/>
                <c:pt idx="0">
                  <c:v>Regenerative Burner</c:v>
                </c:pt>
              </c:strCache>
            </c:strRef>
          </c:tx>
          <c:spPr>
            <a:ln w="38100" cap="rnd">
              <a:noFill/>
              <a:round/>
            </a:ln>
            <a:effectLst/>
          </c:spPr>
          <c:marker>
            <c:symbol val="circle"/>
            <c:size val="3"/>
            <c:spPr>
              <a:solidFill>
                <a:schemeClr val="accent4"/>
              </a:solidFill>
              <a:ln w="9525">
                <a:solidFill>
                  <a:schemeClr val="accent4"/>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data'!$E$2:$E$152</c:f>
              <c:numCache>
                <c:formatCode>0.00%</c:formatCode>
                <c:ptCount val="151"/>
                <c:pt idx="0">
                  <c:v>0.99970000000000003</c:v>
                </c:pt>
                <c:pt idx="1">
                  <c:v>0.99809999999999999</c:v>
                </c:pt>
                <c:pt idx="2">
                  <c:v>0.99660000000000004</c:v>
                </c:pt>
                <c:pt idx="3">
                  <c:v>0.995</c:v>
                </c:pt>
                <c:pt idx="4">
                  <c:v>0.99339999999999995</c:v>
                </c:pt>
                <c:pt idx="5">
                  <c:v>0.99180000000000001</c:v>
                </c:pt>
                <c:pt idx="6">
                  <c:v>0.99029999999999996</c:v>
                </c:pt>
                <c:pt idx="7">
                  <c:v>0.98870000000000002</c:v>
                </c:pt>
                <c:pt idx="8">
                  <c:v>0.98709999999999998</c:v>
                </c:pt>
                <c:pt idx="9">
                  <c:v>0.98550000000000004</c:v>
                </c:pt>
                <c:pt idx="10">
                  <c:v>0.9839</c:v>
                </c:pt>
                <c:pt idx="11">
                  <c:v>0.98240000000000005</c:v>
                </c:pt>
                <c:pt idx="12">
                  <c:v>0.98080000000000001</c:v>
                </c:pt>
                <c:pt idx="13">
                  <c:v>0.97919999999999996</c:v>
                </c:pt>
                <c:pt idx="14">
                  <c:v>0.97760000000000002</c:v>
                </c:pt>
                <c:pt idx="15">
                  <c:v>0.97599999999999998</c:v>
                </c:pt>
                <c:pt idx="16">
                  <c:v>0.97440000000000004</c:v>
                </c:pt>
                <c:pt idx="17">
                  <c:v>0.97289999999999999</c:v>
                </c:pt>
                <c:pt idx="18">
                  <c:v>0.97130000000000005</c:v>
                </c:pt>
                <c:pt idx="19">
                  <c:v>0.96970000000000001</c:v>
                </c:pt>
                <c:pt idx="20">
                  <c:v>0.96809999999999996</c:v>
                </c:pt>
                <c:pt idx="21">
                  <c:v>0.96650000000000003</c:v>
                </c:pt>
                <c:pt idx="22">
                  <c:v>0.96489999999999998</c:v>
                </c:pt>
                <c:pt idx="23">
                  <c:v>0.96330000000000005</c:v>
                </c:pt>
                <c:pt idx="24">
                  <c:v>0.9617</c:v>
                </c:pt>
                <c:pt idx="25">
                  <c:v>0.96009999999999995</c:v>
                </c:pt>
                <c:pt idx="26">
                  <c:v>0.95850000000000002</c:v>
                </c:pt>
                <c:pt idx="27">
                  <c:v>0.95689999999999997</c:v>
                </c:pt>
                <c:pt idx="28">
                  <c:v>0.95530000000000004</c:v>
                </c:pt>
                <c:pt idx="29">
                  <c:v>0.95369999999999999</c:v>
                </c:pt>
                <c:pt idx="30">
                  <c:v>0.95209999999999995</c:v>
                </c:pt>
                <c:pt idx="31">
                  <c:v>0.95050000000000001</c:v>
                </c:pt>
                <c:pt idx="32">
                  <c:v>0.94889999999999997</c:v>
                </c:pt>
                <c:pt idx="33">
                  <c:v>0.94730000000000003</c:v>
                </c:pt>
                <c:pt idx="34">
                  <c:v>0.94569999999999999</c:v>
                </c:pt>
                <c:pt idx="35">
                  <c:v>0.94410000000000005</c:v>
                </c:pt>
                <c:pt idx="36">
                  <c:v>0.9425</c:v>
                </c:pt>
                <c:pt idx="37">
                  <c:v>0.94089999999999996</c:v>
                </c:pt>
                <c:pt idx="38">
                  <c:v>0.93930000000000002</c:v>
                </c:pt>
                <c:pt idx="39">
                  <c:v>0.93759999999999999</c:v>
                </c:pt>
                <c:pt idx="40">
                  <c:v>0.93600000000000005</c:v>
                </c:pt>
                <c:pt idx="41">
                  <c:v>0.93440000000000001</c:v>
                </c:pt>
                <c:pt idx="42">
                  <c:v>0.93279999999999996</c:v>
                </c:pt>
                <c:pt idx="43">
                  <c:v>0.93120000000000003</c:v>
                </c:pt>
                <c:pt idx="44">
                  <c:v>0.92959999999999998</c:v>
                </c:pt>
                <c:pt idx="45">
                  <c:v>0.92800000000000005</c:v>
                </c:pt>
                <c:pt idx="46">
                  <c:v>0.92630000000000001</c:v>
                </c:pt>
                <c:pt idx="47">
                  <c:v>0.92469999999999997</c:v>
                </c:pt>
                <c:pt idx="48">
                  <c:v>0.92310000000000003</c:v>
                </c:pt>
                <c:pt idx="49">
                  <c:v>0.92149999999999999</c:v>
                </c:pt>
                <c:pt idx="50">
                  <c:v>0.91979999999999995</c:v>
                </c:pt>
                <c:pt idx="51">
                  <c:v>0.91820000000000002</c:v>
                </c:pt>
                <c:pt idx="52">
                  <c:v>0.91659999999999997</c:v>
                </c:pt>
                <c:pt idx="53">
                  <c:v>0.91500000000000004</c:v>
                </c:pt>
                <c:pt idx="54">
                  <c:v>0.9133</c:v>
                </c:pt>
                <c:pt idx="55">
                  <c:v>0.91169999999999995</c:v>
                </c:pt>
                <c:pt idx="56">
                  <c:v>0.91010000000000002</c:v>
                </c:pt>
                <c:pt idx="57">
                  <c:v>0.90839999999999999</c:v>
                </c:pt>
                <c:pt idx="58">
                  <c:v>0.90680000000000005</c:v>
                </c:pt>
                <c:pt idx="59">
                  <c:v>0.9052</c:v>
                </c:pt>
                <c:pt idx="60">
                  <c:v>0.90349999999999997</c:v>
                </c:pt>
                <c:pt idx="61">
                  <c:v>0.90190000000000003</c:v>
                </c:pt>
                <c:pt idx="62">
                  <c:v>0.90029999999999999</c:v>
                </c:pt>
                <c:pt idx="63">
                  <c:v>0.89859999999999995</c:v>
                </c:pt>
                <c:pt idx="64">
                  <c:v>0.89700000000000002</c:v>
                </c:pt>
                <c:pt idx="65">
                  <c:v>0.89539999999999997</c:v>
                </c:pt>
                <c:pt idx="66">
                  <c:v>0.89370000000000005</c:v>
                </c:pt>
                <c:pt idx="67">
                  <c:v>0.8921</c:v>
                </c:pt>
                <c:pt idx="68">
                  <c:v>0.89039999999999997</c:v>
                </c:pt>
                <c:pt idx="69">
                  <c:v>0.88880000000000003</c:v>
                </c:pt>
                <c:pt idx="70">
                  <c:v>0.8871</c:v>
                </c:pt>
                <c:pt idx="71">
                  <c:v>0.88549999999999995</c:v>
                </c:pt>
                <c:pt idx="72">
                  <c:v>0.88380000000000003</c:v>
                </c:pt>
                <c:pt idx="73">
                  <c:v>0.88219999999999998</c:v>
                </c:pt>
                <c:pt idx="74">
                  <c:v>0.88049999999999995</c:v>
                </c:pt>
                <c:pt idx="75">
                  <c:v>0.87890000000000001</c:v>
                </c:pt>
                <c:pt idx="76">
                  <c:v>0.87719999999999998</c:v>
                </c:pt>
                <c:pt idx="77">
                  <c:v>0.87560000000000004</c:v>
                </c:pt>
                <c:pt idx="78">
                  <c:v>0.87390000000000001</c:v>
                </c:pt>
                <c:pt idx="79">
                  <c:v>0.87229999999999996</c:v>
                </c:pt>
                <c:pt idx="80">
                  <c:v>0.87060000000000004</c:v>
                </c:pt>
                <c:pt idx="81">
                  <c:v>0.86899999999999999</c:v>
                </c:pt>
                <c:pt idx="82">
                  <c:v>0.86729999999999996</c:v>
                </c:pt>
                <c:pt idx="83">
                  <c:v>0.86560000000000004</c:v>
                </c:pt>
                <c:pt idx="84">
                  <c:v>0.86399999999999999</c:v>
                </c:pt>
                <c:pt idx="85">
                  <c:v>0.86229999999999996</c:v>
                </c:pt>
                <c:pt idx="86">
                  <c:v>0.86070000000000002</c:v>
                </c:pt>
                <c:pt idx="87">
                  <c:v>0.85899999999999999</c:v>
                </c:pt>
                <c:pt idx="88">
                  <c:v>0.85729999999999995</c:v>
                </c:pt>
                <c:pt idx="89">
                  <c:v>0.85570000000000002</c:v>
                </c:pt>
                <c:pt idx="90">
                  <c:v>0.85399999999999998</c:v>
                </c:pt>
                <c:pt idx="91">
                  <c:v>0.85229999999999995</c:v>
                </c:pt>
                <c:pt idx="92">
                  <c:v>0.85070000000000001</c:v>
                </c:pt>
                <c:pt idx="93">
                  <c:v>0.84899999999999998</c:v>
                </c:pt>
                <c:pt idx="94">
                  <c:v>0.84730000000000005</c:v>
                </c:pt>
                <c:pt idx="95">
                  <c:v>0.84570000000000001</c:v>
                </c:pt>
                <c:pt idx="96">
                  <c:v>0.84399999999999997</c:v>
                </c:pt>
                <c:pt idx="97">
                  <c:v>0.84230000000000005</c:v>
                </c:pt>
                <c:pt idx="98">
                  <c:v>0.84060000000000001</c:v>
                </c:pt>
                <c:pt idx="99">
                  <c:v>0.83889999999999998</c:v>
                </c:pt>
                <c:pt idx="100">
                  <c:v>0.83730000000000004</c:v>
                </c:pt>
                <c:pt idx="101">
                  <c:v>0.83560000000000001</c:v>
                </c:pt>
                <c:pt idx="102">
                  <c:v>0.83389999999999997</c:v>
                </c:pt>
                <c:pt idx="103">
                  <c:v>0.83220000000000005</c:v>
                </c:pt>
                <c:pt idx="104">
                  <c:v>0.83050000000000002</c:v>
                </c:pt>
                <c:pt idx="105">
                  <c:v>0.82889999999999997</c:v>
                </c:pt>
                <c:pt idx="106">
                  <c:v>0.82720000000000005</c:v>
                </c:pt>
                <c:pt idx="107">
                  <c:v>0.82550000000000001</c:v>
                </c:pt>
                <c:pt idx="108">
                  <c:v>0.82379999999999998</c:v>
                </c:pt>
                <c:pt idx="109">
                  <c:v>0.82210000000000005</c:v>
                </c:pt>
                <c:pt idx="110">
                  <c:v>0.82040000000000002</c:v>
                </c:pt>
                <c:pt idx="111">
                  <c:v>0.81869999999999998</c:v>
                </c:pt>
                <c:pt idx="112">
                  <c:v>0.81699999999999995</c:v>
                </c:pt>
                <c:pt idx="113">
                  <c:v>0.81540000000000001</c:v>
                </c:pt>
                <c:pt idx="114">
                  <c:v>0.81369999999999998</c:v>
                </c:pt>
                <c:pt idx="115">
                  <c:v>0.81200000000000006</c:v>
                </c:pt>
                <c:pt idx="116">
                  <c:v>0.81030000000000002</c:v>
                </c:pt>
                <c:pt idx="117">
                  <c:v>0.80859999999999999</c:v>
                </c:pt>
                <c:pt idx="118">
                  <c:v>0.80689999999999995</c:v>
                </c:pt>
                <c:pt idx="119">
                  <c:v>0.80520000000000003</c:v>
                </c:pt>
                <c:pt idx="120">
                  <c:v>0.80349999999999999</c:v>
                </c:pt>
                <c:pt idx="121">
                  <c:v>0.80179999999999996</c:v>
                </c:pt>
                <c:pt idx="122">
                  <c:v>0.80010000000000003</c:v>
                </c:pt>
                <c:pt idx="123">
                  <c:v>0.7984</c:v>
                </c:pt>
                <c:pt idx="124">
                  <c:v>0.79669999999999996</c:v>
                </c:pt>
                <c:pt idx="125">
                  <c:v>0.79500000000000004</c:v>
                </c:pt>
                <c:pt idx="126">
                  <c:v>0.79330000000000001</c:v>
                </c:pt>
                <c:pt idx="127">
                  <c:v>0.79159999999999997</c:v>
                </c:pt>
                <c:pt idx="128">
                  <c:v>0.78979999999999995</c:v>
                </c:pt>
                <c:pt idx="129">
                  <c:v>0.78810000000000002</c:v>
                </c:pt>
                <c:pt idx="130">
                  <c:v>0.78639999999999999</c:v>
                </c:pt>
                <c:pt idx="131">
                  <c:v>0.78469999999999995</c:v>
                </c:pt>
                <c:pt idx="132">
                  <c:v>0.78300000000000003</c:v>
                </c:pt>
                <c:pt idx="133">
                  <c:v>0.78129999999999999</c:v>
                </c:pt>
                <c:pt idx="134">
                  <c:v>0.77959999999999996</c:v>
                </c:pt>
                <c:pt idx="135">
                  <c:v>0.77790000000000004</c:v>
                </c:pt>
                <c:pt idx="136">
                  <c:v>0.77610000000000001</c:v>
                </c:pt>
                <c:pt idx="137">
                  <c:v>0.77439999999999998</c:v>
                </c:pt>
                <c:pt idx="138">
                  <c:v>0.77270000000000005</c:v>
                </c:pt>
                <c:pt idx="139">
                  <c:v>0.77100000000000002</c:v>
                </c:pt>
                <c:pt idx="140">
                  <c:v>0.76929999999999998</c:v>
                </c:pt>
                <c:pt idx="141">
                  <c:v>0.76749999999999996</c:v>
                </c:pt>
                <c:pt idx="142">
                  <c:v>0.76580000000000004</c:v>
                </c:pt>
                <c:pt idx="143">
                  <c:v>0.7641</c:v>
                </c:pt>
                <c:pt idx="144">
                  <c:v>0.76239999999999997</c:v>
                </c:pt>
                <c:pt idx="145">
                  <c:v>0.76060000000000005</c:v>
                </c:pt>
                <c:pt idx="146">
                  <c:v>0.75890000000000002</c:v>
                </c:pt>
                <c:pt idx="147">
                  <c:v>0.75719999999999998</c:v>
                </c:pt>
                <c:pt idx="148">
                  <c:v>0.75539999999999996</c:v>
                </c:pt>
                <c:pt idx="149">
                  <c:v>0.75370000000000004</c:v>
                </c:pt>
                <c:pt idx="150">
                  <c:v>0.752</c:v>
                </c:pt>
              </c:numCache>
            </c:numRef>
          </c:yVal>
          <c:smooth val="0"/>
          <c:extLst>
            <c:ext xmlns:c16="http://schemas.microsoft.com/office/drawing/2014/chart" uri="{C3380CC4-5D6E-409C-BE32-E72D297353CC}">
              <c16:uniqueId val="{00000003-661D-47E9-B6D6-FEE724388AA5}"/>
            </c:ext>
          </c:extLst>
        </c:ser>
        <c:ser>
          <c:idx val="4"/>
          <c:order val="4"/>
          <c:tx>
            <c:strRef>
              <c:f>'Mickey data'!$F$1</c:f>
              <c:strCache>
                <c:ptCount val="1"/>
                <c:pt idx="0">
                  <c:v>Theoretical Maximum Efficiency</c:v>
                </c:pt>
              </c:strCache>
            </c:strRef>
          </c:tx>
          <c:spPr>
            <a:ln w="38100" cap="rnd">
              <a:noFill/>
              <a:round/>
            </a:ln>
            <a:effectLst/>
          </c:spPr>
          <c:marker>
            <c:symbol val="circle"/>
            <c:size val="3"/>
            <c:spPr>
              <a:solidFill>
                <a:schemeClr val="bg1">
                  <a:lumMod val="75000"/>
                </a:schemeClr>
              </a:solidFill>
              <a:ln w="9525">
                <a:solidFill>
                  <a:schemeClr val="bg1">
                    <a:lumMod val="75000"/>
                  </a:schemeClr>
                </a:solidFill>
              </a:ln>
              <a:effectLst/>
            </c:spPr>
          </c:marker>
          <c:xVal>
            <c:numRef>
              <c:f>'Mickey data'!$A$2:$A$152</c:f>
              <c:numCache>
                <c:formatCode>General</c:formatCode>
                <c:ptCount val="151"/>
                <c:pt idx="0">
                  <c:v>0</c:v>
                </c:pt>
                <c:pt idx="1">
                  <c:v>10</c:v>
                </c:pt>
                <c:pt idx="2">
                  <c:v>20</c:v>
                </c:pt>
                <c:pt idx="3">
                  <c:v>30</c:v>
                </c:pt>
                <c:pt idx="4">
                  <c:v>40</c:v>
                </c:pt>
                <c:pt idx="5">
                  <c:v>50</c:v>
                </c:pt>
                <c:pt idx="6">
                  <c:v>60</c:v>
                </c:pt>
                <c:pt idx="7">
                  <c:v>70</c:v>
                </c:pt>
                <c:pt idx="8">
                  <c:v>80</c:v>
                </c:pt>
                <c:pt idx="9">
                  <c:v>90</c:v>
                </c:pt>
                <c:pt idx="10">
                  <c:v>100</c:v>
                </c:pt>
                <c:pt idx="11">
                  <c:v>110</c:v>
                </c:pt>
                <c:pt idx="12">
                  <c:v>120</c:v>
                </c:pt>
                <c:pt idx="13">
                  <c:v>130</c:v>
                </c:pt>
                <c:pt idx="14">
                  <c:v>140</c:v>
                </c:pt>
                <c:pt idx="15">
                  <c:v>150</c:v>
                </c:pt>
                <c:pt idx="16">
                  <c:v>160</c:v>
                </c:pt>
                <c:pt idx="17">
                  <c:v>170</c:v>
                </c:pt>
                <c:pt idx="18">
                  <c:v>180</c:v>
                </c:pt>
                <c:pt idx="19">
                  <c:v>190</c:v>
                </c:pt>
                <c:pt idx="20">
                  <c:v>200</c:v>
                </c:pt>
                <c:pt idx="21">
                  <c:v>210</c:v>
                </c:pt>
                <c:pt idx="22">
                  <c:v>220</c:v>
                </c:pt>
                <c:pt idx="23">
                  <c:v>230</c:v>
                </c:pt>
                <c:pt idx="24">
                  <c:v>240</c:v>
                </c:pt>
                <c:pt idx="25">
                  <c:v>250</c:v>
                </c:pt>
                <c:pt idx="26">
                  <c:v>260</c:v>
                </c:pt>
                <c:pt idx="27">
                  <c:v>270</c:v>
                </c:pt>
                <c:pt idx="28">
                  <c:v>280</c:v>
                </c:pt>
                <c:pt idx="29">
                  <c:v>290</c:v>
                </c:pt>
                <c:pt idx="30">
                  <c:v>300</c:v>
                </c:pt>
                <c:pt idx="31">
                  <c:v>310</c:v>
                </c:pt>
                <c:pt idx="32">
                  <c:v>320</c:v>
                </c:pt>
                <c:pt idx="33">
                  <c:v>330</c:v>
                </c:pt>
                <c:pt idx="34">
                  <c:v>340</c:v>
                </c:pt>
                <c:pt idx="35">
                  <c:v>350</c:v>
                </c:pt>
                <c:pt idx="36">
                  <c:v>360</c:v>
                </c:pt>
                <c:pt idx="37">
                  <c:v>370</c:v>
                </c:pt>
                <c:pt idx="38">
                  <c:v>380</c:v>
                </c:pt>
                <c:pt idx="39">
                  <c:v>390</c:v>
                </c:pt>
                <c:pt idx="40">
                  <c:v>400</c:v>
                </c:pt>
                <c:pt idx="41">
                  <c:v>410</c:v>
                </c:pt>
                <c:pt idx="42">
                  <c:v>420</c:v>
                </c:pt>
                <c:pt idx="43">
                  <c:v>430</c:v>
                </c:pt>
                <c:pt idx="44">
                  <c:v>440</c:v>
                </c:pt>
                <c:pt idx="45">
                  <c:v>450</c:v>
                </c:pt>
                <c:pt idx="46">
                  <c:v>460</c:v>
                </c:pt>
                <c:pt idx="47">
                  <c:v>470</c:v>
                </c:pt>
                <c:pt idx="48">
                  <c:v>480</c:v>
                </c:pt>
                <c:pt idx="49">
                  <c:v>490</c:v>
                </c:pt>
                <c:pt idx="50">
                  <c:v>500</c:v>
                </c:pt>
                <c:pt idx="51">
                  <c:v>510</c:v>
                </c:pt>
                <c:pt idx="52">
                  <c:v>520</c:v>
                </c:pt>
                <c:pt idx="53">
                  <c:v>530</c:v>
                </c:pt>
                <c:pt idx="54">
                  <c:v>540</c:v>
                </c:pt>
                <c:pt idx="55">
                  <c:v>550</c:v>
                </c:pt>
                <c:pt idx="56">
                  <c:v>560</c:v>
                </c:pt>
                <c:pt idx="57">
                  <c:v>570</c:v>
                </c:pt>
                <c:pt idx="58">
                  <c:v>580</c:v>
                </c:pt>
                <c:pt idx="59">
                  <c:v>590</c:v>
                </c:pt>
                <c:pt idx="60">
                  <c:v>600</c:v>
                </c:pt>
                <c:pt idx="61">
                  <c:v>610</c:v>
                </c:pt>
                <c:pt idx="62">
                  <c:v>620</c:v>
                </c:pt>
                <c:pt idx="63">
                  <c:v>630</c:v>
                </c:pt>
                <c:pt idx="64">
                  <c:v>640</c:v>
                </c:pt>
                <c:pt idx="65">
                  <c:v>650</c:v>
                </c:pt>
                <c:pt idx="66">
                  <c:v>660</c:v>
                </c:pt>
                <c:pt idx="67">
                  <c:v>670</c:v>
                </c:pt>
                <c:pt idx="68">
                  <c:v>680</c:v>
                </c:pt>
                <c:pt idx="69">
                  <c:v>690</c:v>
                </c:pt>
                <c:pt idx="70">
                  <c:v>700</c:v>
                </c:pt>
                <c:pt idx="71">
                  <c:v>710</c:v>
                </c:pt>
                <c:pt idx="72">
                  <c:v>720</c:v>
                </c:pt>
                <c:pt idx="73">
                  <c:v>730</c:v>
                </c:pt>
                <c:pt idx="74">
                  <c:v>740</c:v>
                </c:pt>
                <c:pt idx="75">
                  <c:v>750</c:v>
                </c:pt>
                <c:pt idx="76">
                  <c:v>760</c:v>
                </c:pt>
                <c:pt idx="77">
                  <c:v>770</c:v>
                </c:pt>
                <c:pt idx="78">
                  <c:v>780</c:v>
                </c:pt>
                <c:pt idx="79">
                  <c:v>790</c:v>
                </c:pt>
                <c:pt idx="80">
                  <c:v>800</c:v>
                </c:pt>
                <c:pt idx="81">
                  <c:v>810</c:v>
                </c:pt>
                <c:pt idx="82">
                  <c:v>820</c:v>
                </c:pt>
                <c:pt idx="83">
                  <c:v>830</c:v>
                </c:pt>
                <c:pt idx="84">
                  <c:v>840</c:v>
                </c:pt>
                <c:pt idx="85">
                  <c:v>850</c:v>
                </c:pt>
                <c:pt idx="86">
                  <c:v>860</c:v>
                </c:pt>
                <c:pt idx="87">
                  <c:v>870</c:v>
                </c:pt>
                <c:pt idx="88">
                  <c:v>880</c:v>
                </c:pt>
                <c:pt idx="89">
                  <c:v>890</c:v>
                </c:pt>
                <c:pt idx="90">
                  <c:v>900</c:v>
                </c:pt>
                <c:pt idx="91">
                  <c:v>910</c:v>
                </c:pt>
                <c:pt idx="92">
                  <c:v>920</c:v>
                </c:pt>
                <c:pt idx="93">
                  <c:v>930</c:v>
                </c:pt>
                <c:pt idx="94">
                  <c:v>940</c:v>
                </c:pt>
                <c:pt idx="95">
                  <c:v>950</c:v>
                </c:pt>
                <c:pt idx="96">
                  <c:v>960</c:v>
                </c:pt>
                <c:pt idx="97">
                  <c:v>970</c:v>
                </c:pt>
                <c:pt idx="98">
                  <c:v>980</c:v>
                </c:pt>
                <c:pt idx="99">
                  <c:v>990</c:v>
                </c:pt>
                <c:pt idx="100">
                  <c:v>1000</c:v>
                </c:pt>
                <c:pt idx="101">
                  <c:v>1010</c:v>
                </c:pt>
                <c:pt idx="102">
                  <c:v>1020</c:v>
                </c:pt>
                <c:pt idx="103">
                  <c:v>1030</c:v>
                </c:pt>
                <c:pt idx="104">
                  <c:v>1040</c:v>
                </c:pt>
                <c:pt idx="105">
                  <c:v>1050</c:v>
                </c:pt>
                <c:pt idx="106">
                  <c:v>1060</c:v>
                </c:pt>
                <c:pt idx="107">
                  <c:v>1070</c:v>
                </c:pt>
                <c:pt idx="108">
                  <c:v>1080</c:v>
                </c:pt>
                <c:pt idx="109">
                  <c:v>1090</c:v>
                </c:pt>
                <c:pt idx="110">
                  <c:v>1100</c:v>
                </c:pt>
                <c:pt idx="111">
                  <c:v>1110</c:v>
                </c:pt>
                <c:pt idx="112">
                  <c:v>1120</c:v>
                </c:pt>
                <c:pt idx="113">
                  <c:v>1130</c:v>
                </c:pt>
                <c:pt idx="114">
                  <c:v>1140</c:v>
                </c:pt>
                <c:pt idx="115">
                  <c:v>1150</c:v>
                </c:pt>
                <c:pt idx="116">
                  <c:v>1160</c:v>
                </c:pt>
                <c:pt idx="117">
                  <c:v>1170</c:v>
                </c:pt>
                <c:pt idx="118">
                  <c:v>1180</c:v>
                </c:pt>
                <c:pt idx="119">
                  <c:v>1190</c:v>
                </c:pt>
                <c:pt idx="120">
                  <c:v>1200</c:v>
                </c:pt>
                <c:pt idx="121">
                  <c:v>1210</c:v>
                </c:pt>
                <c:pt idx="122">
                  <c:v>1220</c:v>
                </c:pt>
                <c:pt idx="123">
                  <c:v>1230</c:v>
                </c:pt>
                <c:pt idx="124">
                  <c:v>1240</c:v>
                </c:pt>
                <c:pt idx="125">
                  <c:v>1250</c:v>
                </c:pt>
                <c:pt idx="126">
                  <c:v>1260</c:v>
                </c:pt>
                <c:pt idx="127">
                  <c:v>1270</c:v>
                </c:pt>
                <c:pt idx="128">
                  <c:v>1280</c:v>
                </c:pt>
                <c:pt idx="129">
                  <c:v>1290</c:v>
                </c:pt>
                <c:pt idx="130">
                  <c:v>1300</c:v>
                </c:pt>
                <c:pt idx="131">
                  <c:v>1310</c:v>
                </c:pt>
                <c:pt idx="132">
                  <c:v>1320</c:v>
                </c:pt>
                <c:pt idx="133">
                  <c:v>1330</c:v>
                </c:pt>
                <c:pt idx="134">
                  <c:v>1340</c:v>
                </c:pt>
                <c:pt idx="135">
                  <c:v>1350</c:v>
                </c:pt>
                <c:pt idx="136">
                  <c:v>1360</c:v>
                </c:pt>
                <c:pt idx="137">
                  <c:v>1370</c:v>
                </c:pt>
                <c:pt idx="138">
                  <c:v>1380</c:v>
                </c:pt>
                <c:pt idx="139">
                  <c:v>1390</c:v>
                </c:pt>
                <c:pt idx="140">
                  <c:v>1400</c:v>
                </c:pt>
                <c:pt idx="141">
                  <c:v>1410</c:v>
                </c:pt>
                <c:pt idx="142">
                  <c:v>1420</c:v>
                </c:pt>
                <c:pt idx="143">
                  <c:v>1430</c:v>
                </c:pt>
                <c:pt idx="144">
                  <c:v>1440</c:v>
                </c:pt>
                <c:pt idx="145">
                  <c:v>1450</c:v>
                </c:pt>
                <c:pt idx="146">
                  <c:v>1460</c:v>
                </c:pt>
                <c:pt idx="147">
                  <c:v>1470</c:v>
                </c:pt>
                <c:pt idx="148">
                  <c:v>1480</c:v>
                </c:pt>
                <c:pt idx="149">
                  <c:v>1490</c:v>
                </c:pt>
                <c:pt idx="150">
                  <c:v>1500</c:v>
                </c:pt>
              </c:numCache>
            </c:numRef>
          </c:xVal>
          <c:yVal>
            <c:numRef>
              <c:f>'Mickey data'!$F$2:$F$152</c:f>
              <c:numCache>
                <c:formatCode>0.00%</c:formatCode>
                <c:ptCount val="151"/>
                <c:pt idx="0">
                  <c:v>0.99950000000000006</c:v>
                </c:pt>
                <c:pt idx="1">
                  <c:v>0.99870000000000003</c:v>
                </c:pt>
                <c:pt idx="2">
                  <c:v>0.99780000000000002</c:v>
                </c:pt>
                <c:pt idx="3">
                  <c:v>0.997</c:v>
                </c:pt>
                <c:pt idx="4">
                  <c:v>0.99619999999999997</c:v>
                </c:pt>
                <c:pt idx="5">
                  <c:v>0.99529999999999996</c:v>
                </c:pt>
                <c:pt idx="6">
                  <c:v>0.99450000000000005</c:v>
                </c:pt>
                <c:pt idx="7">
                  <c:v>0.99370000000000003</c:v>
                </c:pt>
                <c:pt idx="8">
                  <c:v>0.99280000000000002</c:v>
                </c:pt>
                <c:pt idx="9">
                  <c:v>0.99199999999999999</c:v>
                </c:pt>
                <c:pt idx="10">
                  <c:v>0.99109999999999998</c:v>
                </c:pt>
                <c:pt idx="11">
                  <c:v>0.99029999999999996</c:v>
                </c:pt>
                <c:pt idx="12">
                  <c:v>0.98950000000000005</c:v>
                </c:pt>
                <c:pt idx="13">
                  <c:v>0.98860000000000003</c:v>
                </c:pt>
                <c:pt idx="14">
                  <c:v>0.98780000000000001</c:v>
                </c:pt>
                <c:pt idx="15">
                  <c:v>0.9869</c:v>
                </c:pt>
                <c:pt idx="16">
                  <c:v>0.98609999999999998</c:v>
                </c:pt>
                <c:pt idx="17">
                  <c:v>0.98519999999999996</c:v>
                </c:pt>
                <c:pt idx="18">
                  <c:v>0.98440000000000005</c:v>
                </c:pt>
                <c:pt idx="19">
                  <c:v>0.98360000000000003</c:v>
                </c:pt>
                <c:pt idx="20">
                  <c:v>0.98270000000000002</c:v>
                </c:pt>
                <c:pt idx="21">
                  <c:v>0.9819</c:v>
                </c:pt>
                <c:pt idx="22">
                  <c:v>0.98099999999999998</c:v>
                </c:pt>
                <c:pt idx="23">
                  <c:v>0.98019999999999996</c:v>
                </c:pt>
                <c:pt idx="24">
                  <c:v>0.97929999999999995</c:v>
                </c:pt>
                <c:pt idx="25">
                  <c:v>0.97850000000000004</c:v>
                </c:pt>
                <c:pt idx="26">
                  <c:v>0.97760000000000002</c:v>
                </c:pt>
                <c:pt idx="27">
                  <c:v>0.9768</c:v>
                </c:pt>
                <c:pt idx="28">
                  <c:v>0.97589999999999999</c:v>
                </c:pt>
                <c:pt idx="29">
                  <c:v>0.97509999999999997</c:v>
                </c:pt>
                <c:pt idx="30">
                  <c:v>0.97419999999999995</c:v>
                </c:pt>
                <c:pt idx="31">
                  <c:v>0.97330000000000005</c:v>
                </c:pt>
                <c:pt idx="32">
                  <c:v>0.97250000000000003</c:v>
                </c:pt>
                <c:pt idx="33">
                  <c:v>0.97160000000000002</c:v>
                </c:pt>
                <c:pt idx="34">
                  <c:v>0.9708</c:v>
                </c:pt>
                <c:pt idx="35">
                  <c:v>0.96989999999999998</c:v>
                </c:pt>
                <c:pt idx="36">
                  <c:v>0.96909999999999996</c:v>
                </c:pt>
                <c:pt idx="37">
                  <c:v>0.96819999999999995</c:v>
                </c:pt>
                <c:pt idx="38">
                  <c:v>0.96730000000000005</c:v>
                </c:pt>
                <c:pt idx="39">
                  <c:v>0.96650000000000003</c:v>
                </c:pt>
                <c:pt idx="40">
                  <c:v>0.96560000000000001</c:v>
                </c:pt>
                <c:pt idx="41">
                  <c:v>0.96479999999999999</c:v>
                </c:pt>
                <c:pt idx="42">
                  <c:v>0.96389999999999998</c:v>
                </c:pt>
                <c:pt idx="43">
                  <c:v>0.96299999999999997</c:v>
                </c:pt>
                <c:pt idx="44">
                  <c:v>0.96220000000000006</c:v>
                </c:pt>
                <c:pt idx="45">
                  <c:v>0.96130000000000004</c:v>
                </c:pt>
                <c:pt idx="46">
                  <c:v>0.96040000000000003</c:v>
                </c:pt>
                <c:pt idx="47">
                  <c:v>0.95960000000000001</c:v>
                </c:pt>
                <c:pt idx="48">
                  <c:v>0.9587</c:v>
                </c:pt>
                <c:pt idx="49">
                  <c:v>0.95779999999999998</c:v>
                </c:pt>
                <c:pt idx="50">
                  <c:v>0.95699999999999996</c:v>
                </c:pt>
                <c:pt idx="51">
                  <c:v>0.95609999999999995</c:v>
                </c:pt>
                <c:pt idx="52">
                  <c:v>0.95520000000000005</c:v>
                </c:pt>
                <c:pt idx="53">
                  <c:v>0.95440000000000003</c:v>
                </c:pt>
                <c:pt idx="54">
                  <c:v>0.95350000000000001</c:v>
                </c:pt>
                <c:pt idx="55">
                  <c:v>0.9526</c:v>
                </c:pt>
                <c:pt idx="56">
                  <c:v>0.95169999999999999</c:v>
                </c:pt>
                <c:pt idx="57">
                  <c:v>0.95089999999999997</c:v>
                </c:pt>
                <c:pt idx="58">
                  <c:v>0.95</c:v>
                </c:pt>
                <c:pt idx="59">
                  <c:v>0.94910000000000005</c:v>
                </c:pt>
                <c:pt idx="60">
                  <c:v>0.94820000000000004</c:v>
                </c:pt>
                <c:pt idx="61">
                  <c:v>0.94740000000000002</c:v>
                </c:pt>
                <c:pt idx="62">
                  <c:v>0.94650000000000001</c:v>
                </c:pt>
                <c:pt idx="63">
                  <c:v>0.9456</c:v>
                </c:pt>
                <c:pt idx="64">
                  <c:v>0.94469999999999998</c:v>
                </c:pt>
                <c:pt idx="65">
                  <c:v>0.94379999999999997</c:v>
                </c:pt>
                <c:pt idx="66">
                  <c:v>0.94299999999999995</c:v>
                </c:pt>
                <c:pt idx="67">
                  <c:v>0.94210000000000005</c:v>
                </c:pt>
                <c:pt idx="68">
                  <c:v>0.94120000000000004</c:v>
                </c:pt>
                <c:pt idx="69">
                  <c:v>0.94030000000000002</c:v>
                </c:pt>
                <c:pt idx="70">
                  <c:v>0.93940000000000001</c:v>
                </c:pt>
                <c:pt idx="71">
                  <c:v>0.9385</c:v>
                </c:pt>
                <c:pt idx="72">
                  <c:v>0.93769999999999998</c:v>
                </c:pt>
                <c:pt idx="73">
                  <c:v>0.93679999999999997</c:v>
                </c:pt>
                <c:pt idx="74">
                  <c:v>0.93589999999999995</c:v>
                </c:pt>
                <c:pt idx="75">
                  <c:v>0.93500000000000005</c:v>
                </c:pt>
                <c:pt idx="76">
                  <c:v>0.93410000000000004</c:v>
                </c:pt>
                <c:pt idx="77">
                  <c:v>0.93320000000000003</c:v>
                </c:pt>
                <c:pt idx="78">
                  <c:v>0.93230000000000002</c:v>
                </c:pt>
                <c:pt idx="79">
                  <c:v>0.93140000000000001</c:v>
                </c:pt>
                <c:pt idx="80">
                  <c:v>0.93059999999999998</c:v>
                </c:pt>
                <c:pt idx="81">
                  <c:v>0.92969999999999997</c:v>
                </c:pt>
                <c:pt idx="82">
                  <c:v>0.92879999999999996</c:v>
                </c:pt>
                <c:pt idx="83">
                  <c:v>0.92789999999999995</c:v>
                </c:pt>
                <c:pt idx="84">
                  <c:v>0.92700000000000005</c:v>
                </c:pt>
                <c:pt idx="85">
                  <c:v>0.92610000000000003</c:v>
                </c:pt>
                <c:pt idx="86">
                  <c:v>0.92520000000000002</c:v>
                </c:pt>
                <c:pt idx="87">
                  <c:v>0.92430000000000001</c:v>
                </c:pt>
                <c:pt idx="88">
                  <c:v>0.9234</c:v>
                </c:pt>
                <c:pt idx="89">
                  <c:v>0.92249999999999999</c:v>
                </c:pt>
                <c:pt idx="90">
                  <c:v>0.92159999999999997</c:v>
                </c:pt>
                <c:pt idx="91">
                  <c:v>0.92069999999999996</c:v>
                </c:pt>
                <c:pt idx="92">
                  <c:v>0.91979999999999995</c:v>
                </c:pt>
                <c:pt idx="93">
                  <c:v>0.91890000000000005</c:v>
                </c:pt>
                <c:pt idx="94">
                  <c:v>0.91800000000000004</c:v>
                </c:pt>
                <c:pt idx="95">
                  <c:v>0.91710000000000003</c:v>
                </c:pt>
                <c:pt idx="96">
                  <c:v>0.91620000000000001</c:v>
                </c:pt>
                <c:pt idx="97">
                  <c:v>0.9153</c:v>
                </c:pt>
                <c:pt idx="98">
                  <c:v>0.91439999999999999</c:v>
                </c:pt>
                <c:pt idx="99">
                  <c:v>0.91349999999999998</c:v>
                </c:pt>
                <c:pt idx="100">
                  <c:v>0.91259999999999997</c:v>
                </c:pt>
                <c:pt idx="101">
                  <c:v>0.91169999999999995</c:v>
                </c:pt>
                <c:pt idx="102">
                  <c:v>0.91080000000000005</c:v>
                </c:pt>
                <c:pt idx="103">
                  <c:v>0.90990000000000004</c:v>
                </c:pt>
                <c:pt idx="104">
                  <c:v>0.90890000000000004</c:v>
                </c:pt>
                <c:pt idx="105">
                  <c:v>0.90800000000000003</c:v>
                </c:pt>
                <c:pt idx="106">
                  <c:v>0.90710000000000002</c:v>
                </c:pt>
                <c:pt idx="107">
                  <c:v>0.90620000000000001</c:v>
                </c:pt>
                <c:pt idx="108">
                  <c:v>0.90529999999999999</c:v>
                </c:pt>
                <c:pt idx="109">
                  <c:v>0.90439999999999998</c:v>
                </c:pt>
                <c:pt idx="110">
                  <c:v>0.90349999999999997</c:v>
                </c:pt>
                <c:pt idx="111">
                  <c:v>0.90259999999999996</c:v>
                </c:pt>
                <c:pt idx="112">
                  <c:v>0.90159999999999996</c:v>
                </c:pt>
                <c:pt idx="113">
                  <c:v>0.90069999999999995</c:v>
                </c:pt>
                <c:pt idx="114">
                  <c:v>0.89980000000000004</c:v>
                </c:pt>
                <c:pt idx="115">
                  <c:v>0.89890000000000003</c:v>
                </c:pt>
                <c:pt idx="116">
                  <c:v>0.89800000000000002</c:v>
                </c:pt>
                <c:pt idx="117">
                  <c:v>0.89710000000000001</c:v>
                </c:pt>
                <c:pt idx="118">
                  <c:v>0.89610000000000001</c:v>
                </c:pt>
                <c:pt idx="119">
                  <c:v>0.8952</c:v>
                </c:pt>
                <c:pt idx="120">
                  <c:v>0.89429999999999998</c:v>
                </c:pt>
                <c:pt idx="121">
                  <c:v>0.89339999999999997</c:v>
                </c:pt>
                <c:pt idx="122">
                  <c:v>0.89249999999999996</c:v>
                </c:pt>
                <c:pt idx="123">
                  <c:v>0.89149999999999996</c:v>
                </c:pt>
                <c:pt idx="124">
                  <c:v>0.89059999999999995</c:v>
                </c:pt>
                <c:pt idx="125">
                  <c:v>0.88970000000000005</c:v>
                </c:pt>
                <c:pt idx="126">
                  <c:v>0.88880000000000003</c:v>
                </c:pt>
                <c:pt idx="127">
                  <c:v>0.88780000000000003</c:v>
                </c:pt>
                <c:pt idx="128">
                  <c:v>0.88690000000000002</c:v>
                </c:pt>
                <c:pt idx="129">
                  <c:v>0.88600000000000001</c:v>
                </c:pt>
                <c:pt idx="130">
                  <c:v>0.8851</c:v>
                </c:pt>
                <c:pt idx="131">
                  <c:v>0.8841</c:v>
                </c:pt>
                <c:pt idx="132">
                  <c:v>0.88319999999999999</c:v>
                </c:pt>
                <c:pt idx="133">
                  <c:v>0.88229999999999997</c:v>
                </c:pt>
                <c:pt idx="134">
                  <c:v>0.88129999999999997</c:v>
                </c:pt>
                <c:pt idx="135">
                  <c:v>0.88039999999999996</c:v>
                </c:pt>
                <c:pt idx="136">
                  <c:v>0.87949999999999995</c:v>
                </c:pt>
                <c:pt idx="137">
                  <c:v>0.87849999999999995</c:v>
                </c:pt>
                <c:pt idx="138">
                  <c:v>0.87760000000000005</c:v>
                </c:pt>
                <c:pt idx="139">
                  <c:v>0.87670000000000003</c:v>
                </c:pt>
                <c:pt idx="140">
                  <c:v>0.87570000000000003</c:v>
                </c:pt>
                <c:pt idx="141">
                  <c:v>0.87480000000000002</c:v>
                </c:pt>
                <c:pt idx="142">
                  <c:v>0.87390000000000001</c:v>
                </c:pt>
                <c:pt idx="143">
                  <c:v>0.87290000000000001</c:v>
                </c:pt>
                <c:pt idx="144">
                  <c:v>0.872</c:v>
                </c:pt>
                <c:pt idx="145">
                  <c:v>0.871</c:v>
                </c:pt>
                <c:pt idx="146">
                  <c:v>0.87009999999999998</c:v>
                </c:pt>
                <c:pt idx="147">
                  <c:v>0.86919999999999997</c:v>
                </c:pt>
                <c:pt idx="148">
                  <c:v>0.86819999999999997</c:v>
                </c:pt>
                <c:pt idx="149">
                  <c:v>0.86729999999999996</c:v>
                </c:pt>
                <c:pt idx="150">
                  <c:v>0.86629999999999996</c:v>
                </c:pt>
              </c:numCache>
            </c:numRef>
          </c:yVal>
          <c:smooth val="0"/>
          <c:extLst>
            <c:ext xmlns:c16="http://schemas.microsoft.com/office/drawing/2014/chart" uri="{C3380CC4-5D6E-409C-BE32-E72D297353CC}">
              <c16:uniqueId val="{00000004-661D-47E9-B6D6-FEE724388AA5}"/>
            </c:ext>
          </c:extLst>
        </c:ser>
        <c:dLbls>
          <c:showLegendKey val="0"/>
          <c:showVal val="0"/>
          <c:showCatName val="0"/>
          <c:showSerName val="0"/>
          <c:showPercent val="0"/>
          <c:showBubbleSize val="0"/>
        </c:dLbls>
        <c:axId val="47106912"/>
        <c:axId val="47107872"/>
      </c:scatterChart>
      <c:valAx>
        <c:axId val="47106912"/>
        <c:scaling>
          <c:orientation val="minMax"/>
          <c:max val="1500"/>
          <c:min val="0"/>
        </c:scaling>
        <c:delete val="1"/>
        <c:axPos val="b"/>
        <c:majorGridlines>
          <c:spPr>
            <a:ln w="9525" cap="flat" cmpd="sng" algn="ctr">
              <a:solidFill>
                <a:srgbClr val="FF0000"/>
              </a:solidFill>
              <a:round/>
            </a:ln>
            <a:effectLst/>
          </c:spPr>
        </c:majorGridlines>
        <c:numFmt formatCode="General" sourceLinked="1"/>
        <c:majorTickMark val="none"/>
        <c:minorTickMark val="none"/>
        <c:tickLblPos val="nextTo"/>
        <c:crossAx val="47107872"/>
        <c:crosses val="autoZero"/>
        <c:crossBetween val="midCat"/>
        <c:majorUnit val="250"/>
      </c:valAx>
      <c:valAx>
        <c:axId val="47107872"/>
        <c:scaling>
          <c:orientation val="minMax"/>
          <c:max val="1"/>
        </c:scaling>
        <c:delete val="1"/>
        <c:axPos val="l"/>
        <c:majorGridlines>
          <c:spPr>
            <a:ln w="9525" cap="flat" cmpd="sng" algn="ctr">
              <a:solidFill>
                <a:srgbClr val="FF0000"/>
              </a:solidFill>
              <a:round/>
            </a:ln>
            <a:effectLst/>
          </c:spPr>
        </c:majorGridlines>
        <c:numFmt formatCode="0.00%" sourceLinked="1"/>
        <c:majorTickMark val="none"/>
        <c:minorTickMark val="none"/>
        <c:tickLblPos val="nextTo"/>
        <c:crossAx val="47106912"/>
        <c:crosses val="autoZero"/>
        <c:crossBetween val="midCat"/>
        <c:majorUnit val="0.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28575" cap="flat" cmpd="sng" algn="ctr">
      <a:solidFill>
        <a:srgbClr val="FF0000"/>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sv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3.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318279</xdr:colOff>
      <xdr:row>15</xdr:row>
      <xdr:rowOff>107950</xdr:rowOff>
    </xdr:to>
    <xdr:pic>
      <xdr:nvPicPr>
        <xdr:cNvPr id="2" name="Picture 1">
          <a:extLst>
            <a:ext uri="{FF2B5EF4-FFF2-40B4-BE49-F238E27FC236}">
              <a16:creationId xmlns:a16="http://schemas.microsoft.com/office/drawing/2014/main" id="{8B63C3DF-CCCC-4AFD-898D-1055F9309DED}"/>
            </a:ext>
          </a:extLst>
        </xdr:cNvPr>
        <xdr:cNvPicPr>
          <a:picLocks noChangeAspect="1"/>
        </xdr:cNvPicPr>
      </xdr:nvPicPr>
      <xdr:blipFill>
        <a:blip xmlns:r="http://schemas.openxmlformats.org/officeDocument/2006/relationships" r:embed="rId1"/>
        <a:stretch>
          <a:fillRect/>
        </a:stretch>
      </xdr:blipFill>
      <xdr:spPr>
        <a:xfrm>
          <a:off x="609600" y="190500"/>
          <a:ext cx="5420504" cy="27717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204909</xdr:colOff>
      <xdr:row>3</xdr:row>
      <xdr:rowOff>219504</xdr:rowOff>
    </xdr:from>
    <xdr:to>
      <xdr:col>7</xdr:col>
      <xdr:colOff>224728</xdr:colOff>
      <xdr:row>23</xdr:row>
      <xdr:rowOff>71579</xdr:rowOff>
    </xdr:to>
    <xdr:pic>
      <xdr:nvPicPr>
        <xdr:cNvPr id="2" name="Picture 1">
          <a:extLst>
            <a:ext uri="{FF2B5EF4-FFF2-40B4-BE49-F238E27FC236}">
              <a16:creationId xmlns:a16="http://schemas.microsoft.com/office/drawing/2014/main" id="{E9AF759E-9EBD-2DF0-71AF-8B38B8C88FBE}"/>
            </a:ext>
          </a:extLst>
        </xdr:cNvPr>
        <xdr:cNvPicPr>
          <a:picLocks noChangeAspect="1"/>
        </xdr:cNvPicPr>
      </xdr:nvPicPr>
      <xdr:blipFill>
        <a:blip xmlns:r="http://schemas.openxmlformats.org/officeDocument/2006/relationships" r:embed="rId1"/>
        <a:stretch>
          <a:fillRect/>
        </a:stretch>
      </xdr:blipFill>
      <xdr:spPr>
        <a:xfrm>
          <a:off x="816818" y="808322"/>
          <a:ext cx="3691274" cy="4158530"/>
        </a:xfrm>
        <a:prstGeom prst="rect">
          <a:avLst/>
        </a:prstGeom>
      </xdr:spPr>
    </xdr:pic>
    <xdr:clientData/>
  </xdr:twoCellAnchor>
  <xdr:twoCellAnchor editAs="oneCell">
    <xdr:from>
      <xdr:col>0</xdr:col>
      <xdr:colOff>519545</xdr:colOff>
      <xdr:row>25</xdr:row>
      <xdr:rowOff>146047</xdr:rowOff>
    </xdr:from>
    <xdr:to>
      <xdr:col>7</xdr:col>
      <xdr:colOff>440508</xdr:colOff>
      <xdr:row>42</xdr:row>
      <xdr:rowOff>110544</xdr:rowOff>
    </xdr:to>
    <xdr:pic>
      <xdr:nvPicPr>
        <xdr:cNvPr id="3" name="Picture 2">
          <a:extLst>
            <a:ext uri="{FF2B5EF4-FFF2-40B4-BE49-F238E27FC236}">
              <a16:creationId xmlns:a16="http://schemas.microsoft.com/office/drawing/2014/main" id="{410E3E24-3036-AF12-FA7A-5720A97BCF9C}"/>
            </a:ext>
          </a:extLst>
        </xdr:cNvPr>
        <xdr:cNvPicPr>
          <a:picLocks noChangeAspect="1"/>
        </xdr:cNvPicPr>
      </xdr:nvPicPr>
      <xdr:blipFill>
        <a:blip xmlns:r="http://schemas.openxmlformats.org/officeDocument/2006/relationships" r:embed="rId2"/>
        <a:stretch>
          <a:fillRect/>
        </a:stretch>
      </xdr:blipFill>
      <xdr:spPr>
        <a:xfrm>
          <a:off x="519545" y="5433865"/>
          <a:ext cx="4204327" cy="3294784"/>
        </a:xfrm>
        <a:prstGeom prst="rect">
          <a:avLst/>
        </a:prstGeom>
      </xdr:spPr>
    </xdr:pic>
    <xdr:clientData/>
  </xdr:twoCellAnchor>
  <xdr:twoCellAnchor editAs="oneCell">
    <xdr:from>
      <xdr:col>1</xdr:col>
      <xdr:colOff>0</xdr:colOff>
      <xdr:row>44</xdr:row>
      <xdr:rowOff>0</xdr:rowOff>
    </xdr:from>
    <xdr:to>
      <xdr:col>8</xdr:col>
      <xdr:colOff>1005323</xdr:colOff>
      <xdr:row>56</xdr:row>
      <xdr:rowOff>149931</xdr:rowOff>
    </xdr:to>
    <xdr:pic>
      <xdr:nvPicPr>
        <xdr:cNvPr id="4" name="Picture 3">
          <a:extLst>
            <a:ext uri="{FF2B5EF4-FFF2-40B4-BE49-F238E27FC236}">
              <a16:creationId xmlns:a16="http://schemas.microsoft.com/office/drawing/2014/main" id="{ECBCE123-1A1F-1BAC-BF76-ABF42D4DF5EA}"/>
            </a:ext>
          </a:extLst>
        </xdr:cNvPr>
        <xdr:cNvPicPr>
          <a:picLocks noChangeAspect="1"/>
        </xdr:cNvPicPr>
      </xdr:nvPicPr>
      <xdr:blipFill>
        <a:blip xmlns:r="http://schemas.openxmlformats.org/officeDocument/2006/relationships" r:embed="rId3"/>
        <a:stretch>
          <a:fillRect/>
        </a:stretch>
      </xdr:blipFill>
      <xdr:spPr>
        <a:xfrm>
          <a:off x="611909" y="9017000"/>
          <a:ext cx="5658141" cy="25020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420009</xdr:colOff>
      <xdr:row>22</xdr:row>
      <xdr:rowOff>10085</xdr:rowOff>
    </xdr:to>
    <xdr:pic>
      <xdr:nvPicPr>
        <xdr:cNvPr id="2" name="Picture 1">
          <a:extLst>
            <a:ext uri="{FF2B5EF4-FFF2-40B4-BE49-F238E27FC236}">
              <a16:creationId xmlns:a16="http://schemas.microsoft.com/office/drawing/2014/main" id="{2E0931B2-48B7-31FE-D102-0A15217D4DE2}"/>
            </a:ext>
          </a:extLst>
        </xdr:cNvPr>
        <xdr:cNvPicPr>
          <a:picLocks noChangeAspect="1"/>
        </xdr:cNvPicPr>
      </xdr:nvPicPr>
      <xdr:blipFill>
        <a:blip xmlns:r="http://schemas.openxmlformats.org/officeDocument/2006/relationships" r:embed="rId1"/>
        <a:stretch>
          <a:fillRect/>
        </a:stretch>
      </xdr:blipFill>
      <xdr:spPr>
        <a:xfrm>
          <a:off x="609600" y="190500"/>
          <a:ext cx="6516009" cy="401058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136071</xdr:colOff>
      <xdr:row>2</xdr:row>
      <xdr:rowOff>140607</xdr:rowOff>
    </xdr:from>
    <xdr:to>
      <xdr:col>7</xdr:col>
      <xdr:colOff>133257</xdr:colOff>
      <xdr:row>16</xdr:row>
      <xdr:rowOff>103868</xdr:rowOff>
    </xdr:to>
    <xdr:pic>
      <xdr:nvPicPr>
        <xdr:cNvPr id="2" name="Picture 1">
          <a:extLst>
            <a:ext uri="{FF2B5EF4-FFF2-40B4-BE49-F238E27FC236}">
              <a16:creationId xmlns:a16="http://schemas.microsoft.com/office/drawing/2014/main" id="{3CD4CC03-C475-2CA2-6BF7-300D0CA68824}"/>
            </a:ext>
          </a:extLst>
        </xdr:cNvPr>
        <xdr:cNvPicPr>
          <a:picLocks noChangeAspect="1"/>
        </xdr:cNvPicPr>
      </xdr:nvPicPr>
      <xdr:blipFill>
        <a:blip xmlns:r="http://schemas.openxmlformats.org/officeDocument/2006/relationships" r:embed="rId1"/>
        <a:stretch>
          <a:fillRect/>
        </a:stretch>
      </xdr:blipFill>
      <xdr:spPr>
        <a:xfrm>
          <a:off x="743857" y="512536"/>
          <a:ext cx="3643900" cy="2566761"/>
        </a:xfrm>
        <a:prstGeom prst="rect">
          <a:avLst/>
        </a:prstGeom>
      </xdr:spPr>
    </xdr:pic>
    <xdr:clientData/>
  </xdr:twoCellAnchor>
  <xdr:twoCellAnchor editAs="oneCell">
    <xdr:from>
      <xdr:col>1</xdr:col>
      <xdr:colOff>0</xdr:colOff>
      <xdr:row>21</xdr:row>
      <xdr:rowOff>0</xdr:rowOff>
    </xdr:from>
    <xdr:to>
      <xdr:col>8</xdr:col>
      <xdr:colOff>272143</xdr:colOff>
      <xdr:row>32</xdr:row>
      <xdr:rowOff>6248</xdr:rowOff>
    </xdr:to>
    <xdr:pic>
      <xdr:nvPicPr>
        <xdr:cNvPr id="3" name="Picture 2">
          <a:extLst>
            <a:ext uri="{FF2B5EF4-FFF2-40B4-BE49-F238E27FC236}">
              <a16:creationId xmlns:a16="http://schemas.microsoft.com/office/drawing/2014/main" id="{2334F602-8206-4492-55A3-3D6533A66176}"/>
            </a:ext>
          </a:extLst>
        </xdr:cNvPr>
        <xdr:cNvPicPr>
          <a:picLocks noChangeAspect="1"/>
        </xdr:cNvPicPr>
      </xdr:nvPicPr>
      <xdr:blipFill>
        <a:blip xmlns:r="http://schemas.openxmlformats.org/officeDocument/2006/relationships" r:embed="rId2"/>
        <a:stretch>
          <a:fillRect/>
        </a:stretch>
      </xdr:blipFill>
      <xdr:spPr>
        <a:xfrm>
          <a:off x="607786" y="3905250"/>
          <a:ext cx="4526643" cy="20518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0</xdr:colOff>
      <xdr:row>5</xdr:row>
      <xdr:rowOff>0</xdr:rowOff>
    </xdr:from>
    <xdr:to>
      <xdr:col>14</xdr:col>
      <xdr:colOff>216087</xdr:colOff>
      <xdr:row>16</xdr:row>
      <xdr:rowOff>164825</xdr:rowOff>
    </xdr:to>
    <xdr:pic>
      <xdr:nvPicPr>
        <xdr:cNvPr id="2" name="Picture 1">
          <a:extLst>
            <a:ext uri="{FF2B5EF4-FFF2-40B4-BE49-F238E27FC236}">
              <a16:creationId xmlns:a16="http://schemas.microsoft.com/office/drawing/2014/main" id="{BEBF025F-AE1B-4024-9936-D048F20085FF}"/>
            </a:ext>
          </a:extLst>
        </xdr:cNvPr>
        <xdr:cNvPicPr>
          <a:picLocks noChangeAspect="1"/>
        </xdr:cNvPicPr>
      </xdr:nvPicPr>
      <xdr:blipFill>
        <a:blip xmlns:r="http://schemas.openxmlformats.org/officeDocument/2006/relationships" r:embed="rId1"/>
        <a:stretch>
          <a:fillRect/>
        </a:stretch>
      </xdr:blipFill>
      <xdr:spPr>
        <a:xfrm>
          <a:off x="6407150" y="736600"/>
          <a:ext cx="4483287" cy="2190476"/>
        </a:xfrm>
        <a:prstGeom prst="rect">
          <a:avLst/>
        </a:prstGeom>
      </xdr:spPr>
    </xdr:pic>
    <xdr:clientData/>
  </xdr:twoCellAnchor>
  <xdr:twoCellAnchor editAs="oneCell">
    <xdr:from>
      <xdr:col>7</xdr:col>
      <xdr:colOff>0</xdr:colOff>
      <xdr:row>22</xdr:row>
      <xdr:rowOff>0</xdr:rowOff>
    </xdr:from>
    <xdr:to>
      <xdr:col>11</xdr:col>
      <xdr:colOff>122869</xdr:colOff>
      <xdr:row>33</xdr:row>
      <xdr:rowOff>160057</xdr:rowOff>
    </xdr:to>
    <xdr:pic>
      <xdr:nvPicPr>
        <xdr:cNvPr id="3" name="Picture 2">
          <a:extLst>
            <a:ext uri="{FF2B5EF4-FFF2-40B4-BE49-F238E27FC236}">
              <a16:creationId xmlns:a16="http://schemas.microsoft.com/office/drawing/2014/main" id="{950A5A3B-1668-4B2E-B77C-F5D3553DFC9A}"/>
            </a:ext>
          </a:extLst>
        </xdr:cNvPr>
        <xdr:cNvPicPr>
          <a:picLocks noChangeAspect="1"/>
        </xdr:cNvPicPr>
      </xdr:nvPicPr>
      <xdr:blipFill>
        <a:blip xmlns:r="http://schemas.openxmlformats.org/officeDocument/2006/relationships" r:embed="rId2"/>
        <a:stretch>
          <a:fillRect/>
        </a:stretch>
      </xdr:blipFill>
      <xdr:spPr>
        <a:xfrm>
          <a:off x="6407150" y="3683000"/>
          <a:ext cx="2561269" cy="218570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161925</xdr:colOff>
      <xdr:row>8</xdr:row>
      <xdr:rowOff>47624</xdr:rowOff>
    </xdr:from>
    <xdr:to>
      <xdr:col>7</xdr:col>
      <xdr:colOff>139700</xdr:colOff>
      <xdr:row>33</xdr:row>
      <xdr:rowOff>57577</xdr:rowOff>
    </xdr:to>
    <xdr:pic>
      <xdr:nvPicPr>
        <xdr:cNvPr id="2" name="Graphic 1">
          <a:extLst>
            <a:ext uri="{FF2B5EF4-FFF2-40B4-BE49-F238E27FC236}">
              <a16:creationId xmlns:a16="http://schemas.microsoft.com/office/drawing/2014/main" id="{B81D69FE-E2EF-477B-8DA7-96EA8675E3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8750" y="1689099"/>
          <a:ext cx="10029825" cy="4531153"/>
        </a:xfrm>
        <a:prstGeom prst="rect">
          <a:avLst/>
        </a:prstGeom>
      </xdr:spPr>
    </xdr:pic>
    <xdr:clientData/>
  </xdr:twoCellAnchor>
  <xdr:twoCellAnchor editAs="oneCell">
    <xdr:from>
      <xdr:col>0</xdr:col>
      <xdr:colOff>132521</xdr:colOff>
      <xdr:row>59</xdr:row>
      <xdr:rowOff>82826</xdr:rowOff>
    </xdr:from>
    <xdr:to>
      <xdr:col>2</xdr:col>
      <xdr:colOff>1278406</xdr:colOff>
      <xdr:row>78</xdr:row>
      <xdr:rowOff>154462</xdr:rowOff>
    </xdr:to>
    <xdr:pic>
      <xdr:nvPicPr>
        <xdr:cNvPr id="3" name="Picture 2">
          <a:extLst>
            <a:ext uri="{FF2B5EF4-FFF2-40B4-BE49-F238E27FC236}">
              <a16:creationId xmlns:a16="http://schemas.microsoft.com/office/drawing/2014/main" id="{348E32FF-B8F0-45BD-9F07-264F72DD8EB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2521" y="11535051"/>
          <a:ext cx="5575010" cy="350698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7</xdr:col>
      <xdr:colOff>21069</xdr:colOff>
      <xdr:row>6</xdr:row>
      <xdr:rowOff>14611</xdr:rowOff>
    </xdr:from>
    <xdr:ext cx="10723561" cy="6010177"/>
    <xdr:pic>
      <xdr:nvPicPr>
        <xdr:cNvPr id="2" name="Picture 1">
          <a:extLst>
            <a:ext uri="{FF2B5EF4-FFF2-40B4-BE49-F238E27FC236}">
              <a16:creationId xmlns:a16="http://schemas.microsoft.com/office/drawing/2014/main" id="{F05870C1-F1F6-415C-B3C8-A243CAC41E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300978" y="1307702"/>
          <a:ext cx="10723561" cy="601017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7</xdr:col>
      <xdr:colOff>1062039</xdr:colOff>
      <xdr:row>8</xdr:row>
      <xdr:rowOff>40481</xdr:rowOff>
    </xdr:from>
    <xdr:to>
      <xdr:col>15</xdr:col>
      <xdr:colOff>457200</xdr:colOff>
      <xdr:row>33</xdr:row>
      <xdr:rowOff>73819</xdr:rowOff>
    </xdr:to>
    <xdr:graphicFrame macro="">
      <xdr:nvGraphicFramePr>
        <xdr:cNvPr id="3" name="Chart 2">
          <a:extLst>
            <a:ext uri="{FF2B5EF4-FFF2-40B4-BE49-F238E27FC236}">
              <a16:creationId xmlns:a16="http://schemas.microsoft.com/office/drawing/2014/main" id="{20FFE76D-419F-4C0C-BA55-CCC8E7868E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Nathan\Downloads\co2ffc-module.xlsm" TargetMode="External"/><Relationship Id="rId1" Type="http://schemas.openxmlformats.org/officeDocument/2006/relationships/externalLinkPath" Target="https://energyinnovation-my.sharepoint.com/Users/Nathan/Downloads/co2ffc-module.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bie/Dropbox%20(Energy%20InNovation)/My%20Documents/Policy%20Solutions%20Project/US/Models/eps-1.3.0-us/InputData/indst/BPEiC/BAU%20Process%20Emis%20in%20CO2e_Updated%20Velders%20Meth.xlsx" TargetMode="External"/><Relationship Id="rId1" Type="http://schemas.openxmlformats.org/officeDocument/2006/relationships/externalLinkPath" Target="/Users/Robbie/Dropbox%20(Energy%20InNovation)/My%20Documents/Policy%20Solutions%20Project/US/Models/eps-1.3.0-us/InputData/indst/BPEiC/BAU%20Process%20Emis%20in%20CO2e_Updated%20Velders%20Meth.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mmahajan/Documents/eps-us/InputData/elec/GBSC/PAGBSC.csv" TargetMode="External"/><Relationship Id="rId1" Type="http://schemas.openxmlformats.org/officeDocument/2006/relationships/externalLinkPath" Target="/Users/mmahajan/Documents/eps-us/InputData/elec/GBSC/PAGBSC.csv"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Meghan/Documents/eps-us-analysis/InputData/indst/PERAC/Proc%20Emis%20Reductions%20and%20Costs.xlsx" TargetMode="External"/><Relationship Id="rId1" Type="http://schemas.openxmlformats.org/officeDocument/2006/relationships/externalLinkPath" Target="/Users/Meghan/Documents/eps-us-analysis/InputData/indst/PERAC/Proc%20Emis%20Reductions%20and%20Costs.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F:\Dropbox\EI%20Local\India%20Electrification\ITTIM-1.1.0%20wipN.xlsm" TargetMode="External"/><Relationship Id="rId1" Type="http://schemas.openxmlformats.org/officeDocument/2006/relationships/externalLinkPath" Target="file:///F:\Dropbox\EI%20Local\India%20Electrification\ITTIM-1.1.0%20wipN.xlsm"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https://energyinnovation-my.sharepoint.com/Users/sonalideshpande/Downloads/ITTIM-1.1.0%20wipE.xlsm" TargetMode="External"/><Relationship Id="rId1" Type="http://schemas.openxmlformats.org/officeDocument/2006/relationships/externalLinkPath" Target="https://energyinnovation-my.sharepoint.com/Users/sonalideshpande/Downloads/ITTIM-1.1.0%20wipE.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Dataframe"/>
      <sheetName val="Dataframe_Sum"/>
      <sheetName val="Default State Energy Data Table"/>
      <sheetName val="Residential"/>
      <sheetName val="Commercial"/>
      <sheetName val="Transportation"/>
      <sheetName val="Industrial"/>
      <sheetName val="Electric Power"/>
      <sheetName val="Bunker Fuels"/>
      <sheetName val="Summary-MMTCO2E"/>
      <sheetName val="Summary-MMTCE"/>
      <sheetName val="Tracker"/>
      <sheetName val="Uncertainty"/>
      <sheetName val="FF Checker"/>
      <sheetName val="FF Consumption"/>
      <sheetName val="Coal CC"/>
      <sheetName val="Non-Energy Consump."/>
      <sheetName val="Variable CC's"/>
      <sheetName val="SNG"/>
      <sheetName val="Ethanol"/>
      <sheetName val="Code Key"/>
      <sheetName val="Data Sources"/>
      <sheetName val="List Data"/>
      <sheetName val="Notes"/>
    </sheetNames>
    <sheetDataSet>
      <sheetData sheetId="0">
        <row r="50">
          <cell r="D50">
            <v>0.99560852232832731</v>
          </cell>
        </row>
        <row r="51">
          <cell r="D51">
            <v>0.5</v>
          </cell>
        </row>
        <row r="52">
          <cell r="D52" t="str">
            <v>variable by year</v>
          </cell>
        </row>
        <row r="53">
          <cell r="D53">
            <v>9.1799999999999993E-2</v>
          </cell>
        </row>
        <row r="54">
          <cell r="D54">
            <v>0.5</v>
          </cell>
        </row>
        <row r="55">
          <cell r="D55" t="str">
            <v>variable by year</v>
          </cell>
        </row>
        <row r="56">
          <cell r="D56" t="str">
            <v>variable by year</v>
          </cell>
        </row>
        <row r="57">
          <cell r="D57">
            <v>0</v>
          </cell>
        </row>
        <row r="58">
          <cell r="D58" t="str">
            <v>variable by year</v>
          </cell>
        </row>
        <row r="59">
          <cell r="D59">
            <v>0.3</v>
          </cell>
        </row>
        <row r="60">
          <cell r="D60">
            <v>0.61699356710493758</v>
          </cell>
        </row>
        <row r="61">
          <cell r="D61">
            <v>0.61699356710493758</v>
          </cell>
        </row>
        <row r="62">
          <cell r="D62">
            <v>0.57824999999999982</v>
          </cell>
        </row>
        <row r="63">
          <cell r="D63">
            <v>0.1</v>
          </cell>
        </row>
        <row r="64">
          <cell r="D64" t="str">
            <v>variable by year</v>
          </cell>
        </row>
      </sheetData>
      <sheetData sheetId="1"/>
      <sheetData sheetId="2"/>
      <sheetData sheetId="3">
        <row r="6">
          <cell r="A6" t="str">
            <v>AR Commercial Coal</v>
          </cell>
          <cell r="C6" t="str">
            <v>Commercial Coal</v>
          </cell>
          <cell r="D6">
            <v>4</v>
          </cell>
          <cell r="E6">
            <v>9</v>
          </cell>
          <cell r="F6">
            <v>42</v>
          </cell>
          <cell r="G6">
            <v>16</v>
          </cell>
          <cell r="H6">
            <v>7</v>
          </cell>
          <cell r="I6">
            <v>0</v>
          </cell>
          <cell r="J6">
            <v>0</v>
          </cell>
          <cell r="K6">
            <v>1</v>
          </cell>
          <cell r="L6">
            <v>1</v>
          </cell>
          <cell r="M6">
            <v>1</v>
          </cell>
          <cell r="N6">
            <v>0</v>
          </cell>
          <cell r="O6">
            <v>0</v>
          </cell>
          <cell r="P6">
            <v>1</v>
          </cell>
          <cell r="Q6">
            <v>0</v>
          </cell>
          <cell r="R6">
            <v>1</v>
          </cell>
          <cell r="S6">
            <v>0</v>
          </cell>
          <cell r="T6">
            <v>1</v>
          </cell>
          <cell r="U6">
            <v>24</v>
          </cell>
          <cell r="V6">
            <v>0</v>
          </cell>
          <cell r="W6">
            <v>0</v>
          </cell>
          <cell r="X6">
            <v>0</v>
          </cell>
          <cell r="Y6">
            <v>0</v>
          </cell>
          <cell r="Z6">
            <v>0</v>
          </cell>
          <cell r="AA6">
            <v>0</v>
          </cell>
          <cell r="AB6">
            <v>0</v>
          </cell>
          <cell r="AC6">
            <v>0</v>
          </cell>
          <cell r="AD6">
            <v>0</v>
          </cell>
          <cell r="AE6">
            <v>0</v>
          </cell>
          <cell r="AF6">
            <v>0</v>
          </cell>
          <cell r="AG6">
            <v>0</v>
          </cell>
          <cell r="AH6">
            <v>0</v>
          </cell>
          <cell r="AI6">
            <v>0</v>
          </cell>
          <cell r="AJ6">
            <v>0</v>
          </cell>
          <cell r="AK6">
            <v>0</v>
          </cell>
          <cell r="AL6">
            <v>0</v>
          </cell>
          <cell r="AM6">
            <v>0</v>
          </cell>
        </row>
        <row r="7">
          <cell r="A7" t="str">
            <v>AR Commercial Distillate Fuel</v>
          </cell>
          <cell r="C7" t="str">
            <v>Commercial Distillate Fuel</v>
          </cell>
          <cell r="D7">
            <v>1738</v>
          </cell>
          <cell r="E7">
            <v>1501</v>
          </cell>
          <cell r="F7">
            <v>1658</v>
          </cell>
          <cell r="G7">
            <v>2074</v>
          </cell>
          <cell r="H7">
            <v>2223</v>
          </cell>
          <cell r="I7">
            <v>1752</v>
          </cell>
          <cell r="J7">
            <v>1692</v>
          </cell>
          <cell r="K7">
            <v>1573</v>
          </cell>
          <cell r="L7">
            <v>2084</v>
          </cell>
          <cell r="M7">
            <v>1515</v>
          </cell>
          <cell r="N7">
            <v>2186</v>
          </cell>
          <cell r="O7">
            <v>3453</v>
          </cell>
          <cell r="P7">
            <v>2598</v>
          </cell>
          <cell r="Q7">
            <v>4329</v>
          </cell>
          <cell r="R7">
            <v>2999</v>
          </cell>
          <cell r="S7">
            <v>4157</v>
          </cell>
          <cell r="T7">
            <v>538</v>
          </cell>
          <cell r="U7">
            <v>521</v>
          </cell>
          <cell r="V7">
            <v>591</v>
          </cell>
          <cell r="W7">
            <v>5630</v>
          </cell>
          <cell r="X7">
            <v>3812</v>
          </cell>
          <cell r="Y7">
            <v>3586</v>
          </cell>
          <cell r="Z7">
            <v>2191</v>
          </cell>
          <cell r="AA7">
            <v>2105</v>
          </cell>
          <cell r="AB7">
            <v>3286</v>
          </cell>
          <cell r="AC7">
            <v>3420</v>
          </cell>
          <cell r="AD7">
            <v>3075</v>
          </cell>
          <cell r="AE7">
            <v>3184</v>
          </cell>
          <cell r="AF7">
            <v>3401</v>
          </cell>
          <cell r="AG7">
            <v>4001</v>
          </cell>
          <cell r="AH7">
            <v>2771</v>
          </cell>
          <cell r="AI7">
            <v>3108</v>
          </cell>
          <cell r="AJ7">
            <v>0</v>
          </cell>
          <cell r="AK7">
            <v>0</v>
          </cell>
          <cell r="AL7">
            <v>0</v>
          </cell>
          <cell r="AM7">
            <v>0</v>
          </cell>
        </row>
        <row r="8">
          <cell r="A8" t="str">
            <v>AR Commercial Kerosene</v>
          </cell>
          <cell r="C8" t="str">
            <v>Commercial Kerosene</v>
          </cell>
          <cell r="D8">
            <v>8</v>
          </cell>
          <cell r="E8">
            <v>11</v>
          </cell>
          <cell r="F8">
            <v>29</v>
          </cell>
          <cell r="G8">
            <v>29</v>
          </cell>
          <cell r="H8">
            <v>24</v>
          </cell>
          <cell r="I8">
            <v>26</v>
          </cell>
          <cell r="J8">
            <v>30</v>
          </cell>
          <cell r="K8">
            <v>30</v>
          </cell>
          <cell r="L8">
            <v>39</v>
          </cell>
          <cell r="M8">
            <v>22</v>
          </cell>
          <cell r="N8">
            <v>25</v>
          </cell>
          <cell r="O8">
            <v>53</v>
          </cell>
          <cell r="P8">
            <v>23</v>
          </cell>
          <cell r="Q8">
            <v>18</v>
          </cell>
          <cell r="R8">
            <v>94</v>
          </cell>
          <cell r="S8">
            <v>115</v>
          </cell>
          <cell r="T8">
            <v>67</v>
          </cell>
          <cell r="U8">
            <v>50</v>
          </cell>
          <cell r="V8">
            <v>49</v>
          </cell>
          <cell r="W8">
            <v>1</v>
          </cell>
          <cell r="X8">
            <v>6</v>
          </cell>
          <cell r="Y8">
            <v>1</v>
          </cell>
          <cell r="Z8">
            <v>0</v>
          </cell>
          <cell r="AA8">
            <v>1</v>
          </cell>
          <cell r="AB8">
            <v>2</v>
          </cell>
          <cell r="AC8">
            <v>5</v>
          </cell>
          <cell r="AD8">
            <v>5</v>
          </cell>
          <cell r="AE8">
            <v>5</v>
          </cell>
          <cell r="AF8">
            <v>14</v>
          </cell>
          <cell r="AG8">
            <v>16</v>
          </cell>
          <cell r="AH8">
            <v>11</v>
          </cell>
          <cell r="AI8">
            <v>9</v>
          </cell>
          <cell r="AJ8">
            <v>0</v>
          </cell>
          <cell r="AK8">
            <v>0</v>
          </cell>
          <cell r="AL8">
            <v>0</v>
          </cell>
          <cell r="AM8">
            <v>0</v>
          </cell>
        </row>
        <row r="9">
          <cell r="A9" t="str">
            <v>AR Commercial Hydrocarbon Gas Liquids</v>
          </cell>
          <cell r="C9" t="str">
            <v>Commercial Hydrocarbon Gas Liquids</v>
          </cell>
          <cell r="D9">
            <v>1555</v>
          </cell>
          <cell r="E9">
            <v>1407</v>
          </cell>
          <cell r="F9">
            <v>1259</v>
          </cell>
          <cell r="G9">
            <v>1435</v>
          </cell>
          <cell r="H9">
            <v>1403</v>
          </cell>
          <cell r="I9">
            <v>1258</v>
          </cell>
          <cell r="J9">
            <v>1253</v>
          </cell>
          <cell r="K9">
            <v>1325</v>
          </cell>
          <cell r="L9">
            <v>982</v>
          </cell>
          <cell r="M9">
            <v>2544</v>
          </cell>
          <cell r="N9">
            <v>2257</v>
          </cell>
          <cell r="O9">
            <v>2373</v>
          </cell>
          <cell r="P9">
            <v>1775</v>
          </cell>
          <cell r="Q9">
            <v>1418</v>
          </cell>
          <cell r="R9">
            <v>2561</v>
          </cell>
          <cell r="S9">
            <v>1101</v>
          </cell>
          <cell r="T9">
            <v>1070</v>
          </cell>
          <cell r="U9">
            <v>784</v>
          </cell>
          <cell r="V9">
            <v>1661</v>
          </cell>
          <cell r="W9">
            <v>1153</v>
          </cell>
          <cell r="X9">
            <v>1116</v>
          </cell>
          <cell r="Y9">
            <v>1180</v>
          </cell>
          <cell r="Z9">
            <v>1169</v>
          </cell>
          <cell r="AA9">
            <v>1114</v>
          </cell>
          <cell r="AB9">
            <v>1458</v>
          </cell>
          <cell r="AC9">
            <v>1246</v>
          </cell>
          <cell r="AD9">
            <v>865</v>
          </cell>
          <cell r="AE9">
            <v>816</v>
          </cell>
          <cell r="AF9">
            <v>1174</v>
          </cell>
          <cell r="AG9">
            <v>1090</v>
          </cell>
          <cell r="AH9">
            <v>1413</v>
          </cell>
          <cell r="AI9">
            <v>1711</v>
          </cell>
          <cell r="AJ9">
            <v>0</v>
          </cell>
          <cell r="AK9">
            <v>0</v>
          </cell>
          <cell r="AL9">
            <v>0</v>
          </cell>
          <cell r="AM9">
            <v>0</v>
          </cell>
        </row>
        <row r="10">
          <cell r="A10" t="str">
            <v>AR Commercial Motor Gasoline</v>
          </cell>
          <cell r="C10" t="str">
            <v>Commercial Motor Gasoline</v>
          </cell>
          <cell r="D10">
            <v>746</v>
          </cell>
          <cell r="E10">
            <v>423</v>
          </cell>
          <cell r="F10">
            <v>373</v>
          </cell>
          <cell r="G10">
            <v>148</v>
          </cell>
          <cell r="H10">
            <v>149</v>
          </cell>
          <cell r="I10">
            <v>151</v>
          </cell>
          <cell r="J10">
            <v>150</v>
          </cell>
          <cell r="K10">
            <v>148</v>
          </cell>
          <cell r="L10">
            <v>149</v>
          </cell>
          <cell r="M10">
            <v>148</v>
          </cell>
          <cell r="N10">
            <v>149</v>
          </cell>
          <cell r="O10">
            <v>157</v>
          </cell>
          <cell r="P10">
            <v>570</v>
          </cell>
          <cell r="Q10">
            <v>514</v>
          </cell>
          <cell r="R10">
            <v>538</v>
          </cell>
          <cell r="S10">
            <v>729</v>
          </cell>
          <cell r="T10">
            <v>753</v>
          </cell>
          <cell r="U10">
            <v>631</v>
          </cell>
          <cell r="V10">
            <v>644</v>
          </cell>
          <cell r="W10">
            <v>674</v>
          </cell>
          <cell r="X10">
            <v>753</v>
          </cell>
          <cell r="Y10">
            <v>335</v>
          </cell>
          <cell r="Z10">
            <v>359</v>
          </cell>
          <cell r="AA10">
            <v>266</v>
          </cell>
          <cell r="AB10">
            <v>374</v>
          </cell>
          <cell r="AC10">
            <v>2903</v>
          </cell>
          <cell r="AD10">
            <v>2557</v>
          </cell>
          <cell r="AE10">
            <v>2525</v>
          </cell>
          <cell r="AF10">
            <v>2544</v>
          </cell>
          <cell r="AG10">
            <v>2564</v>
          </cell>
          <cell r="AH10">
            <v>2590</v>
          </cell>
          <cell r="AI10">
            <v>2608</v>
          </cell>
          <cell r="AJ10">
            <v>0</v>
          </cell>
          <cell r="AK10">
            <v>0</v>
          </cell>
          <cell r="AL10">
            <v>0</v>
          </cell>
          <cell r="AM10">
            <v>0</v>
          </cell>
        </row>
        <row r="11">
          <cell r="A11" t="str">
            <v>AR Commercial Natural Gas</v>
          </cell>
          <cell r="C11" t="str">
            <v>Commercial Natural Gas</v>
          </cell>
          <cell r="D11">
            <v>25321</v>
          </cell>
          <cell r="E11">
            <v>26417</v>
          </cell>
          <cell r="F11">
            <v>25486</v>
          </cell>
          <cell r="G11">
            <v>29362</v>
          </cell>
          <cell r="H11">
            <v>28004</v>
          </cell>
          <cell r="I11">
            <v>29724</v>
          </cell>
          <cell r="J11">
            <v>31823</v>
          </cell>
          <cell r="K11">
            <v>29852</v>
          </cell>
          <cell r="L11">
            <v>28759</v>
          </cell>
          <cell r="M11">
            <v>28397</v>
          </cell>
          <cell r="N11">
            <v>33806</v>
          </cell>
          <cell r="O11">
            <v>32455</v>
          </cell>
          <cell r="P11">
            <v>33731</v>
          </cell>
          <cell r="Q11">
            <v>32721</v>
          </cell>
          <cell r="R11">
            <v>30093</v>
          </cell>
          <cell r="S11">
            <v>31822</v>
          </cell>
          <cell r="T11">
            <v>32252</v>
          </cell>
          <cell r="U11">
            <v>32493</v>
          </cell>
          <cell r="V11">
            <v>37245</v>
          </cell>
          <cell r="W11">
            <v>36792</v>
          </cell>
          <cell r="X11">
            <v>40531</v>
          </cell>
          <cell r="Y11">
            <v>40584</v>
          </cell>
          <cell r="Z11">
            <v>41851</v>
          </cell>
          <cell r="AA11">
            <v>48553</v>
          </cell>
          <cell r="AB11">
            <v>51246</v>
          </cell>
          <cell r="AC11">
            <v>48248</v>
          </cell>
          <cell r="AD11">
            <v>46382</v>
          </cell>
          <cell r="AE11">
            <v>48190</v>
          </cell>
          <cell r="AF11">
            <v>56224</v>
          </cell>
          <cell r="AG11">
            <v>55846</v>
          </cell>
          <cell r="AH11">
            <v>53396</v>
          </cell>
          <cell r="AI11">
            <v>57877</v>
          </cell>
          <cell r="AJ11">
            <v>0</v>
          </cell>
          <cell r="AK11">
            <v>0</v>
          </cell>
          <cell r="AL11">
            <v>0</v>
          </cell>
          <cell r="AM11">
            <v>0</v>
          </cell>
        </row>
        <row r="12">
          <cell r="A12" t="str">
            <v>AR Commercial Residual Fuel</v>
          </cell>
          <cell r="C12" t="str">
            <v>Commercial Residual Fuel</v>
          </cell>
          <cell r="D12">
            <v>0</v>
          </cell>
          <cell r="E12">
            <v>0</v>
          </cell>
          <cell r="F12">
            <v>25</v>
          </cell>
          <cell r="G12">
            <v>4</v>
          </cell>
          <cell r="H12">
            <v>0</v>
          </cell>
          <cell r="I12">
            <v>0</v>
          </cell>
          <cell r="J12">
            <v>1</v>
          </cell>
          <cell r="K12">
            <v>0</v>
          </cell>
          <cell r="L12">
            <v>0</v>
          </cell>
          <cell r="M12">
            <v>0</v>
          </cell>
          <cell r="N12">
            <v>0</v>
          </cell>
          <cell r="O12">
            <v>0</v>
          </cell>
          <cell r="P12">
            <v>0</v>
          </cell>
          <cell r="Q12">
            <v>0</v>
          </cell>
          <cell r="R12">
            <v>2</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row>
        <row r="13">
          <cell r="A13" t="str">
            <v>AR Commercial Wood</v>
          </cell>
          <cell r="C13" t="str">
            <v>Commercial Wood</v>
          </cell>
          <cell r="D13">
            <v>345</v>
          </cell>
          <cell r="E13">
            <v>361</v>
          </cell>
          <cell r="F13">
            <v>380</v>
          </cell>
          <cell r="G13">
            <v>650</v>
          </cell>
          <cell r="H13">
            <v>623</v>
          </cell>
          <cell r="I13">
            <v>628</v>
          </cell>
          <cell r="J13">
            <v>653</v>
          </cell>
          <cell r="K13">
            <v>392</v>
          </cell>
          <cell r="L13">
            <v>343</v>
          </cell>
          <cell r="M13">
            <v>360</v>
          </cell>
          <cell r="N13">
            <v>385</v>
          </cell>
          <cell r="O13">
            <v>392</v>
          </cell>
          <cell r="P13">
            <v>401</v>
          </cell>
          <cell r="Q13">
            <v>418</v>
          </cell>
          <cell r="R13">
            <v>409</v>
          </cell>
          <cell r="S13">
            <v>899</v>
          </cell>
          <cell r="T13">
            <v>834</v>
          </cell>
          <cell r="U13">
            <v>886</v>
          </cell>
          <cell r="V13">
            <v>935</v>
          </cell>
          <cell r="W13">
            <v>1353</v>
          </cell>
          <cell r="X13">
            <v>1336</v>
          </cell>
          <cell r="Y13">
            <v>1286</v>
          </cell>
          <cell r="Z13">
            <v>1126</v>
          </cell>
          <cell r="AA13">
            <v>1306</v>
          </cell>
          <cell r="AB13">
            <v>1360</v>
          </cell>
          <cell r="AC13">
            <v>937</v>
          </cell>
          <cell r="AD13">
            <v>918</v>
          </cell>
          <cell r="AE13">
            <v>800</v>
          </cell>
          <cell r="AF13">
            <v>1029</v>
          </cell>
          <cell r="AG13">
            <v>998</v>
          </cell>
          <cell r="AH13">
            <v>951</v>
          </cell>
          <cell r="AI13">
            <v>878</v>
          </cell>
          <cell r="AJ13">
            <v>0</v>
          </cell>
          <cell r="AK13">
            <v>0</v>
          </cell>
          <cell r="AL13">
            <v>0</v>
          </cell>
          <cell r="AM13">
            <v>0</v>
          </cell>
        </row>
        <row r="14">
          <cell r="A14" t="str">
            <v>AR Commercial Other</v>
          </cell>
          <cell r="C14" t="str">
            <v>Commercial Other</v>
          </cell>
        </row>
        <row r="15">
          <cell r="A15" t="str">
            <v>AR Electric Power Coal</v>
          </cell>
          <cell r="C15" t="str">
            <v>Electric Power Coal</v>
          </cell>
          <cell r="D15">
            <v>206863</v>
          </cell>
          <cell r="E15">
            <v>209095</v>
          </cell>
          <cell r="F15">
            <v>213578</v>
          </cell>
          <cell r="G15">
            <v>192682</v>
          </cell>
          <cell r="H15">
            <v>213561</v>
          </cell>
          <cell r="I15">
            <v>229550</v>
          </cell>
          <cell r="J15">
            <v>251704</v>
          </cell>
          <cell r="K15">
            <v>239806</v>
          </cell>
          <cell r="L15">
            <v>247654</v>
          </cell>
          <cell r="M15">
            <v>259094</v>
          </cell>
          <cell r="N15">
            <v>257963</v>
          </cell>
          <cell r="O15">
            <v>263081</v>
          </cell>
          <cell r="P15">
            <v>244784</v>
          </cell>
          <cell r="Q15">
            <v>243527</v>
          </cell>
          <cell r="R15">
            <v>260084</v>
          </cell>
          <cell r="S15">
            <v>237894</v>
          </cell>
          <cell r="T15">
            <v>247823</v>
          </cell>
          <cell r="U15">
            <v>265232</v>
          </cell>
          <cell r="V15">
            <v>269282</v>
          </cell>
          <cell r="W15">
            <v>256654</v>
          </cell>
          <cell r="X15">
            <v>286417</v>
          </cell>
          <cell r="Y15">
            <v>300543</v>
          </cell>
          <cell r="Z15">
            <v>291578</v>
          </cell>
          <cell r="AA15">
            <v>322034</v>
          </cell>
          <cell r="AB15">
            <v>333753</v>
          </cell>
          <cell r="AC15">
            <v>222218</v>
          </cell>
          <cell r="AD15">
            <v>241610</v>
          </cell>
          <cell r="AE15">
            <v>262907</v>
          </cell>
          <cell r="AF15">
            <v>300080</v>
          </cell>
          <cell r="AG15">
            <v>235754</v>
          </cell>
          <cell r="AH15">
            <v>158577</v>
          </cell>
          <cell r="AI15">
            <v>212676</v>
          </cell>
          <cell r="AJ15">
            <v>0</v>
          </cell>
          <cell r="AK15">
            <v>0</v>
          </cell>
          <cell r="AL15">
            <v>0</v>
          </cell>
          <cell r="AM15">
            <v>0</v>
          </cell>
        </row>
        <row r="16">
          <cell r="A16" t="str">
            <v>AR Electric Power Distillate Fuel</v>
          </cell>
          <cell r="C16" t="str">
            <v>Electric Power Distillate Fuel</v>
          </cell>
          <cell r="D16">
            <v>818</v>
          </cell>
          <cell r="E16">
            <v>742</v>
          </cell>
          <cell r="F16">
            <v>553</v>
          </cell>
          <cell r="G16">
            <v>732</v>
          </cell>
          <cell r="H16">
            <v>710</v>
          </cell>
          <cell r="I16">
            <v>547</v>
          </cell>
          <cell r="J16">
            <v>567</v>
          </cell>
          <cell r="K16">
            <v>584</v>
          </cell>
          <cell r="L16">
            <v>1041</v>
          </cell>
          <cell r="M16">
            <v>973</v>
          </cell>
          <cell r="N16">
            <v>389</v>
          </cell>
          <cell r="O16">
            <v>475</v>
          </cell>
          <cell r="P16">
            <v>404</v>
          </cell>
          <cell r="Q16">
            <v>413</v>
          </cell>
          <cell r="R16">
            <v>362</v>
          </cell>
          <cell r="S16">
            <v>419</v>
          </cell>
          <cell r="T16">
            <v>278</v>
          </cell>
          <cell r="U16">
            <v>363</v>
          </cell>
          <cell r="V16">
            <v>256</v>
          </cell>
          <cell r="W16">
            <v>371</v>
          </cell>
          <cell r="X16">
            <v>318</v>
          </cell>
          <cell r="Y16">
            <v>469</v>
          </cell>
          <cell r="Z16">
            <v>305</v>
          </cell>
          <cell r="AA16">
            <v>374</v>
          </cell>
          <cell r="AB16">
            <v>260</v>
          </cell>
          <cell r="AC16">
            <v>564</v>
          </cell>
          <cell r="AD16">
            <v>416</v>
          </cell>
          <cell r="AE16">
            <v>477</v>
          </cell>
          <cell r="AF16">
            <v>321</v>
          </cell>
          <cell r="AG16">
            <v>449</v>
          </cell>
          <cell r="AH16">
            <v>504</v>
          </cell>
          <cell r="AI16">
            <v>549</v>
          </cell>
          <cell r="AJ16">
            <v>0</v>
          </cell>
          <cell r="AK16">
            <v>0</v>
          </cell>
          <cell r="AL16">
            <v>0</v>
          </cell>
          <cell r="AM16">
            <v>0</v>
          </cell>
        </row>
        <row r="17">
          <cell r="A17" t="str">
            <v>AR Electric Power Natural Gas</v>
          </cell>
          <cell r="C17" t="str">
            <v>Electric Power Natural Gas</v>
          </cell>
          <cell r="D17">
            <v>32657</v>
          </cell>
          <cell r="E17">
            <v>28456</v>
          </cell>
          <cell r="F17">
            <v>27691</v>
          </cell>
          <cell r="G17">
            <v>21790</v>
          </cell>
          <cell r="H17">
            <v>25574</v>
          </cell>
          <cell r="I17">
            <v>33377</v>
          </cell>
          <cell r="J17">
            <v>34795</v>
          </cell>
          <cell r="K17">
            <v>25425</v>
          </cell>
          <cell r="L17">
            <v>41357</v>
          </cell>
          <cell r="M17">
            <v>41082</v>
          </cell>
          <cell r="N17">
            <v>35292</v>
          </cell>
          <cell r="O17">
            <v>27070</v>
          </cell>
          <cell r="P17">
            <v>43124</v>
          </cell>
          <cell r="Q17">
            <v>58174</v>
          </cell>
          <cell r="R17">
            <v>41334</v>
          </cell>
          <cell r="S17">
            <v>50404</v>
          </cell>
          <cell r="T17">
            <v>73045</v>
          </cell>
          <cell r="U17">
            <v>65218</v>
          </cell>
          <cell r="V17">
            <v>66231</v>
          </cell>
          <cell r="W17">
            <v>85317</v>
          </cell>
          <cell r="X17">
            <v>98514</v>
          </cell>
          <cell r="Y17">
            <v>109196</v>
          </cell>
          <cell r="Z17">
            <v>131825</v>
          </cell>
          <cell r="AA17">
            <v>95845</v>
          </cell>
          <cell r="AB17">
            <v>74137</v>
          </cell>
          <cell r="AC17">
            <v>113099</v>
          </cell>
          <cell r="AD17">
            <v>139024</v>
          </cell>
          <cell r="AE17">
            <v>130272</v>
          </cell>
          <cell r="AF17">
            <v>155902</v>
          </cell>
          <cell r="AG17">
            <v>163318</v>
          </cell>
          <cell r="AH17">
            <v>138729</v>
          </cell>
          <cell r="AI17">
            <v>153547</v>
          </cell>
          <cell r="AJ17">
            <v>0</v>
          </cell>
          <cell r="AK17">
            <v>0</v>
          </cell>
          <cell r="AL17">
            <v>0</v>
          </cell>
          <cell r="AM17">
            <v>0</v>
          </cell>
        </row>
        <row r="18">
          <cell r="A18" t="str">
            <v>AR Electric Power Petroleum Coke</v>
          </cell>
          <cell r="C18" t="str">
            <v>Electric Power Petroleum Coke</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row>
        <row r="19">
          <cell r="A19" t="str">
            <v>AR Electric Power Residual Fuel</v>
          </cell>
          <cell r="C19" t="str">
            <v>Electric Power Residual Fuel</v>
          </cell>
          <cell r="D19">
            <v>92</v>
          </cell>
          <cell r="E19">
            <v>7</v>
          </cell>
          <cell r="F19">
            <v>0</v>
          </cell>
          <cell r="G19">
            <v>33</v>
          </cell>
          <cell r="H19">
            <v>338</v>
          </cell>
          <cell r="I19">
            <v>97</v>
          </cell>
          <cell r="J19">
            <v>511</v>
          </cell>
          <cell r="K19">
            <v>169</v>
          </cell>
          <cell r="L19">
            <v>627</v>
          </cell>
          <cell r="M19">
            <v>581</v>
          </cell>
          <cell r="N19">
            <v>1842</v>
          </cell>
          <cell r="O19">
            <v>8424</v>
          </cell>
          <cell r="P19">
            <v>1130</v>
          </cell>
          <cell r="Q19">
            <v>2403</v>
          </cell>
          <cell r="R19">
            <v>4668</v>
          </cell>
          <cell r="S19">
            <v>1445</v>
          </cell>
          <cell r="T19">
            <v>1376</v>
          </cell>
          <cell r="U19">
            <v>438</v>
          </cell>
          <cell r="V19">
            <v>338</v>
          </cell>
          <cell r="W19">
            <v>487</v>
          </cell>
          <cell r="X19">
            <v>123</v>
          </cell>
          <cell r="Y19">
            <v>78</v>
          </cell>
          <cell r="Z19">
            <v>12</v>
          </cell>
          <cell r="AA19">
            <v>44</v>
          </cell>
          <cell r="AB19">
            <v>2</v>
          </cell>
          <cell r="AC19">
            <v>4</v>
          </cell>
          <cell r="AD19">
            <v>0</v>
          </cell>
          <cell r="AE19">
            <v>0</v>
          </cell>
          <cell r="AF19">
            <v>0</v>
          </cell>
          <cell r="AG19">
            <v>0</v>
          </cell>
          <cell r="AH19">
            <v>21</v>
          </cell>
          <cell r="AI19">
            <v>0</v>
          </cell>
          <cell r="AJ19">
            <v>0</v>
          </cell>
          <cell r="AK19">
            <v>0</v>
          </cell>
          <cell r="AL19">
            <v>0</v>
          </cell>
          <cell r="AM19">
            <v>0</v>
          </cell>
        </row>
        <row r="20">
          <cell r="A20" t="str">
            <v>AR Electric Power Wood</v>
          </cell>
          <cell r="C20" t="str">
            <v>Electric Power Wood</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row>
        <row r="21">
          <cell r="A21" t="str">
            <v>AR Electric Power Other</v>
          </cell>
          <cell r="C21" t="str">
            <v>Electric Power Other</v>
          </cell>
        </row>
        <row r="22">
          <cell r="A22" t="str">
            <v>AR Industrial Asphalt and Road Oil</v>
          </cell>
          <cell r="C22" t="str">
            <v>Industrial Asphalt and Road Oil</v>
          </cell>
          <cell r="D22">
            <v>3288</v>
          </cell>
          <cell r="E22">
            <v>3540</v>
          </cell>
          <cell r="F22">
            <v>7793</v>
          </cell>
          <cell r="G22">
            <v>9642</v>
          </cell>
          <cell r="H22">
            <v>7072</v>
          </cell>
          <cell r="I22">
            <v>8266</v>
          </cell>
          <cell r="J22">
            <v>6470</v>
          </cell>
          <cell r="K22">
            <v>6716</v>
          </cell>
          <cell r="L22">
            <v>5702</v>
          </cell>
          <cell r="M22">
            <v>6787</v>
          </cell>
          <cell r="N22">
            <v>6747</v>
          </cell>
          <cell r="O22">
            <v>5893</v>
          </cell>
          <cell r="P22">
            <v>17304</v>
          </cell>
          <cell r="Q22">
            <v>12009</v>
          </cell>
          <cell r="R22">
            <v>5868</v>
          </cell>
          <cell r="S22">
            <v>3153</v>
          </cell>
          <cell r="T22">
            <v>8852</v>
          </cell>
          <cell r="U22">
            <v>8188</v>
          </cell>
          <cell r="V22">
            <v>2318</v>
          </cell>
          <cell r="W22">
            <v>7984</v>
          </cell>
          <cell r="X22">
            <v>10974</v>
          </cell>
          <cell r="Y22">
            <v>14494</v>
          </cell>
          <cell r="Z22">
            <v>10746</v>
          </cell>
          <cell r="AA22">
            <v>10293</v>
          </cell>
          <cell r="AB22">
            <v>12504</v>
          </cell>
          <cell r="AC22">
            <v>7719</v>
          </cell>
          <cell r="AD22">
            <v>14355</v>
          </cell>
          <cell r="AE22">
            <v>14901</v>
          </cell>
          <cell r="AF22">
            <v>12446</v>
          </cell>
          <cell r="AG22">
            <v>13234</v>
          </cell>
          <cell r="AH22">
            <v>13546</v>
          </cell>
          <cell r="AI22">
            <v>14408</v>
          </cell>
          <cell r="AJ22">
            <v>0</v>
          </cell>
          <cell r="AK22">
            <v>0</v>
          </cell>
          <cell r="AL22">
            <v>0</v>
          </cell>
          <cell r="AM22">
            <v>0</v>
          </cell>
        </row>
        <row r="23">
          <cell r="A23" t="str">
            <v>AR Industrial Aviation Gasoline Blending Components</v>
          </cell>
          <cell r="C23" t="str">
            <v>Industrial Aviation Gasoline Blending Components</v>
          </cell>
          <cell r="D23">
            <v>1</v>
          </cell>
          <cell r="E23">
            <v>0</v>
          </cell>
          <cell r="F23">
            <v>1</v>
          </cell>
          <cell r="G23">
            <v>1</v>
          </cell>
          <cell r="H23">
            <v>26</v>
          </cell>
          <cell r="I23">
            <v>22</v>
          </cell>
          <cell r="J23">
            <v>30</v>
          </cell>
          <cell r="K23">
            <v>38</v>
          </cell>
          <cell r="L23">
            <v>16</v>
          </cell>
          <cell r="M23">
            <v>24</v>
          </cell>
          <cell r="N23">
            <v>14</v>
          </cell>
          <cell r="O23">
            <v>24</v>
          </cell>
          <cell r="P23">
            <v>32</v>
          </cell>
          <cell r="Q23">
            <v>31</v>
          </cell>
          <cell r="R23">
            <v>48</v>
          </cell>
          <cell r="S23">
            <v>39</v>
          </cell>
          <cell r="T23">
            <v>3</v>
          </cell>
          <cell r="U23">
            <v>8</v>
          </cell>
          <cell r="V23">
            <v>0</v>
          </cell>
          <cell r="W23">
            <v>-4</v>
          </cell>
          <cell r="X23">
            <v>-1</v>
          </cell>
          <cell r="Y23">
            <v>0</v>
          </cell>
          <cell r="Z23">
            <v>0</v>
          </cell>
          <cell r="AA23">
            <v>-2</v>
          </cell>
          <cell r="AB23">
            <v>-1</v>
          </cell>
          <cell r="AC23">
            <v>-2</v>
          </cell>
          <cell r="AD23">
            <v>-1</v>
          </cell>
          <cell r="AE23">
            <v>-1</v>
          </cell>
          <cell r="AF23">
            <v>-8</v>
          </cell>
          <cell r="AG23">
            <v>-6</v>
          </cell>
          <cell r="AH23">
            <v>-4</v>
          </cell>
          <cell r="AI23">
            <v>-4</v>
          </cell>
          <cell r="AJ23">
            <v>0</v>
          </cell>
          <cell r="AK23">
            <v>0</v>
          </cell>
          <cell r="AL23">
            <v>0</v>
          </cell>
          <cell r="AM23">
            <v>0</v>
          </cell>
        </row>
        <row r="24">
          <cell r="A24" t="str">
            <v>AR Industrial Coal</v>
          </cell>
          <cell r="C24" t="str">
            <v>Industrial Coal</v>
          </cell>
          <cell r="D24">
            <v>5839</v>
          </cell>
          <cell r="E24">
            <v>6839</v>
          </cell>
          <cell r="F24">
            <v>7076</v>
          </cell>
          <cell r="G24">
            <v>7748</v>
          </cell>
          <cell r="H24">
            <v>8599</v>
          </cell>
          <cell r="I24">
            <v>7784</v>
          </cell>
          <cell r="J24">
            <v>8356</v>
          </cell>
          <cell r="K24">
            <v>6980</v>
          </cell>
          <cell r="L24">
            <v>7004</v>
          </cell>
          <cell r="M24">
            <v>7927</v>
          </cell>
          <cell r="N24">
            <v>9616</v>
          </cell>
          <cell r="O24">
            <v>10901</v>
          </cell>
          <cell r="P24">
            <v>10457</v>
          </cell>
          <cell r="Q24">
            <v>10126</v>
          </cell>
          <cell r="R24">
            <v>10126</v>
          </cell>
          <cell r="S24">
            <v>9275</v>
          </cell>
          <cell r="T24">
            <v>9084</v>
          </cell>
          <cell r="U24">
            <v>9778</v>
          </cell>
          <cell r="V24">
            <v>9567</v>
          </cell>
          <cell r="W24">
            <v>7429</v>
          </cell>
          <cell r="X24">
            <v>7272</v>
          </cell>
          <cell r="Y24">
            <v>5576</v>
          </cell>
          <cell r="Z24">
            <v>5154</v>
          </cell>
          <cell r="AA24">
            <v>5065</v>
          </cell>
          <cell r="AB24">
            <v>5461</v>
          </cell>
          <cell r="AC24">
            <v>4672</v>
          </cell>
          <cell r="AD24">
            <v>4827</v>
          </cell>
          <cell r="AE24">
            <v>4684</v>
          </cell>
          <cell r="AF24">
            <v>4065</v>
          </cell>
          <cell r="AG24">
            <v>4045</v>
          </cell>
          <cell r="AH24">
            <v>3402</v>
          </cell>
          <cell r="AI24">
            <v>3447</v>
          </cell>
          <cell r="AJ24">
            <v>0</v>
          </cell>
          <cell r="AK24">
            <v>0</v>
          </cell>
          <cell r="AL24">
            <v>0</v>
          </cell>
          <cell r="AM24">
            <v>0</v>
          </cell>
        </row>
        <row r="25">
          <cell r="A25" t="str">
            <v>AR Industrial Coking Coal</v>
          </cell>
          <cell r="C25" t="str">
            <v>Industrial Coking Coal</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row>
        <row r="26">
          <cell r="A26" t="str">
            <v>AR Industrial Crude Oil</v>
          </cell>
          <cell r="C26" t="str">
            <v>Industrial Crude Oil</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J26">
            <v>0</v>
          </cell>
          <cell r="AK26">
            <v>0</v>
          </cell>
          <cell r="AL26">
            <v>0</v>
          </cell>
          <cell r="AM26">
            <v>0</v>
          </cell>
        </row>
        <row r="27">
          <cell r="A27" t="str">
            <v>AR Industrial Distillate Fuel</v>
          </cell>
          <cell r="C27" t="str">
            <v>Industrial Distillate Fuel</v>
          </cell>
          <cell r="D27">
            <v>13836.37224395985</v>
          </cell>
          <cell r="E27">
            <v>11517.100726402155</v>
          </cell>
          <cell r="F27">
            <v>18962.708396970469</v>
          </cell>
          <cell r="G27">
            <v>18194.587312385127</v>
          </cell>
          <cell r="H27">
            <v>18203.912502253595</v>
          </cell>
          <cell r="I27">
            <v>23162.479654542698</v>
          </cell>
          <cell r="J27">
            <v>19388.309027358893</v>
          </cell>
          <cell r="K27">
            <v>22896.666781936408</v>
          </cell>
          <cell r="L27">
            <v>21783.585838630308</v>
          </cell>
          <cell r="M27">
            <v>20205.168692428168</v>
          </cell>
          <cell r="N27">
            <v>23043.025251355608</v>
          </cell>
          <cell r="O27">
            <v>26437.826254391981</v>
          </cell>
          <cell r="P27">
            <v>25128.565838069091</v>
          </cell>
          <cell r="Q27">
            <v>30955.17961399347</v>
          </cell>
          <cell r="R27">
            <v>32395.592938799284</v>
          </cell>
          <cell r="S27">
            <v>40008.978657533167</v>
          </cell>
          <cell r="T27">
            <v>39939.888788389151</v>
          </cell>
          <cell r="U27">
            <v>40608.218790503262</v>
          </cell>
          <cell r="V27">
            <v>51926.30170649819</v>
          </cell>
          <cell r="W27">
            <v>25446.276454793198</v>
          </cell>
          <cell r="X27">
            <v>33279.072577251347</v>
          </cell>
          <cell r="Y27">
            <v>30777.005075727655</v>
          </cell>
          <cell r="Z27">
            <v>29455.390547584542</v>
          </cell>
          <cell r="AA27">
            <v>32234.773830820468</v>
          </cell>
          <cell r="AB27">
            <v>29663.371489510144</v>
          </cell>
          <cell r="AC27">
            <v>22331.789010508408</v>
          </cell>
          <cell r="AD27">
            <v>20305.766039386686</v>
          </cell>
          <cell r="AE27">
            <v>16362.159812302039</v>
          </cell>
          <cell r="AF27">
            <v>20278.104963396861</v>
          </cell>
          <cell r="AG27">
            <v>19952.745797536711</v>
          </cell>
          <cell r="AH27">
            <v>21565.237380756378</v>
          </cell>
          <cell r="AI27">
            <v>19653.509500404762</v>
          </cell>
          <cell r="AJ27">
            <v>0</v>
          </cell>
          <cell r="AK27">
            <v>0</v>
          </cell>
          <cell r="AL27">
            <v>0</v>
          </cell>
          <cell r="AM27">
            <v>0</v>
          </cell>
        </row>
        <row r="28">
          <cell r="A28" t="str">
            <v>AR Industrial Feedstocks, Naphtha less than 401 F</v>
          </cell>
          <cell r="C28" t="str">
            <v>Industrial Feedstocks, Naphtha less than 401 F</v>
          </cell>
          <cell r="D28">
            <v>0</v>
          </cell>
          <cell r="E28">
            <v>0</v>
          </cell>
          <cell r="F28">
            <v>0</v>
          </cell>
          <cell r="G28">
            <v>0</v>
          </cell>
          <cell r="H28">
            <v>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J28">
            <v>0</v>
          </cell>
          <cell r="AK28">
            <v>0</v>
          </cell>
          <cell r="AL28">
            <v>0</v>
          </cell>
          <cell r="AM28">
            <v>0</v>
          </cell>
        </row>
        <row r="29">
          <cell r="A29" t="str">
            <v>AR Industrial Feedstocks, Other Oils greater than 401 F</v>
          </cell>
          <cell r="C29" t="str">
            <v>Industrial Feedstocks, Other Oils greater than 401 F</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J29">
            <v>0</v>
          </cell>
          <cell r="AK29">
            <v>0</v>
          </cell>
          <cell r="AL29">
            <v>0</v>
          </cell>
          <cell r="AM29">
            <v>0</v>
          </cell>
        </row>
        <row r="30">
          <cell r="A30" t="str">
            <v>AR Industrial Kerosene</v>
          </cell>
          <cell r="C30" t="str">
            <v>Industrial Kerosene</v>
          </cell>
          <cell r="D30">
            <v>94</v>
          </cell>
          <cell r="E30">
            <v>114</v>
          </cell>
          <cell r="F30">
            <v>52</v>
          </cell>
          <cell r="G30">
            <v>76</v>
          </cell>
          <cell r="H30">
            <v>97</v>
          </cell>
          <cell r="I30">
            <v>115</v>
          </cell>
          <cell r="J30">
            <v>52</v>
          </cell>
          <cell r="K30">
            <v>56</v>
          </cell>
          <cell r="L30">
            <v>98</v>
          </cell>
          <cell r="M30">
            <v>76</v>
          </cell>
          <cell r="N30">
            <v>23</v>
          </cell>
          <cell r="O30">
            <v>105</v>
          </cell>
          <cell r="P30">
            <v>29</v>
          </cell>
          <cell r="Q30">
            <v>11</v>
          </cell>
          <cell r="R30">
            <v>6</v>
          </cell>
          <cell r="S30">
            <v>15</v>
          </cell>
          <cell r="T30">
            <v>4</v>
          </cell>
          <cell r="U30">
            <v>6</v>
          </cell>
          <cell r="V30">
            <v>8</v>
          </cell>
          <cell r="W30">
            <v>6</v>
          </cell>
          <cell r="X30">
            <v>7</v>
          </cell>
          <cell r="Y30">
            <v>5</v>
          </cell>
          <cell r="Z30">
            <v>0</v>
          </cell>
          <cell r="AA30">
            <v>1</v>
          </cell>
          <cell r="AB30">
            <v>1</v>
          </cell>
          <cell r="AC30">
            <v>5</v>
          </cell>
          <cell r="AD30">
            <v>21</v>
          </cell>
          <cell r="AE30">
            <v>12</v>
          </cell>
          <cell r="AF30">
            <v>17</v>
          </cell>
          <cell r="AG30">
            <v>7</v>
          </cell>
          <cell r="AH30">
            <v>1</v>
          </cell>
          <cell r="AI30">
            <v>11</v>
          </cell>
          <cell r="AJ30">
            <v>0</v>
          </cell>
          <cell r="AK30">
            <v>0</v>
          </cell>
          <cell r="AL30">
            <v>0</v>
          </cell>
          <cell r="AM30">
            <v>0</v>
          </cell>
        </row>
        <row r="31">
          <cell r="A31" t="str">
            <v>AR Industrial Hydrocarbon Gas Liquids</v>
          </cell>
          <cell r="C31" t="str">
            <v>Industrial Hydrocarbon Gas Liquids</v>
          </cell>
          <cell r="D31">
            <v>4146</v>
          </cell>
          <cell r="E31">
            <v>4334</v>
          </cell>
          <cell r="F31">
            <v>4106</v>
          </cell>
          <cell r="G31">
            <v>4794</v>
          </cell>
          <cell r="H31">
            <v>4490</v>
          </cell>
          <cell r="I31">
            <v>4903</v>
          </cell>
          <cell r="J31">
            <v>4528</v>
          </cell>
          <cell r="K31">
            <v>4037</v>
          </cell>
          <cell r="L31">
            <v>3153</v>
          </cell>
          <cell r="M31">
            <v>6724</v>
          </cell>
          <cell r="N31">
            <v>11182</v>
          </cell>
          <cell r="O31">
            <v>9393</v>
          </cell>
          <cell r="P31">
            <v>5171</v>
          </cell>
          <cell r="Q31">
            <v>3823</v>
          </cell>
          <cell r="R31">
            <v>3925</v>
          </cell>
          <cell r="S31">
            <v>3005</v>
          </cell>
          <cell r="T31">
            <v>3305</v>
          </cell>
          <cell r="U31">
            <v>3626</v>
          </cell>
          <cell r="V31">
            <v>2850</v>
          </cell>
          <cell r="W31">
            <v>2604</v>
          </cell>
          <cell r="X31">
            <v>3042</v>
          </cell>
          <cell r="Y31">
            <v>3084</v>
          </cell>
          <cell r="Z31">
            <v>2804</v>
          </cell>
          <cell r="AA31">
            <v>2675</v>
          </cell>
          <cell r="AB31">
            <v>3511</v>
          </cell>
          <cell r="AC31">
            <v>2859</v>
          </cell>
          <cell r="AD31">
            <v>2594</v>
          </cell>
          <cell r="AE31">
            <v>2480</v>
          </cell>
          <cell r="AF31">
            <v>3127</v>
          </cell>
          <cell r="AG31">
            <v>3661</v>
          </cell>
          <cell r="AH31">
            <v>2498</v>
          </cell>
          <cell r="AI31">
            <v>2361</v>
          </cell>
          <cell r="AJ31">
            <v>0</v>
          </cell>
          <cell r="AK31">
            <v>0</v>
          </cell>
          <cell r="AL31">
            <v>0</v>
          </cell>
          <cell r="AM31">
            <v>0</v>
          </cell>
        </row>
        <row r="32">
          <cell r="A32" t="str">
            <v>AR Industrial Lubricants</v>
          </cell>
          <cell r="C32" t="str">
            <v>Industrial Lubricants</v>
          </cell>
          <cell r="D32">
            <v>1664</v>
          </cell>
          <cell r="E32">
            <v>1489</v>
          </cell>
          <cell r="F32">
            <v>1518</v>
          </cell>
          <cell r="G32">
            <v>1546</v>
          </cell>
          <cell r="H32">
            <v>1616</v>
          </cell>
          <cell r="I32">
            <v>1588</v>
          </cell>
          <cell r="J32">
            <v>1541</v>
          </cell>
          <cell r="K32">
            <v>1628</v>
          </cell>
          <cell r="L32">
            <v>1704</v>
          </cell>
          <cell r="M32">
            <v>1722</v>
          </cell>
          <cell r="N32">
            <v>1696</v>
          </cell>
          <cell r="O32">
            <v>1554</v>
          </cell>
          <cell r="P32">
            <v>1536</v>
          </cell>
          <cell r="Q32">
            <v>1420</v>
          </cell>
          <cell r="R32">
            <v>1438</v>
          </cell>
          <cell r="S32">
            <v>1431</v>
          </cell>
          <cell r="T32">
            <v>1394</v>
          </cell>
          <cell r="U32">
            <v>1440</v>
          </cell>
          <cell r="V32">
            <v>1337</v>
          </cell>
          <cell r="W32">
            <v>1202</v>
          </cell>
          <cell r="X32">
            <v>1403</v>
          </cell>
          <cell r="Y32">
            <v>1411</v>
          </cell>
          <cell r="Z32">
            <v>1232</v>
          </cell>
          <cell r="AA32">
            <v>1234</v>
          </cell>
          <cell r="AB32">
            <v>1225</v>
          </cell>
          <cell r="AC32">
            <v>1192</v>
          </cell>
          <cell r="AD32">
            <v>1102</v>
          </cell>
          <cell r="AE32">
            <v>988</v>
          </cell>
          <cell r="AF32">
            <v>1009</v>
          </cell>
          <cell r="AG32">
            <v>918</v>
          </cell>
          <cell r="AH32">
            <v>898</v>
          </cell>
          <cell r="AI32">
            <v>1005</v>
          </cell>
          <cell r="AJ32">
            <v>0</v>
          </cell>
          <cell r="AK32">
            <v>0</v>
          </cell>
          <cell r="AL32">
            <v>0</v>
          </cell>
          <cell r="AM32">
            <v>0</v>
          </cell>
        </row>
        <row r="33">
          <cell r="A33" t="str">
            <v>AR Industrial Misc. Petro Products</v>
          </cell>
          <cell r="C33" t="str">
            <v>Industrial Misc. Petro Products</v>
          </cell>
          <cell r="D33">
            <v>228</v>
          </cell>
          <cell r="E33">
            <v>302</v>
          </cell>
          <cell r="F33">
            <v>198</v>
          </cell>
          <cell r="G33">
            <v>188</v>
          </cell>
          <cell r="H33">
            <v>210</v>
          </cell>
          <cell r="I33">
            <v>192</v>
          </cell>
          <cell r="J33">
            <v>1605</v>
          </cell>
          <cell r="K33">
            <v>1762</v>
          </cell>
          <cell r="L33">
            <v>2145</v>
          </cell>
          <cell r="M33">
            <v>2017</v>
          </cell>
          <cell r="N33">
            <v>2149</v>
          </cell>
          <cell r="O33">
            <v>1180</v>
          </cell>
          <cell r="P33">
            <v>1268</v>
          </cell>
          <cell r="Q33">
            <v>1190</v>
          </cell>
          <cell r="R33">
            <v>1072</v>
          </cell>
          <cell r="S33">
            <v>1066</v>
          </cell>
          <cell r="T33">
            <v>1089</v>
          </cell>
          <cell r="U33">
            <v>1069</v>
          </cell>
          <cell r="V33">
            <v>1137</v>
          </cell>
          <cell r="W33">
            <v>1215</v>
          </cell>
          <cell r="X33">
            <v>1271</v>
          </cell>
          <cell r="Y33">
            <v>1319</v>
          </cell>
          <cell r="Z33">
            <v>1294</v>
          </cell>
          <cell r="AA33">
            <v>2042</v>
          </cell>
          <cell r="AB33">
            <v>2180</v>
          </cell>
          <cell r="AC33">
            <v>2254</v>
          </cell>
          <cell r="AD33">
            <v>2283</v>
          </cell>
          <cell r="AE33">
            <v>1464</v>
          </cell>
          <cell r="AF33">
            <v>1457</v>
          </cell>
          <cell r="AG33">
            <v>1326</v>
          </cell>
          <cell r="AH33">
            <v>1256</v>
          </cell>
          <cell r="AI33">
            <v>1257</v>
          </cell>
          <cell r="AJ33">
            <v>0</v>
          </cell>
          <cell r="AK33">
            <v>0</v>
          </cell>
          <cell r="AL33">
            <v>0</v>
          </cell>
          <cell r="AM33">
            <v>0</v>
          </cell>
        </row>
        <row r="34">
          <cell r="A34" t="str">
            <v>AR Industrial Motor Gasoline</v>
          </cell>
          <cell r="C34" t="str">
            <v>Industrial Motor Gasoline</v>
          </cell>
          <cell r="D34">
            <v>2179</v>
          </cell>
          <cell r="E34">
            <v>2376</v>
          </cell>
          <cell r="F34">
            <v>2302</v>
          </cell>
          <cell r="G34">
            <v>2048</v>
          </cell>
          <cell r="H34">
            <v>2216</v>
          </cell>
          <cell r="I34">
            <v>2335</v>
          </cell>
          <cell r="J34">
            <v>2363</v>
          </cell>
          <cell r="K34">
            <v>2457</v>
          </cell>
          <cell r="L34">
            <v>3370</v>
          </cell>
          <cell r="M34">
            <v>2855</v>
          </cell>
          <cell r="N34">
            <v>2860</v>
          </cell>
          <cell r="O34">
            <v>4867</v>
          </cell>
          <cell r="P34">
            <v>5192</v>
          </cell>
          <cell r="Q34">
            <v>5565</v>
          </cell>
          <cell r="R34">
            <v>6532</v>
          </cell>
          <cell r="S34">
            <v>6323</v>
          </cell>
          <cell r="T34">
            <v>6924</v>
          </cell>
          <cell r="U34">
            <v>4878</v>
          </cell>
          <cell r="V34">
            <v>3468</v>
          </cell>
          <cell r="W34">
            <v>3383</v>
          </cell>
          <cell r="X34">
            <v>3550</v>
          </cell>
          <cell r="Y34">
            <v>3603</v>
          </cell>
          <cell r="Z34">
            <v>3314</v>
          </cell>
          <cell r="AA34">
            <v>3566</v>
          </cell>
          <cell r="AB34">
            <v>3052</v>
          </cell>
          <cell r="AC34">
            <v>3373</v>
          </cell>
          <cell r="AD34">
            <v>3569</v>
          </cell>
          <cell r="AE34">
            <v>3583</v>
          </cell>
          <cell r="AF34">
            <v>3671</v>
          </cell>
          <cell r="AG34">
            <v>3573</v>
          </cell>
          <cell r="AH34">
            <v>3617</v>
          </cell>
          <cell r="AI34">
            <v>3495</v>
          </cell>
          <cell r="AJ34">
            <v>0</v>
          </cell>
          <cell r="AK34">
            <v>0</v>
          </cell>
          <cell r="AL34">
            <v>0</v>
          </cell>
          <cell r="AM34">
            <v>0</v>
          </cell>
        </row>
        <row r="35">
          <cell r="A35" t="str">
            <v>AR Industrial Motor Gasoline Blending Components</v>
          </cell>
          <cell r="C35" t="str">
            <v>Industrial Motor Gasoline Blending Components</v>
          </cell>
          <cell r="D35">
            <v>193</v>
          </cell>
          <cell r="E35">
            <v>-105</v>
          </cell>
          <cell r="F35">
            <v>316</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row>
        <row r="36">
          <cell r="A36" t="str">
            <v>AR Industrial Natural Gas</v>
          </cell>
          <cell r="C36" t="str">
            <v>Industrial Natural Gas</v>
          </cell>
          <cell r="D36">
            <v>121458.31609302055</v>
          </cell>
          <cell r="E36">
            <v>102143.42857205326</v>
          </cell>
          <cell r="F36">
            <v>118537.65520917575</v>
          </cell>
          <cell r="G36">
            <v>118905.04586999197</v>
          </cell>
          <cell r="H36">
            <v>131339.33924008213</v>
          </cell>
          <cell r="I36">
            <v>143588.50717640697</v>
          </cell>
          <cell r="J36">
            <v>140295.38314157582</v>
          </cell>
          <cell r="K36">
            <v>145909.8915144249</v>
          </cell>
          <cell r="L36">
            <v>144696.98900796712</v>
          </cell>
          <cell r="M36">
            <v>133596.01627414051</v>
          </cell>
          <cell r="N36">
            <v>128281.88375807885</v>
          </cell>
          <cell r="O36">
            <v>120378.69654127516</v>
          </cell>
          <cell r="P36">
            <v>117459.20376622384</v>
          </cell>
          <cell r="Q36">
            <v>111458.17265364589</v>
          </cell>
          <cell r="R36">
            <v>99199.423995840538</v>
          </cell>
          <cell r="S36">
            <v>87683.297862875319</v>
          </cell>
          <cell r="T36">
            <v>88405.833319320751</v>
          </cell>
          <cell r="U36">
            <v>84841.330786588878</v>
          </cell>
          <cell r="V36">
            <v>85670.128885183178</v>
          </cell>
          <cell r="W36">
            <v>80224.593090988405</v>
          </cell>
          <cell r="X36">
            <v>86363.756717144395</v>
          </cell>
          <cell r="Y36">
            <v>90010.768050389917</v>
          </cell>
          <cell r="Z36">
            <v>86425.64311751099</v>
          </cell>
          <cell r="AA36">
            <v>93012.614945308014</v>
          </cell>
          <cell r="AB36">
            <v>93994.128666181859</v>
          </cell>
          <cell r="AC36">
            <v>90058.749082933573</v>
          </cell>
          <cell r="AD36">
            <v>91275.149182860187</v>
          </cell>
          <cell r="AE36">
            <v>101932.8014453948</v>
          </cell>
          <cell r="AF36">
            <v>107455.51480505324</v>
          </cell>
          <cell r="AG36">
            <v>105871.04550814421</v>
          </cell>
          <cell r="AH36">
            <v>101967.27106309377</v>
          </cell>
          <cell r="AI36">
            <v>105343.74543828872</v>
          </cell>
          <cell r="AJ36">
            <v>0</v>
          </cell>
          <cell r="AK36">
            <v>0</v>
          </cell>
          <cell r="AL36">
            <v>0</v>
          </cell>
          <cell r="AM36">
            <v>0</v>
          </cell>
        </row>
        <row r="37">
          <cell r="A37" t="str">
            <v>AR Industrial Pentanes Plus</v>
          </cell>
          <cell r="C37" t="str">
            <v>Industrial Pentanes Plus</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row>
        <row r="38">
          <cell r="A38" t="str">
            <v>AR Industrial Petroleum Coke</v>
          </cell>
          <cell r="C38" t="str">
            <v>Industrial Petroleum Coke</v>
          </cell>
          <cell r="D38">
            <v>1517</v>
          </cell>
          <cell r="E38">
            <v>1449</v>
          </cell>
          <cell r="F38">
            <v>1589</v>
          </cell>
          <cell r="G38">
            <v>1723</v>
          </cell>
          <cell r="H38">
            <v>1609</v>
          </cell>
          <cell r="I38">
            <v>1576</v>
          </cell>
          <cell r="J38">
            <v>1644</v>
          </cell>
          <cell r="K38">
            <v>1645</v>
          </cell>
          <cell r="L38">
            <v>1611</v>
          </cell>
          <cell r="M38">
            <v>1605</v>
          </cell>
          <cell r="N38">
            <v>1673</v>
          </cell>
          <cell r="O38">
            <v>1647</v>
          </cell>
          <cell r="P38">
            <v>1630</v>
          </cell>
          <cell r="Q38">
            <v>1634</v>
          </cell>
          <cell r="R38">
            <v>1732</v>
          </cell>
          <cell r="S38">
            <v>1833</v>
          </cell>
          <cell r="T38">
            <v>1867</v>
          </cell>
          <cell r="U38">
            <v>1688</v>
          </cell>
          <cell r="V38">
            <v>1550</v>
          </cell>
          <cell r="W38">
            <v>1701</v>
          </cell>
          <cell r="X38">
            <v>1808</v>
          </cell>
          <cell r="Y38">
            <v>1762</v>
          </cell>
          <cell r="Z38">
            <v>1775</v>
          </cell>
          <cell r="AA38">
            <v>1622</v>
          </cell>
          <cell r="AB38">
            <v>1509</v>
          </cell>
          <cell r="AC38">
            <v>1540</v>
          </cell>
          <cell r="AD38">
            <v>1584</v>
          </cell>
          <cell r="AE38">
            <v>1433</v>
          </cell>
          <cell r="AF38">
            <v>1345</v>
          </cell>
          <cell r="AG38">
            <v>1358</v>
          </cell>
          <cell r="AH38">
            <v>1471</v>
          </cell>
          <cell r="AI38">
            <v>1327</v>
          </cell>
          <cell r="AJ38">
            <v>0</v>
          </cell>
          <cell r="AK38">
            <v>0</v>
          </cell>
          <cell r="AL38">
            <v>0</v>
          </cell>
          <cell r="AM38">
            <v>0</v>
          </cell>
        </row>
        <row r="39">
          <cell r="A39" t="str">
            <v>AR Industrial Residual Fuel</v>
          </cell>
          <cell r="C39" t="str">
            <v>Industrial Residual Fuel</v>
          </cell>
          <cell r="D39">
            <v>1189.5024211821942</v>
          </cell>
          <cell r="E39">
            <v>735.03353264310465</v>
          </cell>
          <cell r="F39">
            <v>141.59542821180824</v>
          </cell>
          <cell r="G39">
            <v>1189.629626798293</v>
          </cell>
          <cell r="H39">
            <v>1464.9275970676911</v>
          </cell>
          <cell r="I39">
            <v>1083.7742949938972</v>
          </cell>
          <cell r="J39">
            <v>610.82259464611172</v>
          </cell>
          <cell r="K39">
            <v>106.9854672566311</v>
          </cell>
          <cell r="L39">
            <v>15.830152148659291</v>
          </cell>
          <cell r="M39">
            <v>77.954806167549521</v>
          </cell>
          <cell r="N39">
            <v>44.295381444327163</v>
          </cell>
          <cell r="O39">
            <v>978.44431051108961</v>
          </cell>
          <cell r="P39">
            <v>224.40318347036145</v>
          </cell>
          <cell r="Q39">
            <v>920.73922717849382</v>
          </cell>
          <cell r="R39">
            <v>2199.9362100785261</v>
          </cell>
          <cell r="S39">
            <v>166.59892781116397</v>
          </cell>
          <cell r="T39">
            <v>20.642603985555702</v>
          </cell>
          <cell r="U39">
            <v>275.14864235480411</v>
          </cell>
          <cell r="V39">
            <v>166.77725923219808</v>
          </cell>
          <cell r="W39">
            <v>85.613469060005073</v>
          </cell>
          <cell r="X39">
            <v>1.077195697207177</v>
          </cell>
          <cell r="Y39">
            <v>51.562123401889934</v>
          </cell>
          <cell r="Z39">
            <v>0</v>
          </cell>
          <cell r="AA39">
            <v>0</v>
          </cell>
          <cell r="AB39">
            <v>0</v>
          </cell>
          <cell r="AC39">
            <v>0</v>
          </cell>
          <cell r="AD39">
            <v>0.2425641514833532</v>
          </cell>
          <cell r="AE39">
            <v>0</v>
          </cell>
          <cell r="AF39">
            <v>0</v>
          </cell>
          <cell r="AG39">
            <v>0</v>
          </cell>
          <cell r="AH39">
            <v>0</v>
          </cell>
          <cell r="AI39">
            <v>0</v>
          </cell>
          <cell r="AJ39">
            <v>0</v>
          </cell>
          <cell r="AK39">
            <v>0</v>
          </cell>
          <cell r="AL39">
            <v>0</v>
          </cell>
          <cell r="AM39">
            <v>0</v>
          </cell>
        </row>
        <row r="40">
          <cell r="A40" t="str">
            <v>AR Industrial Special Naphthas</v>
          </cell>
          <cell r="C40" t="str">
            <v>Industrial Special Naphthas</v>
          </cell>
          <cell r="D40">
            <v>1501</v>
          </cell>
          <cell r="E40">
            <v>250</v>
          </cell>
          <cell r="F40">
            <v>297</v>
          </cell>
          <cell r="G40">
            <v>297</v>
          </cell>
          <cell r="H40">
            <v>230</v>
          </cell>
          <cell r="I40">
            <v>201</v>
          </cell>
          <cell r="J40">
            <v>1098</v>
          </cell>
          <cell r="K40">
            <v>1064</v>
          </cell>
          <cell r="L40">
            <v>1580</v>
          </cell>
          <cell r="M40">
            <v>2141</v>
          </cell>
          <cell r="N40">
            <v>1434</v>
          </cell>
          <cell r="O40">
            <v>617</v>
          </cell>
          <cell r="P40">
            <v>805</v>
          </cell>
          <cell r="Q40">
            <v>633</v>
          </cell>
          <cell r="R40">
            <v>401</v>
          </cell>
          <cell r="S40">
            <v>491</v>
          </cell>
          <cell r="T40">
            <v>270</v>
          </cell>
          <cell r="U40">
            <v>300</v>
          </cell>
          <cell r="V40">
            <v>327</v>
          </cell>
          <cell r="W40">
            <v>178</v>
          </cell>
          <cell r="X40">
            <v>101</v>
          </cell>
          <cell r="Y40">
            <v>87</v>
          </cell>
          <cell r="Z40">
            <v>57</v>
          </cell>
          <cell r="AA40">
            <v>448</v>
          </cell>
          <cell r="AB40">
            <v>475</v>
          </cell>
          <cell r="AC40">
            <v>444</v>
          </cell>
          <cell r="AD40">
            <v>419</v>
          </cell>
          <cell r="AE40">
            <v>307</v>
          </cell>
          <cell r="AF40">
            <v>282</v>
          </cell>
          <cell r="AG40">
            <v>293</v>
          </cell>
          <cell r="AH40">
            <v>265</v>
          </cell>
          <cell r="AI40">
            <v>248</v>
          </cell>
          <cell r="AJ40">
            <v>0</v>
          </cell>
          <cell r="AK40">
            <v>0</v>
          </cell>
          <cell r="AL40">
            <v>0</v>
          </cell>
          <cell r="AM40">
            <v>0</v>
          </cell>
        </row>
        <row r="41">
          <cell r="A41" t="str">
            <v>AR Industrial Still Gas</v>
          </cell>
          <cell r="C41" t="str">
            <v>Industrial Still Gas</v>
          </cell>
          <cell r="D41">
            <v>5308</v>
          </cell>
          <cell r="E41">
            <v>5786</v>
          </cell>
          <cell r="F41">
            <v>6042</v>
          </cell>
          <cell r="G41">
            <v>6118</v>
          </cell>
          <cell r="H41">
            <v>6099</v>
          </cell>
          <cell r="I41">
            <v>6005</v>
          </cell>
          <cell r="J41">
            <v>6149</v>
          </cell>
          <cell r="K41">
            <v>6044</v>
          </cell>
          <cell r="L41">
            <v>5807</v>
          </cell>
          <cell r="M41">
            <v>5304</v>
          </cell>
          <cell r="N41">
            <v>5453</v>
          </cell>
          <cell r="O41">
            <v>5850</v>
          </cell>
          <cell r="P41">
            <v>6187</v>
          </cell>
          <cell r="Q41">
            <v>6398</v>
          </cell>
          <cell r="R41">
            <v>6982</v>
          </cell>
          <cell r="S41">
            <v>7038</v>
          </cell>
          <cell r="T41">
            <v>7055</v>
          </cell>
          <cell r="U41">
            <v>6869</v>
          </cell>
          <cell r="V41">
            <v>6581</v>
          </cell>
          <cell r="W41">
            <v>7124</v>
          </cell>
          <cell r="X41">
            <v>7169</v>
          </cell>
          <cell r="Y41">
            <v>7879</v>
          </cell>
          <cell r="Z41">
            <v>8048</v>
          </cell>
          <cell r="AA41">
            <v>7847</v>
          </cell>
          <cell r="AB41">
            <v>7690</v>
          </cell>
          <cell r="AC41">
            <v>7456</v>
          </cell>
          <cell r="AD41">
            <v>7868</v>
          </cell>
          <cell r="AE41">
            <v>7715</v>
          </cell>
          <cell r="AF41">
            <v>7800</v>
          </cell>
          <cell r="AG41">
            <v>7402</v>
          </cell>
          <cell r="AH41">
            <v>7070</v>
          </cell>
          <cell r="AI41">
            <v>6504</v>
          </cell>
          <cell r="AJ41">
            <v>0</v>
          </cell>
          <cell r="AK41">
            <v>0</v>
          </cell>
          <cell r="AL41">
            <v>0</v>
          </cell>
          <cell r="AM41">
            <v>0</v>
          </cell>
        </row>
        <row r="42">
          <cell r="A42" t="str">
            <v>AR Industrial Unfinished Oils</v>
          </cell>
          <cell r="C42" t="str">
            <v>Industrial Unfinished Oils</v>
          </cell>
          <cell r="D42">
            <v>-1329</v>
          </cell>
          <cell r="E42">
            <v>-1826</v>
          </cell>
          <cell r="F42">
            <v>-1482</v>
          </cell>
          <cell r="G42">
            <v>-1694</v>
          </cell>
          <cell r="H42">
            <v>-1183</v>
          </cell>
          <cell r="I42">
            <v>-1360</v>
          </cell>
          <cell r="J42">
            <v>-483</v>
          </cell>
          <cell r="K42">
            <v>-430</v>
          </cell>
          <cell r="L42">
            <v>-1269</v>
          </cell>
          <cell r="M42">
            <v>-1063</v>
          </cell>
          <cell r="N42">
            <v>-1511</v>
          </cell>
          <cell r="O42">
            <v>-301</v>
          </cell>
          <cell r="P42">
            <v>-575</v>
          </cell>
          <cell r="Q42">
            <v>-210</v>
          </cell>
          <cell r="R42">
            <v>-341</v>
          </cell>
          <cell r="S42">
            <v>13</v>
          </cell>
          <cell r="T42">
            <v>319</v>
          </cell>
          <cell r="U42">
            <v>293</v>
          </cell>
          <cell r="V42">
            <v>-240</v>
          </cell>
          <cell r="W42">
            <v>-381</v>
          </cell>
          <cell r="X42">
            <v>136</v>
          </cell>
          <cell r="Y42">
            <v>297</v>
          </cell>
          <cell r="Z42">
            <v>327</v>
          </cell>
          <cell r="AA42">
            <v>85</v>
          </cell>
          <cell r="AB42">
            <v>-409</v>
          </cell>
          <cell r="AC42">
            <v>-89</v>
          </cell>
          <cell r="AD42">
            <v>42</v>
          </cell>
          <cell r="AE42">
            <v>372</v>
          </cell>
          <cell r="AF42">
            <v>149</v>
          </cell>
          <cell r="AG42">
            <v>656</v>
          </cell>
          <cell r="AH42">
            <v>959</v>
          </cell>
          <cell r="AI42">
            <v>216</v>
          </cell>
          <cell r="AJ42">
            <v>0</v>
          </cell>
          <cell r="AK42">
            <v>0</v>
          </cell>
          <cell r="AL42">
            <v>0</v>
          </cell>
          <cell r="AM42">
            <v>0</v>
          </cell>
        </row>
        <row r="43">
          <cell r="A43" t="str">
            <v>AR Industrial Waxes</v>
          </cell>
          <cell r="C43" t="str">
            <v>Industrial Waxes</v>
          </cell>
          <cell r="D43">
            <v>884</v>
          </cell>
          <cell r="E43">
            <v>647</v>
          </cell>
          <cell r="F43">
            <v>686</v>
          </cell>
          <cell r="G43">
            <v>737</v>
          </cell>
          <cell r="H43">
            <v>747</v>
          </cell>
          <cell r="I43">
            <v>748</v>
          </cell>
          <cell r="J43">
            <v>1029</v>
          </cell>
          <cell r="K43">
            <v>925</v>
          </cell>
          <cell r="L43">
            <v>896</v>
          </cell>
          <cell r="M43">
            <v>791</v>
          </cell>
          <cell r="N43">
            <v>699</v>
          </cell>
          <cell r="O43">
            <v>613</v>
          </cell>
          <cell r="P43">
            <v>543</v>
          </cell>
          <cell r="Q43">
            <v>524</v>
          </cell>
          <cell r="R43">
            <v>519</v>
          </cell>
          <cell r="S43">
            <v>529</v>
          </cell>
          <cell r="T43">
            <v>375</v>
          </cell>
          <cell r="U43">
            <v>314</v>
          </cell>
          <cell r="V43">
            <v>274</v>
          </cell>
          <cell r="W43">
            <v>175</v>
          </cell>
          <cell r="X43">
            <v>245</v>
          </cell>
          <cell r="Y43">
            <v>216</v>
          </cell>
          <cell r="Z43">
            <v>219</v>
          </cell>
          <cell r="AA43">
            <v>224</v>
          </cell>
          <cell r="AB43">
            <v>201</v>
          </cell>
          <cell r="AC43">
            <v>168</v>
          </cell>
          <cell r="AD43">
            <v>175</v>
          </cell>
          <cell r="AE43">
            <v>127</v>
          </cell>
          <cell r="AF43">
            <v>155</v>
          </cell>
          <cell r="AG43">
            <v>130</v>
          </cell>
          <cell r="AH43">
            <v>115</v>
          </cell>
          <cell r="AI43">
            <v>148</v>
          </cell>
          <cell r="AJ43">
            <v>0</v>
          </cell>
          <cell r="AK43">
            <v>0</v>
          </cell>
          <cell r="AL43">
            <v>0</v>
          </cell>
          <cell r="AM43">
            <v>0</v>
          </cell>
        </row>
        <row r="44">
          <cell r="A44" t="str">
            <v>AR Industrial Wood</v>
          </cell>
          <cell r="C44" t="str">
            <v>Industrial Wood</v>
          </cell>
          <cell r="D44">
            <v>66121</v>
          </cell>
          <cell r="E44">
            <v>66713</v>
          </cell>
          <cell r="F44">
            <v>71440</v>
          </cell>
          <cell r="G44">
            <v>78742</v>
          </cell>
          <cell r="H44">
            <v>74711</v>
          </cell>
          <cell r="I44">
            <v>75594</v>
          </cell>
          <cell r="J44">
            <v>80348</v>
          </cell>
          <cell r="K44">
            <v>82843</v>
          </cell>
          <cell r="L44">
            <v>78275</v>
          </cell>
          <cell r="M44">
            <v>78436</v>
          </cell>
          <cell r="N44">
            <v>79703</v>
          </cell>
          <cell r="O44">
            <v>63374</v>
          </cell>
          <cell r="P44">
            <v>69539</v>
          </cell>
          <cell r="Q44">
            <v>69793</v>
          </cell>
          <cell r="R44">
            <v>69934</v>
          </cell>
          <cell r="S44">
            <v>71873</v>
          </cell>
          <cell r="T44">
            <v>76365</v>
          </cell>
          <cell r="U44">
            <v>78793</v>
          </cell>
          <cell r="V44">
            <v>66550</v>
          </cell>
          <cell r="W44">
            <v>69646</v>
          </cell>
          <cell r="X44">
            <v>74685</v>
          </cell>
          <cell r="Y44">
            <v>77673</v>
          </cell>
          <cell r="Z44">
            <v>77744</v>
          </cell>
          <cell r="AA44">
            <v>75715</v>
          </cell>
          <cell r="AB44">
            <v>74245</v>
          </cell>
          <cell r="AC44">
            <v>68082</v>
          </cell>
          <cell r="AD44">
            <v>64684</v>
          </cell>
          <cell r="AE44">
            <v>66586</v>
          </cell>
          <cell r="AF44">
            <v>65701</v>
          </cell>
          <cell r="AG44">
            <v>64256</v>
          </cell>
          <cell r="AH44">
            <v>49471</v>
          </cell>
          <cell r="AI44">
            <v>49589</v>
          </cell>
          <cell r="AJ44">
            <v>0</v>
          </cell>
          <cell r="AK44">
            <v>0</v>
          </cell>
          <cell r="AL44">
            <v>0</v>
          </cell>
          <cell r="AM44">
            <v>0</v>
          </cell>
        </row>
        <row r="45">
          <cell r="A45" t="str">
            <v>AR Industrial Other Coal</v>
          </cell>
          <cell r="C45" t="str">
            <v>Industrial Other Coal</v>
          </cell>
          <cell r="D45">
            <v>5708.266625324728</v>
          </cell>
          <cell r="E45">
            <v>6614.4561042883188</v>
          </cell>
          <cell r="F45">
            <v>6846.2551248094669</v>
          </cell>
          <cell r="G45">
            <v>7596.1741286909291</v>
          </cell>
          <cell r="H45">
            <v>8473.9373181078645</v>
          </cell>
          <cell r="I45">
            <v>7609.0061579927669</v>
          </cell>
          <cell r="J45">
            <v>7882.0944612044332</v>
          </cell>
          <cell r="K45">
            <v>6585.1192410154581</v>
          </cell>
          <cell r="L45">
            <v>6765.9976606818982</v>
          </cell>
          <cell r="M45">
            <v>7682.4585884174649</v>
          </cell>
          <cell r="N45">
            <v>9026.3128972187806</v>
          </cell>
          <cell r="O45">
            <v>10295.761984759938</v>
          </cell>
          <cell r="P45">
            <v>9778.1348365542744</v>
          </cell>
          <cell r="Q45">
            <v>9465.0892798129371</v>
          </cell>
          <cell r="R45">
            <v>9395.3634299830956</v>
          </cell>
          <cell r="S45">
            <v>8712.2898103086882</v>
          </cell>
          <cell r="T45">
            <v>8529.3682379716847</v>
          </cell>
          <cell r="U45">
            <v>9121.5054717626845</v>
          </cell>
          <cell r="V45">
            <v>8925.810316383453</v>
          </cell>
          <cell r="W45">
            <v>6980.4207514864465</v>
          </cell>
          <cell r="X45">
            <v>6771.116671635581</v>
          </cell>
          <cell r="Y45">
            <v>5117.9015946624486</v>
          </cell>
          <cell r="Z45">
            <v>4667.8952332339331</v>
          </cell>
          <cell r="AA45">
            <v>4609.5479792929264</v>
          </cell>
          <cell r="AB45">
            <v>4977.2911190431641</v>
          </cell>
          <cell r="AC45">
            <v>4248.1547314459895</v>
          </cell>
          <cell r="AD45">
            <v>4414.6928885368579</v>
          </cell>
          <cell r="AE45">
            <v>4221.1381382842355</v>
          </cell>
          <cell r="AF45">
            <v>3590.9698633555126</v>
          </cell>
          <cell r="AG45">
            <v>3535.2838343507356</v>
          </cell>
          <cell r="AH45">
            <v>2972.861699080499</v>
          </cell>
          <cell r="AI45">
            <v>2976.034841468103</v>
          </cell>
          <cell r="AJ45">
            <v>0</v>
          </cell>
          <cell r="AK45">
            <v>0</v>
          </cell>
          <cell r="AL45">
            <v>0</v>
          </cell>
          <cell r="AM45">
            <v>0</v>
          </cell>
        </row>
        <row r="46">
          <cell r="A46" t="str">
            <v>AR Industrial Other</v>
          </cell>
          <cell r="C46" t="str">
            <v>Industrial Other</v>
          </cell>
        </row>
        <row r="47">
          <cell r="A47" t="str">
            <v>AR Residential Coal</v>
          </cell>
          <cell r="C47" t="str">
            <v>Residential Coal</v>
          </cell>
          <cell r="D47">
            <v>1</v>
          </cell>
          <cell r="E47">
            <v>2</v>
          </cell>
          <cell r="F47">
            <v>9</v>
          </cell>
          <cell r="G47">
            <v>4</v>
          </cell>
          <cell r="H47">
            <v>1</v>
          </cell>
          <cell r="I47">
            <v>0</v>
          </cell>
          <cell r="J47">
            <v>0</v>
          </cell>
          <cell r="K47">
            <v>0</v>
          </cell>
          <cell r="L47">
            <v>0</v>
          </cell>
          <cell r="M47">
            <v>0</v>
          </cell>
          <cell r="N47">
            <v>0</v>
          </cell>
          <cell r="O47">
            <v>0</v>
          </cell>
          <cell r="P47">
            <v>0</v>
          </cell>
          <cell r="Q47">
            <v>0</v>
          </cell>
          <cell r="R47">
            <v>0</v>
          </cell>
          <cell r="S47">
            <v>0</v>
          </cell>
          <cell r="T47">
            <v>0</v>
          </cell>
          <cell r="U47">
            <v>3</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row>
        <row r="48">
          <cell r="A48" t="str">
            <v>AR Residential Distillate Fuel</v>
          </cell>
          <cell r="C48" t="str">
            <v>Residential Distillate Fuel</v>
          </cell>
          <cell r="D48">
            <v>2</v>
          </cell>
          <cell r="E48">
            <v>3</v>
          </cell>
          <cell r="F48">
            <v>55</v>
          </cell>
          <cell r="G48">
            <v>3</v>
          </cell>
          <cell r="H48">
            <v>5</v>
          </cell>
          <cell r="I48">
            <v>12</v>
          </cell>
          <cell r="J48">
            <v>5</v>
          </cell>
          <cell r="K48">
            <v>4</v>
          </cell>
          <cell r="L48">
            <v>3</v>
          </cell>
          <cell r="M48">
            <v>5</v>
          </cell>
          <cell r="N48">
            <v>4</v>
          </cell>
          <cell r="O48">
            <v>5</v>
          </cell>
          <cell r="P48">
            <v>50</v>
          </cell>
          <cell r="Q48">
            <v>21</v>
          </cell>
          <cell r="R48">
            <v>32</v>
          </cell>
          <cell r="S48">
            <v>9</v>
          </cell>
          <cell r="T48">
            <v>15</v>
          </cell>
          <cell r="U48">
            <v>18</v>
          </cell>
          <cell r="V48">
            <v>9</v>
          </cell>
          <cell r="W48">
            <v>23</v>
          </cell>
          <cell r="X48">
            <v>55</v>
          </cell>
          <cell r="Y48">
            <v>58</v>
          </cell>
          <cell r="Z48">
            <v>25</v>
          </cell>
          <cell r="AA48">
            <v>24</v>
          </cell>
          <cell r="AB48">
            <v>31</v>
          </cell>
          <cell r="AC48">
            <v>49</v>
          </cell>
          <cell r="AD48">
            <v>75</v>
          </cell>
          <cell r="AE48">
            <v>48</v>
          </cell>
          <cell r="AF48">
            <v>43</v>
          </cell>
          <cell r="AG48">
            <v>4</v>
          </cell>
          <cell r="AH48">
            <v>17</v>
          </cell>
          <cell r="AI48">
            <v>39</v>
          </cell>
          <cell r="AJ48">
            <v>0</v>
          </cell>
          <cell r="AK48">
            <v>0</v>
          </cell>
          <cell r="AL48">
            <v>0</v>
          </cell>
          <cell r="AM48">
            <v>0</v>
          </cell>
        </row>
        <row r="49">
          <cell r="A49" t="str">
            <v>AR Residential Kerosene</v>
          </cell>
          <cell r="C49" t="str">
            <v>Residential Kerosene</v>
          </cell>
          <cell r="D49">
            <v>112</v>
          </cell>
          <cell r="E49">
            <v>79</v>
          </cell>
          <cell r="F49">
            <v>42</v>
          </cell>
          <cell r="G49">
            <v>56</v>
          </cell>
          <cell r="H49">
            <v>37</v>
          </cell>
          <cell r="I49">
            <v>79</v>
          </cell>
          <cell r="J49">
            <v>67</v>
          </cell>
          <cell r="K49">
            <v>107</v>
          </cell>
          <cell r="L49">
            <v>85</v>
          </cell>
          <cell r="M49">
            <v>203</v>
          </cell>
          <cell r="N49">
            <v>141</v>
          </cell>
          <cell r="O49">
            <v>137</v>
          </cell>
          <cell r="P49">
            <v>111</v>
          </cell>
          <cell r="Q49">
            <v>92</v>
          </cell>
          <cell r="R49">
            <v>61</v>
          </cell>
          <cell r="S49">
            <v>77</v>
          </cell>
          <cell r="T49">
            <v>52</v>
          </cell>
          <cell r="U49">
            <v>35</v>
          </cell>
          <cell r="V49">
            <v>13</v>
          </cell>
          <cell r="W49">
            <v>26</v>
          </cell>
          <cell r="X49">
            <v>31</v>
          </cell>
          <cell r="Y49">
            <v>12</v>
          </cell>
          <cell r="Z49">
            <v>5</v>
          </cell>
          <cell r="AA49">
            <v>7</v>
          </cell>
          <cell r="AB49">
            <v>16</v>
          </cell>
          <cell r="AC49">
            <v>9</v>
          </cell>
          <cell r="AD49">
            <v>7</v>
          </cell>
          <cell r="AE49">
            <v>2</v>
          </cell>
          <cell r="AF49">
            <v>3</v>
          </cell>
          <cell r="AG49">
            <v>4</v>
          </cell>
          <cell r="AH49">
            <v>3</v>
          </cell>
          <cell r="AI49">
            <v>5</v>
          </cell>
          <cell r="AJ49">
            <v>0</v>
          </cell>
          <cell r="AK49">
            <v>0</v>
          </cell>
          <cell r="AL49">
            <v>0</v>
          </cell>
          <cell r="AM49">
            <v>0</v>
          </cell>
        </row>
        <row r="50">
          <cell r="A50" t="str">
            <v>AR Residential Hydrocarbon Gas Liquids</v>
          </cell>
          <cell r="C50" t="str">
            <v>Residential Hydrocarbon Gas Liquids</v>
          </cell>
          <cell r="D50">
            <v>6807</v>
          </cell>
          <cell r="E50">
            <v>6156</v>
          </cell>
          <cell r="F50">
            <v>5512</v>
          </cell>
          <cell r="G50">
            <v>6282</v>
          </cell>
          <cell r="H50">
            <v>6138</v>
          </cell>
          <cell r="I50">
            <v>5507</v>
          </cell>
          <cell r="J50">
            <v>5482</v>
          </cell>
          <cell r="K50">
            <v>5800</v>
          </cell>
          <cell r="L50">
            <v>4299</v>
          </cell>
          <cell r="M50">
            <v>11135</v>
          </cell>
          <cell r="N50">
            <v>9879</v>
          </cell>
          <cell r="O50">
            <v>10386</v>
          </cell>
          <cell r="P50">
            <v>7769</v>
          </cell>
          <cell r="Q50">
            <v>6459</v>
          </cell>
          <cell r="R50">
            <v>6180</v>
          </cell>
          <cell r="S50">
            <v>5610</v>
          </cell>
          <cell r="T50">
            <v>5535</v>
          </cell>
          <cell r="U50">
            <v>5440</v>
          </cell>
          <cell r="V50">
            <v>6901</v>
          </cell>
          <cell r="W50">
            <v>6797</v>
          </cell>
          <cell r="X50">
            <v>6049</v>
          </cell>
          <cell r="Y50">
            <v>5063</v>
          </cell>
          <cell r="Z50">
            <v>3819</v>
          </cell>
          <cell r="AA50">
            <v>5092</v>
          </cell>
          <cell r="AB50">
            <v>4964</v>
          </cell>
          <cell r="AC50">
            <v>4198</v>
          </cell>
          <cell r="AD50">
            <v>3198</v>
          </cell>
          <cell r="AE50">
            <v>2949</v>
          </cell>
          <cell r="AF50">
            <v>3993</v>
          </cell>
          <cell r="AG50">
            <v>4095</v>
          </cell>
          <cell r="AH50">
            <v>4191</v>
          </cell>
          <cell r="AI50">
            <v>3983</v>
          </cell>
          <cell r="AJ50">
            <v>0</v>
          </cell>
          <cell r="AK50">
            <v>0</v>
          </cell>
          <cell r="AL50">
            <v>0</v>
          </cell>
          <cell r="AM50">
            <v>0</v>
          </cell>
        </row>
        <row r="51">
          <cell r="A51" t="str">
            <v>AR Residential Natural Gas</v>
          </cell>
          <cell r="C51" t="str">
            <v>Residential Natural Gas</v>
          </cell>
          <cell r="D51">
            <v>39486</v>
          </cell>
          <cell r="E51">
            <v>41312</v>
          </cell>
          <cell r="F51">
            <v>39743</v>
          </cell>
          <cell r="G51">
            <v>46117</v>
          </cell>
          <cell r="H51">
            <v>42431</v>
          </cell>
          <cell r="I51">
            <v>44579</v>
          </cell>
          <cell r="J51">
            <v>47509</v>
          </cell>
          <cell r="K51">
            <v>43019</v>
          </cell>
          <cell r="L51">
            <v>39139</v>
          </cell>
          <cell r="M51">
            <v>36894</v>
          </cell>
          <cell r="N51">
            <v>43159</v>
          </cell>
          <cell r="O51">
            <v>37695</v>
          </cell>
          <cell r="P51">
            <v>40085</v>
          </cell>
          <cell r="Q51">
            <v>39161</v>
          </cell>
          <cell r="R51">
            <v>35078</v>
          </cell>
          <cell r="S51">
            <v>33927</v>
          </cell>
          <cell r="T51">
            <v>32467</v>
          </cell>
          <cell r="U51">
            <v>33041</v>
          </cell>
          <cell r="V51">
            <v>36028</v>
          </cell>
          <cell r="W51">
            <v>33635</v>
          </cell>
          <cell r="X51">
            <v>36509</v>
          </cell>
          <cell r="Y51">
            <v>34241</v>
          </cell>
          <cell r="Z51">
            <v>26454</v>
          </cell>
          <cell r="AA51">
            <v>35663</v>
          </cell>
          <cell r="AB51">
            <v>38558</v>
          </cell>
          <cell r="AC51">
            <v>33463</v>
          </cell>
          <cell r="AD51">
            <v>27469</v>
          </cell>
          <cell r="AE51">
            <v>26080</v>
          </cell>
          <cell r="AF51">
            <v>35466</v>
          </cell>
          <cell r="AG51">
            <v>34175</v>
          </cell>
          <cell r="AH51">
            <v>30704</v>
          </cell>
          <cell r="AI51">
            <v>34276</v>
          </cell>
          <cell r="AJ51">
            <v>0</v>
          </cell>
          <cell r="AK51">
            <v>0</v>
          </cell>
          <cell r="AL51">
            <v>0</v>
          </cell>
          <cell r="AM51">
            <v>0</v>
          </cell>
        </row>
        <row r="52">
          <cell r="A52" t="str">
            <v>AR Residential Wood</v>
          </cell>
          <cell r="C52" t="str">
            <v>Residential Wood</v>
          </cell>
          <cell r="D52">
            <v>3161</v>
          </cell>
          <cell r="E52">
            <v>3313</v>
          </cell>
          <cell r="F52">
            <v>3476</v>
          </cell>
          <cell r="G52">
            <v>4830</v>
          </cell>
          <cell r="H52">
            <v>4585</v>
          </cell>
          <cell r="I52">
            <v>4585</v>
          </cell>
          <cell r="J52">
            <v>4761</v>
          </cell>
          <cell r="K52">
            <v>2347</v>
          </cell>
          <cell r="L52">
            <v>2086</v>
          </cell>
          <cell r="M52">
            <v>2141</v>
          </cell>
          <cell r="N52">
            <v>2306</v>
          </cell>
          <cell r="O52">
            <v>2227</v>
          </cell>
          <cell r="P52">
            <v>2261</v>
          </cell>
          <cell r="Q52">
            <v>2380</v>
          </cell>
          <cell r="R52">
            <v>2439</v>
          </cell>
          <cell r="S52">
            <v>5603</v>
          </cell>
          <cell r="T52">
            <v>4969</v>
          </cell>
          <cell r="U52">
            <v>5492</v>
          </cell>
          <cell r="V52">
            <v>6146</v>
          </cell>
          <cell r="W52">
            <v>9580</v>
          </cell>
          <cell r="X52">
            <v>10275</v>
          </cell>
          <cell r="Y52">
            <v>9966</v>
          </cell>
          <cell r="Z52">
            <v>8328</v>
          </cell>
          <cell r="AA52">
            <v>10867</v>
          </cell>
          <cell r="AB52">
            <v>10997</v>
          </cell>
          <cell r="AC52">
            <v>6398</v>
          </cell>
          <cell r="AD52">
            <v>5184</v>
          </cell>
          <cell r="AE52">
            <v>4365</v>
          </cell>
          <cell r="AF52">
            <v>6858</v>
          </cell>
          <cell r="AG52">
            <v>6913</v>
          </cell>
          <cell r="AH52">
            <v>5314</v>
          </cell>
          <cell r="AI52">
            <v>4896</v>
          </cell>
          <cell r="AJ52">
            <v>0</v>
          </cell>
          <cell r="AK52">
            <v>0</v>
          </cell>
          <cell r="AL52">
            <v>0</v>
          </cell>
          <cell r="AM52">
            <v>0</v>
          </cell>
        </row>
        <row r="53">
          <cell r="A53" t="str">
            <v>AR Residential Other</v>
          </cell>
          <cell r="C53" t="str">
            <v>Residential Other</v>
          </cell>
        </row>
        <row r="54">
          <cell r="A54" t="str">
            <v>AR Transportation Aviation Gasoline</v>
          </cell>
          <cell r="C54" t="str">
            <v>Transportation Aviation Gasoline</v>
          </cell>
          <cell r="D54">
            <v>631</v>
          </cell>
          <cell r="E54">
            <v>726</v>
          </cell>
          <cell r="F54">
            <v>768</v>
          </cell>
          <cell r="G54">
            <v>679</v>
          </cell>
          <cell r="H54">
            <v>791</v>
          </cell>
          <cell r="I54">
            <v>723</v>
          </cell>
          <cell r="J54">
            <v>613</v>
          </cell>
          <cell r="K54">
            <v>682</v>
          </cell>
          <cell r="L54">
            <v>617</v>
          </cell>
          <cell r="M54">
            <v>596</v>
          </cell>
          <cell r="N54">
            <v>471</v>
          </cell>
          <cell r="O54">
            <v>922</v>
          </cell>
          <cell r="P54">
            <v>598</v>
          </cell>
          <cell r="Q54">
            <v>522</v>
          </cell>
          <cell r="R54">
            <v>643</v>
          </cell>
          <cell r="S54">
            <v>339</v>
          </cell>
          <cell r="T54">
            <v>559</v>
          </cell>
          <cell r="U54">
            <v>553</v>
          </cell>
          <cell r="V54">
            <v>440</v>
          </cell>
          <cell r="W54">
            <v>557</v>
          </cell>
          <cell r="X54">
            <v>434</v>
          </cell>
          <cell r="Y54">
            <v>407</v>
          </cell>
          <cell r="Z54">
            <v>414</v>
          </cell>
          <cell r="AA54">
            <v>354</v>
          </cell>
          <cell r="AB54">
            <v>196</v>
          </cell>
          <cell r="AC54">
            <v>242</v>
          </cell>
          <cell r="AD54">
            <v>242</v>
          </cell>
          <cell r="AE54">
            <v>243</v>
          </cell>
          <cell r="AF54">
            <v>237</v>
          </cell>
          <cell r="AG54">
            <v>244</v>
          </cell>
          <cell r="AH54">
            <v>225</v>
          </cell>
          <cell r="AI54">
            <v>245</v>
          </cell>
          <cell r="AJ54">
            <v>0</v>
          </cell>
          <cell r="AK54">
            <v>0</v>
          </cell>
          <cell r="AL54">
            <v>0</v>
          </cell>
          <cell r="AM54">
            <v>0</v>
          </cell>
        </row>
        <row r="55">
          <cell r="A55" t="str">
            <v>AR Transportation Distillate Fuel</v>
          </cell>
          <cell r="C55" t="str">
            <v>Transportation Distillate Fuel</v>
          </cell>
          <cell r="D55">
            <v>56629</v>
          </cell>
          <cell r="E55">
            <v>57962</v>
          </cell>
          <cell r="F55">
            <v>57886</v>
          </cell>
          <cell r="G55">
            <v>62549</v>
          </cell>
          <cell r="H55">
            <v>71483</v>
          </cell>
          <cell r="I55">
            <v>73149</v>
          </cell>
          <cell r="J55">
            <v>76046</v>
          </cell>
          <cell r="K55">
            <v>79046</v>
          </cell>
          <cell r="L55">
            <v>83476</v>
          </cell>
          <cell r="M55">
            <v>80444</v>
          </cell>
          <cell r="N55">
            <v>83479</v>
          </cell>
          <cell r="O55">
            <v>90968</v>
          </cell>
          <cell r="P55">
            <v>97823</v>
          </cell>
          <cell r="Q55">
            <v>96381</v>
          </cell>
          <cell r="R55">
            <v>100007</v>
          </cell>
          <cell r="S55">
            <v>97389</v>
          </cell>
          <cell r="T55">
            <v>95916</v>
          </cell>
          <cell r="U55">
            <v>97317</v>
          </cell>
          <cell r="V55">
            <v>94981</v>
          </cell>
          <cell r="W55">
            <v>94337</v>
          </cell>
          <cell r="X55">
            <v>97842</v>
          </cell>
          <cell r="Y55">
            <v>99064</v>
          </cell>
          <cell r="Z55">
            <v>90155</v>
          </cell>
          <cell r="AA55">
            <v>91015</v>
          </cell>
          <cell r="AB55">
            <v>89026</v>
          </cell>
          <cell r="AC55">
            <v>88795</v>
          </cell>
          <cell r="AD55">
            <v>89470</v>
          </cell>
          <cell r="AE55">
            <v>92883</v>
          </cell>
          <cell r="AF55">
            <v>97731</v>
          </cell>
          <cell r="AG55">
            <v>95310</v>
          </cell>
          <cell r="AH55">
            <v>94234</v>
          </cell>
          <cell r="AI55">
            <v>96959</v>
          </cell>
          <cell r="AJ55">
            <v>0</v>
          </cell>
          <cell r="AK55">
            <v>0</v>
          </cell>
          <cell r="AL55">
            <v>0</v>
          </cell>
          <cell r="AM55">
            <v>0</v>
          </cell>
        </row>
        <row r="56">
          <cell r="A56" t="str">
            <v>AR Transportation Ethanol</v>
          </cell>
          <cell r="C56" t="str">
            <v>Transportation Ethanol</v>
          </cell>
          <cell r="D56">
            <v>498</v>
          </cell>
          <cell r="E56">
            <v>314</v>
          </cell>
          <cell r="F56">
            <v>222</v>
          </cell>
          <cell r="G56">
            <v>155</v>
          </cell>
          <cell r="H56">
            <v>28</v>
          </cell>
          <cell r="I56">
            <v>31</v>
          </cell>
          <cell r="J56">
            <v>2</v>
          </cell>
          <cell r="K56">
            <v>0</v>
          </cell>
          <cell r="L56">
            <v>0</v>
          </cell>
          <cell r="M56">
            <v>0</v>
          </cell>
          <cell r="N56">
            <v>0</v>
          </cell>
          <cell r="O56">
            <v>0</v>
          </cell>
          <cell r="P56">
            <v>0</v>
          </cell>
          <cell r="Q56">
            <v>0</v>
          </cell>
          <cell r="R56">
            <v>0</v>
          </cell>
          <cell r="S56">
            <v>93</v>
          </cell>
          <cell r="T56">
            <v>86</v>
          </cell>
          <cell r="U56">
            <v>278</v>
          </cell>
          <cell r="V56">
            <v>2250</v>
          </cell>
          <cell r="W56">
            <v>5855</v>
          </cell>
          <cell r="X56">
            <v>12507</v>
          </cell>
          <cell r="Y56">
            <v>11778</v>
          </cell>
          <cell r="Z56">
            <v>11457</v>
          </cell>
          <cell r="AA56">
            <v>11575</v>
          </cell>
          <cell r="AB56">
            <v>12076</v>
          </cell>
          <cell r="AC56">
            <v>12136</v>
          </cell>
          <cell r="AD56">
            <v>12551</v>
          </cell>
          <cell r="AE56">
            <v>12588</v>
          </cell>
          <cell r="AF56">
            <v>11637</v>
          </cell>
          <cell r="AG56">
            <v>11589</v>
          </cell>
          <cell r="AH56">
            <v>10351</v>
          </cell>
          <cell r="AI56">
            <v>11596</v>
          </cell>
          <cell r="AJ56">
            <v>0</v>
          </cell>
          <cell r="AK56">
            <v>0</v>
          </cell>
          <cell r="AL56">
            <v>0</v>
          </cell>
          <cell r="AM56">
            <v>0</v>
          </cell>
        </row>
        <row r="57">
          <cell r="A57" t="str">
            <v>AR Transportation Jet Fuel, Kerosene</v>
          </cell>
          <cell r="C57" t="str">
            <v>Transportation Jet Fuel, Kerosene</v>
          </cell>
          <cell r="D57">
            <v>3239</v>
          </cell>
          <cell r="E57">
            <v>2534</v>
          </cell>
          <cell r="F57">
            <v>2360</v>
          </cell>
          <cell r="G57">
            <v>2304</v>
          </cell>
          <cell r="H57">
            <v>5757</v>
          </cell>
          <cell r="I57">
            <v>6387</v>
          </cell>
          <cell r="J57">
            <v>8631</v>
          </cell>
          <cell r="K57">
            <v>8707</v>
          </cell>
          <cell r="L57">
            <v>8665</v>
          </cell>
          <cell r="M57">
            <v>25941</v>
          </cell>
          <cell r="N57">
            <v>27600</v>
          </cell>
          <cell r="O57">
            <v>5876</v>
          </cell>
          <cell r="P57">
            <v>4500</v>
          </cell>
          <cell r="Q57">
            <v>4660</v>
          </cell>
          <cell r="R57">
            <v>4096</v>
          </cell>
          <cell r="S57">
            <v>7094</v>
          </cell>
          <cell r="T57">
            <v>6706</v>
          </cell>
          <cell r="U57">
            <v>6951</v>
          </cell>
          <cell r="V57">
            <v>6152</v>
          </cell>
          <cell r="W57">
            <v>4537</v>
          </cell>
          <cell r="X57">
            <v>7858</v>
          </cell>
          <cell r="Y57">
            <v>7788</v>
          </cell>
          <cell r="Z57">
            <v>8056</v>
          </cell>
          <cell r="AA57">
            <v>7615</v>
          </cell>
          <cell r="AB57">
            <v>7851</v>
          </cell>
          <cell r="AC57">
            <v>7378</v>
          </cell>
          <cell r="AD57">
            <v>7140</v>
          </cell>
          <cell r="AE57">
            <v>7599</v>
          </cell>
          <cell r="AF57">
            <v>6556</v>
          </cell>
          <cell r="AG57">
            <v>7007</v>
          </cell>
          <cell r="AH57">
            <v>5284</v>
          </cell>
          <cell r="AI57">
            <v>5659</v>
          </cell>
          <cell r="AJ57">
            <v>0</v>
          </cell>
          <cell r="AK57">
            <v>0</v>
          </cell>
          <cell r="AL57">
            <v>0</v>
          </cell>
          <cell r="AM57">
            <v>0</v>
          </cell>
        </row>
        <row r="58">
          <cell r="A58" t="str">
            <v>AR Transportation Jet Fuel, Naphtha</v>
          </cell>
          <cell r="C58" t="str">
            <v>Transportation Jet Fuel, Naphtha</v>
          </cell>
          <cell r="D58">
            <v>6007</v>
          </cell>
          <cell r="E58">
            <v>7203</v>
          </cell>
          <cell r="F58">
            <v>3844</v>
          </cell>
          <cell r="G58">
            <v>3347</v>
          </cell>
          <cell r="H58">
            <v>3312</v>
          </cell>
          <cell r="I58">
            <v>281</v>
          </cell>
          <cell r="J58">
            <v>64</v>
          </cell>
          <cell r="K58">
            <v>20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row>
        <row r="59">
          <cell r="A59" t="str">
            <v>AR Transportation Hydrocarbon Gas Liquids</v>
          </cell>
          <cell r="C59" t="str">
            <v>Transportation Hydrocarbon Gas Liquids</v>
          </cell>
          <cell r="D59">
            <v>319</v>
          </cell>
          <cell r="E59">
            <v>301</v>
          </cell>
          <cell r="F59">
            <v>237</v>
          </cell>
          <cell r="G59">
            <v>263</v>
          </cell>
          <cell r="H59">
            <v>478</v>
          </cell>
          <cell r="I59">
            <v>197</v>
          </cell>
          <cell r="J59">
            <v>173</v>
          </cell>
          <cell r="K59">
            <v>162</v>
          </cell>
          <cell r="L59">
            <v>126</v>
          </cell>
          <cell r="M59">
            <v>1755</v>
          </cell>
          <cell r="N59">
            <v>359</v>
          </cell>
          <cell r="O59">
            <v>342</v>
          </cell>
          <cell r="P59">
            <v>209</v>
          </cell>
          <cell r="Q59">
            <v>195</v>
          </cell>
          <cell r="R59">
            <v>196</v>
          </cell>
          <cell r="S59">
            <v>318</v>
          </cell>
          <cell r="T59">
            <v>310</v>
          </cell>
          <cell r="U59">
            <v>228</v>
          </cell>
          <cell r="V59">
            <v>590</v>
          </cell>
          <cell r="W59">
            <v>294</v>
          </cell>
          <cell r="X59">
            <v>73</v>
          </cell>
          <cell r="Y59">
            <v>72</v>
          </cell>
          <cell r="Z59">
            <v>45</v>
          </cell>
          <cell r="AA59">
            <v>64</v>
          </cell>
          <cell r="AB59">
            <v>58</v>
          </cell>
          <cell r="AC59">
            <v>78</v>
          </cell>
          <cell r="AD59">
            <v>77</v>
          </cell>
          <cell r="AE59">
            <v>21</v>
          </cell>
          <cell r="AF59">
            <v>17</v>
          </cell>
          <cell r="AG59">
            <v>20</v>
          </cell>
          <cell r="AH59">
            <v>26</v>
          </cell>
          <cell r="AI59">
            <v>32</v>
          </cell>
          <cell r="AJ59">
            <v>0</v>
          </cell>
          <cell r="AK59">
            <v>0</v>
          </cell>
          <cell r="AL59">
            <v>0</v>
          </cell>
          <cell r="AM59">
            <v>0</v>
          </cell>
        </row>
        <row r="60">
          <cell r="A60" t="str">
            <v>AR Transportation Lubricants</v>
          </cell>
          <cell r="C60" t="str">
            <v>Transportation Lubricants</v>
          </cell>
          <cell r="D60">
            <v>2683</v>
          </cell>
          <cell r="E60">
            <v>2400</v>
          </cell>
          <cell r="F60">
            <v>2447</v>
          </cell>
          <cell r="G60">
            <v>2492</v>
          </cell>
          <cell r="H60">
            <v>2605</v>
          </cell>
          <cell r="I60">
            <v>2560</v>
          </cell>
          <cell r="J60">
            <v>2484</v>
          </cell>
          <cell r="K60">
            <v>2624</v>
          </cell>
          <cell r="L60">
            <v>2747</v>
          </cell>
          <cell r="M60">
            <v>2776</v>
          </cell>
          <cell r="N60">
            <v>2735</v>
          </cell>
          <cell r="O60">
            <v>2505</v>
          </cell>
          <cell r="P60">
            <v>2476</v>
          </cell>
          <cell r="Q60">
            <v>2289</v>
          </cell>
          <cell r="R60">
            <v>2319</v>
          </cell>
          <cell r="S60">
            <v>2307</v>
          </cell>
          <cell r="T60">
            <v>2247</v>
          </cell>
          <cell r="U60">
            <v>2321</v>
          </cell>
          <cell r="V60">
            <v>2155</v>
          </cell>
          <cell r="W60">
            <v>1937</v>
          </cell>
          <cell r="X60">
            <v>2019</v>
          </cell>
          <cell r="Y60">
            <v>1911</v>
          </cell>
          <cell r="Z60">
            <v>1701</v>
          </cell>
          <cell r="AA60">
            <v>1745</v>
          </cell>
          <cell r="AB60">
            <v>1789</v>
          </cell>
          <cell r="AC60">
            <v>1945</v>
          </cell>
          <cell r="AD60">
            <v>1871</v>
          </cell>
          <cell r="AE60">
            <v>1740</v>
          </cell>
          <cell r="AF60">
            <v>1672</v>
          </cell>
          <cell r="AG60">
            <v>1600</v>
          </cell>
          <cell r="AH60">
            <v>1484</v>
          </cell>
          <cell r="AI60">
            <v>1524</v>
          </cell>
          <cell r="AJ60">
            <v>0</v>
          </cell>
          <cell r="AK60">
            <v>0</v>
          </cell>
          <cell r="AL60">
            <v>0</v>
          </cell>
          <cell r="AM60">
            <v>0</v>
          </cell>
        </row>
        <row r="61">
          <cell r="A61" t="str">
            <v>AR Transportation Motor Gasoline</v>
          </cell>
          <cell r="C61" t="str">
            <v>Transportation Motor Gasoline</v>
          </cell>
          <cell r="D61">
            <v>148889</v>
          </cell>
          <cell r="E61">
            <v>149193</v>
          </cell>
          <cell r="F61">
            <v>151541</v>
          </cell>
          <cell r="G61">
            <v>156619</v>
          </cell>
          <cell r="H61">
            <v>158586</v>
          </cell>
          <cell r="I61">
            <v>164644</v>
          </cell>
          <cell r="J61">
            <v>164658</v>
          </cell>
          <cell r="K61">
            <v>170120</v>
          </cell>
          <cell r="L61">
            <v>169538</v>
          </cell>
          <cell r="M61">
            <v>172291</v>
          </cell>
          <cell r="N61">
            <v>170170</v>
          </cell>
          <cell r="O61">
            <v>167888</v>
          </cell>
          <cell r="P61">
            <v>171541</v>
          </cell>
          <cell r="Q61">
            <v>172399</v>
          </cell>
          <cell r="R61">
            <v>172856</v>
          </cell>
          <cell r="S61">
            <v>171964</v>
          </cell>
          <cell r="T61">
            <v>171427</v>
          </cell>
          <cell r="U61">
            <v>173978</v>
          </cell>
          <cell r="V61">
            <v>167976</v>
          </cell>
          <cell r="W61">
            <v>168399</v>
          </cell>
          <cell r="X61">
            <v>159764</v>
          </cell>
          <cell r="Y61">
            <v>154639</v>
          </cell>
          <cell r="Z61">
            <v>155354</v>
          </cell>
          <cell r="AA61">
            <v>152300</v>
          </cell>
          <cell r="AB61">
            <v>157318</v>
          </cell>
          <cell r="AC61">
            <v>157485</v>
          </cell>
          <cell r="AD61">
            <v>163797</v>
          </cell>
          <cell r="AE61">
            <v>163179</v>
          </cell>
          <cell r="AF61">
            <v>160915</v>
          </cell>
          <cell r="AG61">
            <v>165260</v>
          </cell>
          <cell r="AH61">
            <v>153288</v>
          </cell>
          <cell r="AI61">
            <v>163919</v>
          </cell>
          <cell r="AJ61">
            <v>0</v>
          </cell>
          <cell r="AK61">
            <v>0</v>
          </cell>
          <cell r="AL61">
            <v>0</v>
          </cell>
          <cell r="AM61">
            <v>0</v>
          </cell>
        </row>
        <row r="62">
          <cell r="A62" t="str">
            <v>AR Transportation Natural Gas</v>
          </cell>
          <cell r="C62" t="str">
            <v>Transportation Natural Gas</v>
          </cell>
          <cell r="D62">
            <v>8709</v>
          </cell>
          <cell r="E62">
            <v>8478</v>
          </cell>
          <cell r="F62">
            <v>8140</v>
          </cell>
          <cell r="G62">
            <v>9783</v>
          </cell>
          <cell r="H62">
            <v>12125</v>
          </cell>
          <cell r="I62">
            <v>12453</v>
          </cell>
          <cell r="J62">
            <v>12882</v>
          </cell>
          <cell r="K62">
            <v>11812</v>
          </cell>
          <cell r="L62">
            <v>10527</v>
          </cell>
          <cell r="M62">
            <v>9241</v>
          </cell>
          <cell r="N62">
            <v>9025</v>
          </cell>
          <cell r="O62">
            <v>8917</v>
          </cell>
          <cell r="P62">
            <v>8174</v>
          </cell>
          <cell r="Q62">
            <v>8785</v>
          </cell>
          <cell r="R62">
            <v>8036</v>
          </cell>
          <cell r="S62">
            <v>9039</v>
          </cell>
          <cell r="T62">
            <v>10968</v>
          </cell>
          <cell r="U62">
            <v>10345</v>
          </cell>
          <cell r="V62">
            <v>10025</v>
          </cell>
          <cell r="W62">
            <v>9241</v>
          </cell>
          <cell r="X62">
            <v>9631</v>
          </cell>
          <cell r="Y62">
            <v>11476</v>
          </cell>
          <cell r="Z62">
            <v>10734</v>
          </cell>
          <cell r="AA62">
            <v>11685</v>
          </cell>
          <cell r="AB62">
            <v>11844</v>
          </cell>
          <cell r="AC62">
            <v>8938</v>
          </cell>
          <cell r="AD62">
            <v>8371</v>
          </cell>
          <cell r="AE62">
            <v>6896</v>
          </cell>
          <cell r="AF62">
            <v>7427</v>
          </cell>
          <cell r="AG62">
            <v>7861</v>
          </cell>
          <cell r="AH62">
            <v>6301</v>
          </cell>
          <cell r="AI62">
            <v>5328</v>
          </cell>
          <cell r="AJ62">
            <v>0</v>
          </cell>
          <cell r="AK62">
            <v>0</v>
          </cell>
          <cell r="AL62">
            <v>0</v>
          </cell>
          <cell r="AM62">
            <v>0</v>
          </cell>
        </row>
        <row r="63">
          <cell r="A63" t="str">
            <v>AR Transportation Residual Fuel</v>
          </cell>
          <cell r="C63" t="str">
            <v>Transportation Residual Fuel</v>
          </cell>
          <cell r="D63">
            <v>0</v>
          </cell>
          <cell r="E63">
            <v>0</v>
          </cell>
          <cell r="F63">
            <v>0</v>
          </cell>
          <cell r="G63">
            <v>0</v>
          </cell>
          <cell r="H63">
            <v>0</v>
          </cell>
          <cell r="I63">
            <v>0</v>
          </cell>
          <cell r="J63">
            <v>0</v>
          </cell>
          <cell r="K63">
            <v>0</v>
          </cell>
          <cell r="L63">
            <v>0</v>
          </cell>
          <cell r="M63">
            <v>0</v>
          </cell>
          <cell r="N63">
            <v>0</v>
          </cell>
          <cell r="O63">
            <v>0</v>
          </cell>
          <cell r="P63">
            <v>0</v>
          </cell>
          <cell r="Q63">
            <v>0</v>
          </cell>
          <cell r="R63">
            <v>0</v>
          </cell>
          <cell r="S63">
            <v>7</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J63">
            <v>0</v>
          </cell>
          <cell r="AK63">
            <v>0</v>
          </cell>
          <cell r="AL63">
            <v>0</v>
          </cell>
          <cell r="AM63">
            <v>0</v>
          </cell>
        </row>
        <row r="64">
          <cell r="A64" t="str">
            <v>AR Transportation Other</v>
          </cell>
          <cell r="C64" t="str">
            <v>Transportation Other</v>
          </cell>
        </row>
        <row r="65">
          <cell r="A65" t="str">
            <v>AR Bunker Fuels Distillate Fuel</v>
          </cell>
          <cell r="C65" t="str">
            <v>Bunker Fuels Distillate Fuel</v>
          </cell>
          <cell r="D65">
            <v>124.95024478949814</v>
          </cell>
          <cell r="E65">
            <v>145.80253320710258</v>
          </cell>
          <cell r="F65">
            <v>117.21784624554674</v>
          </cell>
          <cell r="G65">
            <v>140.59483904665132</v>
          </cell>
          <cell r="H65">
            <v>134.00963254529142</v>
          </cell>
          <cell r="I65">
            <v>167.01949330134889</v>
          </cell>
          <cell r="J65">
            <v>152.774495259585</v>
          </cell>
          <cell r="K65">
            <v>148.579682383039</v>
          </cell>
          <cell r="L65">
            <v>339.56024384185679</v>
          </cell>
          <cell r="M65">
            <v>223.00955541844755</v>
          </cell>
          <cell r="N65">
            <v>4.5939708730456754</v>
          </cell>
          <cell r="O65">
            <v>9.0671782906596725</v>
          </cell>
          <cell r="P65">
            <v>31.926700419320781</v>
          </cell>
          <cell r="Q65">
            <v>427.99399036599448</v>
          </cell>
          <cell r="R65">
            <v>2722.3954245522432</v>
          </cell>
          <cell r="S65">
            <v>1271.7500442146595</v>
          </cell>
          <cell r="T65">
            <v>26.016955605892115</v>
          </cell>
          <cell r="U65">
            <v>24.303549394708163</v>
          </cell>
          <cell r="V65">
            <v>3043.1805354569101</v>
          </cell>
          <cell r="W65">
            <v>2759.8811377911547</v>
          </cell>
          <cell r="X65">
            <v>3057.7399385078529</v>
          </cell>
          <cell r="Y65">
            <v>2781.5647956851553</v>
          </cell>
          <cell r="Z65">
            <v>22.031105205958575</v>
          </cell>
          <cell r="AA65">
            <v>5.4480418963609836</v>
          </cell>
          <cell r="AB65">
            <v>13.336395929317939</v>
          </cell>
          <cell r="AC65">
            <v>9.7662856993416138</v>
          </cell>
          <cell r="AD65">
            <v>18.738221214387099</v>
          </cell>
          <cell r="AE65">
            <v>12.265206867047976</v>
          </cell>
          <cell r="AF65">
            <v>16.466969306071821</v>
          </cell>
          <cell r="AG65">
            <v>10.476507840833511</v>
          </cell>
          <cell r="AH65">
            <v>56.209181766495107</v>
          </cell>
          <cell r="AI65">
            <v>53.599228615876399</v>
          </cell>
          <cell r="AJ65">
            <v>0</v>
          </cell>
          <cell r="AK65">
            <v>0</v>
          </cell>
          <cell r="AL65">
            <v>0</v>
          </cell>
          <cell r="AM65">
            <v>0</v>
          </cell>
        </row>
        <row r="66">
          <cell r="A66" t="str">
            <v>AR Bunker Fuels Residual Fuel</v>
          </cell>
          <cell r="C66" t="str">
            <v>Bunker Fuels Residual Fuel</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4.7121599786407797</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row>
        <row r="67">
          <cell r="A67" t="str">
            <v>AR Bunker Fuels Jet Fuel, Kerosene</v>
          </cell>
          <cell r="C67" t="str">
            <v>Bunker Fuels Jet Fuel, Kerosene</v>
          </cell>
          <cell r="D67">
            <v>1600.7951952042783</v>
          </cell>
          <cell r="E67">
            <v>2104.5879074693644</v>
          </cell>
          <cell r="F67">
            <v>1363.2323391635441</v>
          </cell>
          <cell r="G67">
            <v>1234.5629049748131</v>
          </cell>
          <cell r="H67">
            <v>1962.053983568062</v>
          </cell>
          <cell r="I67">
            <v>1500.9637753424256</v>
          </cell>
          <cell r="J67">
            <v>1911.4916134039961</v>
          </cell>
          <cell r="K67">
            <v>1993.8891675836537</v>
          </cell>
          <cell r="L67">
            <v>1936.6300024132649</v>
          </cell>
          <cell r="M67">
            <v>5982.3949287180048</v>
          </cell>
          <cell r="N67">
            <v>6794.8731568379981</v>
          </cell>
          <cell r="O67">
            <v>1374.1174175587064</v>
          </cell>
          <cell r="P67">
            <v>1045.689330785299</v>
          </cell>
          <cell r="Q67">
            <v>1119.2697186113539</v>
          </cell>
          <cell r="R67">
            <v>967.68251245299871</v>
          </cell>
          <cell r="S67">
            <v>1744.3260180145926</v>
          </cell>
          <cell r="T67">
            <v>1700.0112797606346</v>
          </cell>
          <cell r="U67">
            <v>1809.0168085382875</v>
          </cell>
          <cell r="V67">
            <v>1537.3611527115022</v>
          </cell>
          <cell r="W67">
            <v>1180.3523034772752</v>
          </cell>
          <cell r="X67">
            <v>2297.9251408621558</v>
          </cell>
          <cell r="Y67">
            <v>2431.0921008544838</v>
          </cell>
          <cell r="Z67">
            <v>2546.5891680493273</v>
          </cell>
          <cell r="AA67">
            <v>2392.0462275120453</v>
          </cell>
          <cell r="AB67">
            <v>2551.8612464364605</v>
          </cell>
          <cell r="AC67">
            <v>2356.1676062084271</v>
          </cell>
          <cell r="AD67">
            <v>2242.436368941409</v>
          </cell>
          <cell r="AE67">
            <v>2410.197586205908</v>
          </cell>
          <cell r="AF67">
            <v>2129.8041982512805</v>
          </cell>
          <cell r="AG67">
            <v>2159.64327656368</v>
          </cell>
          <cell r="AH67">
            <v>1333.312448066697</v>
          </cell>
          <cell r="AI67">
            <v>1440.117948723366</v>
          </cell>
          <cell r="AJ67">
            <v>0</v>
          </cell>
          <cell r="AK67">
            <v>0</v>
          </cell>
          <cell r="AL67">
            <v>0</v>
          </cell>
          <cell r="AM6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63">
          <cell r="A63" t="str">
            <v>Industrial Sector</v>
          </cell>
        </row>
        <row r="64">
          <cell r="A64" t="str">
            <v>Coking Coal</v>
          </cell>
          <cell r="B64">
            <v>0</v>
          </cell>
          <cell r="C64">
            <v>0</v>
          </cell>
          <cell r="D64">
            <v>0</v>
          </cell>
          <cell r="E64">
            <v>1</v>
          </cell>
          <cell r="F64">
            <v>1</v>
          </cell>
          <cell r="G64">
            <v>1</v>
          </cell>
          <cell r="H64">
            <v>1</v>
          </cell>
          <cell r="I64">
            <v>0</v>
          </cell>
          <cell r="J64">
            <v>1</v>
          </cell>
          <cell r="K64">
            <v>1</v>
          </cell>
          <cell r="L64">
            <v>1</v>
          </cell>
          <cell r="M64">
            <v>1</v>
          </cell>
          <cell r="N64">
            <v>1</v>
          </cell>
          <cell r="O64">
            <v>1</v>
          </cell>
          <cell r="P64">
            <v>1</v>
          </cell>
          <cell r="Q64">
            <v>1</v>
          </cell>
          <cell r="R64">
            <v>1</v>
          </cell>
          <cell r="S64">
            <v>1</v>
          </cell>
          <cell r="T64">
            <v>1</v>
          </cell>
          <cell r="U64">
            <v>1</v>
          </cell>
          <cell r="V64">
            <v>1</v>
          </cell>
          <cell r="W64">
            <v>1</v>
          </cell>
          <cell r="X64">
            <v>1</v>
          </cell>
          <cell r="Y64">
            <v>1</v>
          </cell>
          <cell r="Z64">
            <v>1</v>
          </cell>
          <cell r="AA64">
            <v>1</v>
          </cell>
          <cell r="AB64">
            <v>1</v>
          </cell>
          <cell r="AC64">
            <v>1</v>
          </cell>
          <cell r="AD64">
            <v>1</v>
          </cell>
          <cell r="AE64">
            <v>1</v>
          </cell>
          <cell r="AF64">
            <v>1</v>
          </cell>
          <cell r="AG64">
            <v>1</v>
          </cell>
        </row>
        <row r="65">
          <cell r="A65" t="str">
            <v>Other Coal</v>
          </cell>
          <cell r="B65">
            <v>4.5416472020804654E-3</v>
          </cell>
          <cell r="C65">
            <v>4.7922786272606484E-3</v>
          </cell>
          <cell r="D65">
            <v>5.5354460395050922E-3</v>
          </cell>
          <cell r="E65">
            <v>5.6985520682306902E-3</v>
          </cell>
          <cell r="F65">
            <v>6.1996842611087956E-3</v>
          </cell>
          <cell r="G65">
            <v>6.6813461782685973E-3</v>
          </cell>
          <cell r="H65">
            <v>7.1063325896762383E-3</v>
          </cell>
          <cell r="I65">
            <v>6.9265189441406081E-3</v>
          </cell>
          <cell r="J65">
            <v>6.407540055518593E-3</v>
          </cell>
          <cell r="K65">
            <v>7.292184793933643E-3</v>
          </cell>
          <cell r="L65">
            <v>8.3797254001046293E-3</v>
          </cell>
          <cell r="M65">
            <v>7.5488424333074915E-3</v>
          </cell>
          <cell r="N65">
            <v>8.790338587456651E-3</v>
          </cell>
          <cell r="O65">
            <v>8.6634158122588425E-3</v>
          </cell>
          <cell r="P65">
            <v>8.5923428374798574E-3</v>
          </cell>
          <cell r="Q65">
            <v>8.7798501039106653E-3</v>
          </cell>
          <cell r="R65">
            <v>8.9501402039970021E-3</v>
          </cell>
          <cell r="S65">
            <v>9.3347003899069154E-3</v>
          </cell>
          <cell r="T65">
            <v>9.7442271758052933E-3</v>
          </cell>
          <cell r="U65">
            <v>1.1846441126425833E-2</v>
          </cell>
          <cell r="V65">
            <v>9.528065570029786E-3</v>
          </cell>
          <cell r="W65">
            <v>1.0428613284787837E-2</v>
          </cell>
          <cell r="X65">
            <v>1.1447143153630093E-2</v>
          </cell>
          <cell r="Y65">
            <v>1.1259441078483439E-2</v>
          </cell>
          <cell r="Z65">
            <v>1.1301799953971648E-2</v>
          </cell>
          <cell r="AA65">
            <v>1.278030660029408E-2</v>
          </cell>
          <cell r="AB65">
            <v>1.4141087569417057E-2</v>
          </cell>
          <cell r="AC65">
            <v>1.5203640000668045E-2</v>
          </cell>
          <cell r="AD65">
            <v>1.6372927844407276E-2</v>
          </cell>
          <cell r="AE65">
            <v>1.7984822051974766E-2</v>
          </cell>
          <cell r="AF65">
            <v>2.0691581393693988E-2</v>
          </cell>
          <cell r="AG65">
            <v>2.0592321427076909E-2</v>
          </cell>
        </row>
        <row r="66">
          <cell r="A66" t="str">
            <v>Natural Gas</v>
          </cell>
          <cell r="B66">
            <v>3.533378751811684E-2</v>
          </cell>
          <cell r="C66">
            <v>3.4080442031295628E-2</v>
          </cell>
          <cell r="D66">
            <v>3.5113197124211591E-2</v>
          </cell>
          <cell r="E66">
            <v>3.5735114329402823E-2</v>
          </cell>
          <cell r="F66">
            <v>3.8266019234562069E-2</v>
          </cell>
          <cell r="G66">
            <v>3.8414037116573964E-2</v>
          </cell>
          <cell r="H66">
            <v>3.8941186226345063E-2</v>
          </cell>
          <cell r="I66">
            <v>4.0318358619789427E-2</v>
          </cell>
          <cell r="J66">
            <v>4.4245174225432109E-2</v>
          </cell>
          <cell r="K66">
            <v>4.5043353202778538E-2</v>
          </cell>
          <cell r="L66">
            <v>4.2597449527596795E-2</v>
          </cell>
          <cell r="M66">
            <v>4.6592844916620677E-2</v>
          </cell>
          <cell r="N66">
            <v>4.3327197680125856E-2</v>
          </cell>
          <cell r="O66">
            <v>3.8916227301246172E-2</v>
          </cell>
          <cell r="P66">
            <v>3.3589578514776793E-2</v>
          </cell>
          <cell r="Q66">
            <v>3.4390669737607918E-2</v>
          </cell>
          <cell r="R66">
            <v>3.0264754630604199E-2</v>
          </cell>
          <cell r="S66">
            <v>3.1150740229987591E-2</v>
          </cell>
          <cell r="T66">
            <v>3.400040004217382E-2</v>
          </cell>
          <cell r="U66">
            <v>3.7425298593968079E-2</v>
          </cell>
          <cell r="V66">
            <v>3.7213292902606311E-2</v>
          </cell>
          <cell r="W66">
            <v>3.6621566032884037E-2</v>
          </cell>
          <cell r="X66">
            <v>3.528425803141947E-2</v>
          </cell>
          <cell r="Y66">
            <v>3.5038045157867924E-2</v>
          </cell>
          <cell r="Z66">
            <v>3.5439525006376288E-2</v>
          </cell>
          <cell r="AA66">
            <v>4.5934122734919008E-2</v>
          </cell>
          <cell r="AB66">
            <v>5.3367082936758806E-2</v>
          </cell>
          <cell r="AC66">
            <v>6.2044159432283245E-2</v>
          </cell>
          <cell r="AD66">
            <v>6.7266025977112121E-2</v>
          </cell>
          <cell r="AE66">
            <v>6.5365525465617788E-2</v>
          </cell>
          <cell r="AF66">
            <v>6.6884257875890363E-2</v>
          </cell>
          <cell r="AG66">
            <v>6.5591632413151857E-2</v>
          </cell>
        </row>
        <row r="67">
          <cell r="A67" t="str">
            <v>Asphalt and Road Oil</v>
          </cell>
          <cell r="B67">
            <v>1</v>
          </cell>
          <cell r="C67">
            <v>1</v>
          </cell>
          <cell r="D67">
            <v>1</v>
          </cell>
          <cell r="E67">
            <v>1</v>
          </cell>
          <cell r="F67">
            <v>1</v>
          </cell>
          <cell r="G67">
            <v>1</v>
          </cell>
          <cell r="H67">
            <v>1</v>
          </cell>
          <cell r="I67">
            <v>1</v>
          </cell>
          <cell r="J67">
            <v>1</v>
          </cell>
          <cell r="K67">
            <v>1</v>
          </cell>
          <cell r="L67">
            <v>1</v>
          </cell>
          <cell r="M67">
            <v>1</v>
          </cell>
          <cell r="N67">
            <v>1</v>
          </cell>
          <cell r="O67">
            <v>1</v>
          </cell>
          <cell r="P67">
            <v>1</v>
          </cell>
          <cell r="Q67">
            <v>1</v>
          </cell>
          <cell r="R67">
            <v>1</v>
          </cell>
          <cell r="S67">
            <v>1</v>
          </cell>
          <cell r="T67">
            <v>1</v>
          </cell>
          <cell r="U67">
            <v>1</v>
          </cell>
          <cell r="V67">
            <v>1</v>
          </cell>
          <cell r="W67">
            <v>1</v>
          </cell>
          <cell r="X67">
            <v>1</v>
          </cell>
          <cell r="Y67">
            <v>1</v>
          </cell>
          <cell r="Z67">
            <v>1</v>
          </cell>
          <cell r="AA67">
            <v>1</v>
          </cell>
          <cell r="AB67">
            <v>1</v>
          </cell>
          <cell r="AC67">
            <v>1</v>
          </cell>
          <cell r="AD67">
            <v>1</v>
          </cell>
          <cell r="AE67">
            <v>1</v>
          </cell>
          <cell r="AF67">
            <v>1</v>
          </cell>
          <cell r="AG67">
            <v>1</v>
          </cell>
        </row>
        <row r="68">
          <cell r="A68" t="str">
            <v>Hydrocarbon Gas Liquids</v>
          </cell>
          <cell r="B68">
            <v>0.79641254191031563</v>
          </cell>
          <cell r="C68">
            <v>0.80541295821194947</v>
          </cell>
          <cell r="D68">
            <v>0.80691921003126788</v>
          </cell>
          <cell r="E68">
            <v>0.7968811929409152</v>
          </cell>
          <cell r="F68">
            <v>0.83111511719217357</v>
          </cell>
          <cell r="G68">
            <v>0.81219848394228022</v>
          </cell>
          <cell r="H68">
            <v>0.83383779485030296</v>
          </cell>
          <cell r="I68">
            <v>0.83662303561137041</v>
          </cell>
          <cell r="J68">
            <v>0.84705738985441614</v>
          </cell>
          <cell r="K68">
            <v>0.90169676384490294</v>
          </cell>
          <cell r="L68">
            <v>0.78843424293117492</v>
          </cell>
          <cell r="M68">
            <v>0.83625342782262746</v>
          </cell>
          <cell r="N68">
            <v>0.81810735305657312</v>
          </cell>
          <cell r="O68">
            <v>0.80905920315890556</v>
          </cell>
          <cell r="P68">
            <v>0.78169623272151934</v>
          </cell>
          <cell r="Q68">
            <v>0.82936326049414899</v>
          </cell>
          <cell r="R68">
            <v>0.83848953213474653</v>
          </cell>
          <cell r="S68">
            <v>0.81877501428141697</v>
          </cell>
          <cell r="T68">
            <v>0.89140108786567007</v>
          </cell>
          <cell r="U68">
            <v>0.89317250538852355</v>
          </cell>
          <cell r="V68">
            <v>0.89322364828483314</v>
          </cell>
          <cell r="W68">
            <v>0.88614338328653952</v>
          </cell>
          <cell r="X68">
            <v>0.82938635161363672</v>
          </cell>
          <cell r="Y68">
            <v>0.84401357047144787</v>
          </cell>
          <cell r="Z68">
            <v>0.90595488847502303</v>
          </cell>
          <cell r="AA68">
            <v>0.87855774319734059</v>
          </cell>
          <cell r="AB68">
            <v>0.85719740671739386</v>
          </cell>
          <cell r="AC68">
            <v>0.87631135002013949</v>
          </cell>
          <cell r="AD68">
            <v>0.8941870232249115</v>
          </cell>
          <cell r="AE68">
            <v>0.90835416526567581</v>
          </cell>
          <cell r="AF68">
            <v>0.91611820105258779</v>
          </cell>
          <cell r="AG68">
            <v>0.91203481472302939</v>
          </cell>
        </row>
        <row r="69">
          <cell r="A69" t="str">
            <v>Lubricants</v>
          </cell>
          <cell r="B69">
            <v>1</v>
          </cell>
          <cell r="C69">
            <v>1</v>
          </cell>
          <cell r="D69">
            <v>1</v>
          </cell>
          <cell r="E69">
            <v>1</v>
          </cell>
          <cell r="F69">
            <v>1</v>
          </cell>
          <cell r="G69">
            <v>1</v>
          </cell>
          <cell r="H69">
            <v>1</v>
          </cell>
          <cell r="I69">
            <v>1</v>
          </cell>
          <cell r="J69">
            <v>1</v>
          </cell>
          <cell r="K69">
            <v>1</v>
          </cell>
          <cell r="L69">
            <v>1</v>
          </cell>
          <cell r="M69">
            <v>1</v>
          </cell>
          <cell r="N69">
            <v>1</v>
          </cell>
          <cell r="O69">
            <v>1</v>
          </cell>
          <cell r="P69">
            <v>1</v>
          </cell>
          <cell r="Q69">
            <v>1</v>
          </cell>
          <cell r="R69">
            <v>1</v>
          </cell>
          <cell r="S69">
            <v>1</v>
          </cell>
          <cell r="T69">
            <v>1</v>
          </cell>
          <cell r="U69">
            <v>1</v>
          </cell>
          <cell r="V69">
            <v>1</v>
          </cell>
          <cell r="W69">
            <v>1</v>
          </cell>
          <cell r="X69">
            <v>1</v>
          </cell>
          <cell r="Y69">
            <v>1</v>
          </cell>
          <cell r="Z69">
            <v>1</v>
          </cell>
          <cell r="AA69">
            <v>1</v>
          </cell>
          <cell r="AB69">
            <v>1</v>
          </cell>
          <cell r="AC69">
            <v>1</v>
          </cell>
          <cell r="AD69">
            <v>1</v>
          </cell>
          <cell r="AE69">
            <v>1</v>
          </cell>
          <cell r="AF69">
            <v>1</v>
          </cell>
          <cell r="AG69">
            <v>1</v>
          </cell>
        </row>
        <row r="70">
          <cell r="A70" t="str">
            <v>Pentanes Plus</v>
          </cell>
          <cell r="B70">
            <v>0.46776082543250408</v>
          </cell>
          <cell r="C70">
            <v>0.46556522762754049</v>
          </cell>
          <cell r="D70">
            <v>0.4692921821566704</v>
          </cell>
          <cell r="E70">
            <v>0.46357201445598772</v>
          </cell>
          <cell r="F70">
            <v>0.47114573828163236</v>
          </cell>
          <cell r="G70">
            <v>0.47407349362034878</v>
          </cell>
          <cell r="H70">
            <v>0.47448221459122586</v>
          </cell>
          <cell r="I70">
            <v>0.4720367595305448</v>
          </cell>
          <cell r="J70">
            <v>0.48106655680163474</v>
          </cell>
          <cell r="K70">
            <v>0.48243993083342002</v>
          </cell>
          <cell r="L70">
            <v>0.48166279900363873</v>
          </cell>
          <cell r="M70">
            <v>0.4941451958200429</v>
          </cell>
          <cell r="N70">
            <v>0.48282572784807809</v>
          </cell>
          <cell r="O70">
            <v>0.46702444605106042</v>
          </cell>
          <cell r="P70">
            <v>0.45814037911988076</v>
          </cell>
          <cell r="Q70">
            <v>0.48416030337956412</v>
          </cell>
          <cell r="R70">
            <v>0.48940969416675889</v>
          </cell>
          <cell r="S70">
            <v>0.47996665936947519</v>
          </cell>
          <cell r="T70">
            <v>0.4874894773415902</v>
          </cell>
          <cell r="U70">
            <v>0.47604261866713721</v>
          </cell>
          <cell r="V70">
            <v>0.48147480925935554</v>
          </cell>
          <cell r="W70">
            <v>0.47950896270504806</v>
          </cell>
          <cell r="X70">
            <v>0.47389145270535771</v>
          </cell>
          <cell r="Y70">
            <v>0.47950218898756625</v>
          </cell>
          <cell r="Z70">
            <v>0.4895932377581908</v>
          </cell>
          <cell r="AA70">
            <v>0.48629392418411471</v>
          </cell>
          <cell r="AB70">
            <v>0.47173855666263559</v>
          </cell>
          <cell r="AC70">
            <v>0.47115859631948731</v>
          </cell>
          <cell r="AD70">
            <v>0.46876754352743721</v>
          </cell>
          <cell r="AE70">
            <v>0.46334534319390569</v>
          </cell>
          <cell r="AF70">
            <v>0.46204493815524944</v>
          </cell>
          <cell r="AG70">
            <v>0.46420327915335974</v>
          </cell>
        </row>
        <row r="71">
          <cell r="A71" t="str">
            <v>Feedstocks, Naphtha less than 401 F</v>
          </cell>
          <cell r="B71">
            <v>0.94018525810359199</v>
          </cell>
          <cell r="C71">
            <v>0.93585077544963591</v>
          </cell>
          <cell r="D71">
            <v>0.94320841615256457</v>
          </cell>
          <cell r="E71">
            <v>0.93191583439413228</v>
          </cell>
          <cell r="F71">
            <v>0.94686765049238886</v>
          </cell>
          <cell r="G71">
            <v>0.9526475363721616</v>
          </cell>
          <cell r="H71">
            <v>0.9534544209261423</v>
          </cell>
          <cell r="I71">
            <v>0.94862667764719444</v>
          </cell>
          <cell r="J71">
            <v>0.96645302982060577</v>
          </cell>
          <cell r="K71">
            <v>0.96916430321560565</v>
          </cell>
          <cell r="L71">
            <v>0.96763011310666258</v>
          </cell>
          <cell r="M71">
            <v>0.99227248268952839</v>
          </cell>
          <cell r="N71">
            <v>0.9699259319950343</v>
          </cell>
          <cell r="O71">
            <v>0.93873152024444784</v>
          </cell>
          <cell r="P71">
            <v>0.92119286449290683</v>
          </cell>
          <cell r="Q71">
            <v>0.97257143425664772</v>
          </cell>
          <cell r="R71">
            <v>0.98291389043748567</v>
          </cell>
          <cell r="S71">
            <v>0.96429360484464643</v>
          </cell>
          <cell r="T71">
            <v>0.97911954317129313</v>
          </cell>
          <cell r="U71">
            <v>0.95652774005893904</v>
          </cell>
          <cell r="V71">
            <v>0.96724571649507862</v>
          </cell>
          <cell r="W71">
            <v>0.9633683164775807</v>
          </cell>
          <cell r="X71">
            <v>0.95230310654702888</v>
          </cell>
          <cell r="Y71">
            <v>0.96335662580258052</v>
          </cell>
          <cell r="Z71">
            <v>0.98330882828690336</v>
          </cell>
          <cell r="AA71">
            <v>0.97677829579480668</v>
          </cell>
          <cell r="AB71">
            <v>0.94802995711204108</v>
          </cell>
          <cell r="AC71">
            <v>0.94690353248992509</v>
          </cell>
          <cell r="AD71">
            <v>0.94216867667876958</v>
          </cell>
          <cell r="AE71">
            <v>0.93146901894577872</v>
          </cell>
          <cell r="AF71">
            <v>0.92890245200679378</v>
          </cell>
          <cell r="AG71">
            <v>0.93316639694181025</v>
          </cell>
        </row>
        <row r="72">
          <cell r="A72" t="str">
            <v>Feedstocks, Other Oils greater than 401 F</v>
          </cell>
          <cell r="B72">
            <v>0.88018227116657832</v>
          </cell>
          <cell r="C72">
            <v>0.89916148466230028</v>
          </cell>
          <cell r="D72">
            <v>0.82723252623851296</v>
          </cell>
          <cell r="E72">
            <v>0.79139587911276654</v>
          </cell>
          <cell r="F72">
            <v>0.76639842786899537</v>
          </cell>
          <cell r="G72">
            <v>0.74948007782956216</v>
          </cell>
          <cell r="H72">
            <v>0.71826145741628544</v>
          </cell>
          <cell r="I72">
            <v>0.74614694884221711</v>
          </cell>
          <cell r="J72">
            <v>0.75384460772950634</v>
          </cell>
          <cell r="K72">
            <v>0.78732201519219502</v>
          </cell>
          <cell r="L72">
            <v>0.73911072047388615</v>
          </cell>
          <cell r="M72">
            <v>0.76482394654092356</v>
          </cell>
          <cell r="N72">
            <v>0.69065273834059482</v>
          </cell>
          <cell r="O72">
            <v>0.6905074096792283</v>
          </cell>
          <cell r="P72">
            <v>0.6786206819356797</v>
          </cell>
          <cell r="Q72">
            <v>0.70545630460173436</v>
          </cell>
          <cell r="R72">
            <v>0.72519540712035047</v>
          </cell>
          <cell r="S72">
            <v>0.8989464623384491</v>
          </cell>
          <cell r="T72">
            <v>0.92485787549141518</v>
          </cell>
          <cell r="U72">
            <v>0.92534794229359973</v>
          </cell>
          <cell r="V72">
            <v>0.95718640669901078</v>
          </cell>
          <cell r="W72">
            <v>0.94772287947174449</v>
          </cell>
          <cell r="X72">
            <v>0.93099224901970079</v>
          </cell>
          <cell r="Y72">
            <v>0.93404875958387912</v>
          </cell>
          <cell r="Z72">
            <v>0.9554392788304612</v>
          </cell>
          <cell r="AA72">
            <v>0.94711381439593945</v>
          </cell>
          <cell r="AB72">
            <v>0.91974063564608144</v>
          </cell>
          <cell r="AC72">
            <v>0.92370141568980701</v>
          </cell>
          <cell r="AD72">
            <v>0.91660716030161549</v>
          </cell>
          <cell r="AE72">
            <v>0.90612240538221767</v>
          </cell>
          <cell r="AF72">
            <v>0.90133408221862066</v>
          </cell>
          <cell r="AG72">
            <v>0.90523782212489334</v>
          </cell>
        </row>
        <row r="73">
          <cell r="A73" t="str">
            <v>Still Gas</v>
          </cell>
          <cell r="B73">
            <v>2.4929236157777975E-2</v>
          </cell>
          <cell r="C73">
            <v>2.8482623160427156E-2</v>
          </cell>
          <cell r="D73">
            <v>1.9725493448333076E-2</v>
          </cell>
          <cell r="E73">
            <v>3.1904851802907364E-2</v>
          </cell>
          <cell r="F73">
            <v>2.457263621243766E-2</v>
          </cell>
          <cell r="G73">
            <v>3.3795853404559595E-2</v>
          </cell>
          <cell r="H73">
            <v>1.5030373880550176E-3</v>
          </cell>
          <cell r="I73">
            <v>8.3712020697890317E-3</v>
          </cell>
          <cell r="J73">
            <v>4.3166248502330973E-3</v>
          </cell>
          <cell r="K73">
            <v>1.6019539078156342E-2</v>
          </cell>
          <cell r="L73">
            <v>1.172498083814977E-2</v>
          </cell>
          <cell r="M73">
            <v>3.3592164692020636E-2</v>
          </cell>
          <cell r="N73">
            <v>4.2243457335627503E-2</v>
          </cell>
          <cell r="O73">
            <v>3.841422216667767E-2</v>
          </cell>
          <cell r="P73">
            <v>4.0653656151407376E-2</v>
          </cell>
          <cell r="Q73">
            <v>4.5199868544450461E-2</v>
          </cell>
          <cell r="R73">
            <v>3.6829887250717334E-2</v>
          </cell>
          <cell r="S73">
            <v>2.8961473773558181E-2</v>
          </cell>
          <cell r="T73">
            <v>3.2193429912262816E-2</v>
          </cell>
          <cell r="U73">
            <v>9.200710919040167E-2</v>
          </cell>
          <cell r="V73">
            <v>0.10040052202871165</v>
          </cell>
          <cell r="W73">
            <v>0.11</v>
          </cell>
          <cell r="X73">
            <v>0.10846687219045004</v>
          </cell>
          <cell r="Y73">
            <v>0.10846687219045004</v>
          </cell>
          <cell r="Z73">
            <v>0.10846687219045005</v>
          </cell>
          <cell r="AA73">
            <v>0.10846687219045004</v>
          </cell>
          <cell r="AB73">
            <v>0.10351538621643076</v>
          </cell>
          <cell r="AC73">
            <v>0.10351538621643078</v>
          </cell>
          <cell r="AD73">
            <v>0.10351538621643076</v>
          </cell>
          <cell r="AE73">
            <v>0.10351538621643078</v>
          </cell>
          <cell r="AF73">
            <v>0.10351538621643076</v>
          </cell>
          <cell r="AG73">
            <v>0.10351538621643079</v>
          </cell>
        </row>
        <row r="74">
          <cell r="A74" t="str">
            <v>Petroleum Coke</v>
          </cell>
          <cell r="B74">
            <v>4.0767959316174704E-2</v>
          </cell>
          <cell r="C74">
            <v>1.8512680363790179E-2</v>
          </cell>
          <cell r="D74">
            <v>9.7534209095855223E-2</v>
          </cell>
          <cell r="E74">
            <v>3.1935940278212123E-2</v>
          </cell>
          <cell r="F74">
            <v>6.1060811323265962E-2</v>
          </cell>
          <cell r="G74">
            <v>4.9242051788628796E-2</v>
          </cell>
          <cell r="H74">
            <v>3.9189294436389709E-2</v>
          </cell>
          <cell r="I74">
            <v>0</v>
          </cell>
          <cell r="J74">
            <v>6.7417832504150885E-2</v>
          </cell>
          <cell r="K74">
            <v>0.13082365398814588</v>
          </cell>
          <cell r="L74">
            <v>1.0960632717295429E-2</v>
          </cell>
          <cell r="M74">
            <v>0.11247914017348237</v>
          </cell>
          <cell r="N74">
            <v>7.742448779482157E-2</v>
          </cell>
          <cell r="O74">
            <v>4.8167347685586143E-2</v>
          </cell>
          <cell r="P74">
            <v>0.14437954676073694</v>
          </cell>
          <cell r="Q74">
            <v>0.11661871722340156</v>
          </cell>
          <cell r="R74">
            <v>0.14258913292222333</v>
          </cell>
          <cell r="S74">
            <v>0.12715104200221258</v>
          </cell>
          <cell r="T74">
            <v>0.15895082732135288</v>
          </cell>
          <cell r="U74">
            <v>0.13483979761042428</v>
          </cell>
          <cell r="V74">
            <v>0</v>
          </cell>
          <cell r="W74">
            <v>0</v>
          </cell>
          <cell r="X74">
            <v>0</v>
          </cell>
          <cell r="Y74">
            <v>0</v>
          </cell>
          <cell r="Z74">
            <v>0</v>
          </cell>
          <cell r="AA74">
            <v>0</v>
          </cell>
          <cell r="AB74">
            <v>0</v>
          </cell>
          <cell r="AC74">
            <v>0</v>
          </cell>
          <cell r="AD74">
            <v>0</v>
          </cell>
          <cell r="AE74">
            <v>0</v>
          </cell>
          <cell r="AF74">
            <v>0</v>
          </cell>
          <cell r="AG74">
            <v>0</v>
          </cell>
        </row>
        <row r="75">
          <cell r="A75" t="str">
            <v>Special Naphthas</v>
          </cell>
          <cell r="B75">
            <v>0.94378170814204165</v>
          </cell>
          <cell r="C75">
            <v>0.93970784268400165</v>
          </cell>
          <cell r="D75">
            <v>0.94662309433115588</v>
          </cell>
          <cell r="E75">
            <v>0.93600949579344284</v>
          </cell>
          <cell r="F75">
            <v>0.95006231178108103</v>
          </cell>
          <cell r="G75">
            <v>0.95549467345301653</v>
          </cell>
          <cell r="H75">
            <v>0.95625304287689405</v>
          </cell>
          <cell r="I75">
            <v>0.95171557482025293</v>
          </cell>
          <cell r="J75">
            <v>0.96847009113971172</v>
          </cell>
          <cell r="K75">
            <v>0.97101834520207664</v>
          </cell>
          <cell r="L75">
            <v>0.96957640054803917</v>
          </cell>
          <cell r="M75">
            <v>0.99273711112471408</v>
          </cell>
          <cell r="N75">
            <v>0.97173417992194366</v>
          </cell>
          <cell r="O75">
            <v>0.94241537842700474</v>
          </cell>
          <cell r="P75">
            <v>0.92593126035550977</v>
          </cell>
          <cell r="Q75">
            <v>0.97422061743782984</v>
          </cell>
          <cell r="R75">
            <v>0.983941218106967</v>
          </cell>
          <cell r="S75">
            <v>0.96644050479201682</v>
          </cell>
          <cell r="T75">
            <v>0.98037501159569096</v>
          </cell>
          <cell r="U75">
            <v>0.9591415741402981</v>
          </cell>
          <cell r="V75">
            <v>0.96921511635263691</v>
          </cell>
          <cell r="W75">
            <v>0.9655708507598626</v>
          </cell>
          <cell r="X75">
            <v>0.95517095298177501</v>
          </cell>
          <cell r="Y75">
            <v>0.96555986300402952</v>
          </cell>
          <cell r="Z75">
            <v>0.98431240973264966</v>
          </cell>
          <cell r="AA75">
            <v>0.97817453518887232</v>
          </cell>
          <cell r="AB75">
            <v>0.9511547329919795</v>
          </cell>
          <cell r="AC75">
            <v>0.95009603632031647</v>
          </cell>
          <cell r="AD75">
            <v>0.94564587073475082</v>
          </cell>
          <cell r="AE75">
            <v>0.93558954578637443</v>
          </cell>
          <cell r="AF75">
            <v>0.93317729748981348</v>
          </cell>
          <cell r="AG75">
            <v>0.93718486641384502</v>
          </cell>
        </row>
        <row r="76">
          <cell r="A76" t="str">
            <v>Distillate Fuel</v>
          </cell>
          <cell r="B76">
            <v>6.3718343953068487E-3</v>
          </cell>
          <cell r="C76">
            <v>6.6956232516613787E-3</v>
          </cell>
          <cell r="D76">
            <v>6.7632195823004882E-3</v>
          </cell>
          <cell r="E76">
            <v>6.9449416980314821E-3</v>
          </cell>
          <cell r="F76">
            <v>6.9828339261791446E-3</v>
          </cell>
          <cell r="G76">
            <v>8.2761068039964858E-3</v>
          </cell>
          <cell r="H76">
            <v>8.780385461840819E-3</v>
          </cell>
          <cell r="I76">
            <v>9.8462570545350854E-3</v>
          </cell>
          <cell r="J76">
            <v>1.1247456271645454E-2</v>
          </cell>
          <cell r="K76">
            <v>1.1751883885863618E-2</v>
          </cell>
          <cell r="L76">
            <v>1.1515232578164713E-2</v>
          </cell>
          <cell r="M76">
            <v>9.7943941484905355E-3</v>
          </cell>
          <cell r="N76">
            <v>1.103050293625274E-2</v>
          </cell>
          <cell r="O76">
            <v>1.2325321948086247E-2</v>
          </cell>
          <cell r="P76">
            <v>1.2702515326902772E-2</v>
          </cell>
          <cell r="Q76">
            <v>1.4107787287168773E-2</v>
          </cell>
          <cell r="R76">
            <v>1.4572311933536945E-2</v>
          </cell>
          <cell r="S76">
            <v>1.244772004749922E-2</v>
          </cell>
          <cell r="T76">
            <v>1.0561794342864939E-2</v>
          </cell>
          <cell r="U76">
            <v>8.6222743958855787E-3</v>
          </cell>
          <cell r="V76">
            <v>5.2275079167231316E-3</v>
          </cell>
          <cell r="W76">
            <v>4.7234333492817224E-3</v>
          </cell>
          <cell r="X76">
            <v>5.1587876880787066E-3</v>
          </cell>
          <cell r="Y76">
            <v>5.0890001839019204E-3</v>
          </cell>
          <cell r="Z76">
            <v>4.5539128733938774E-3</v>
          </cell>
          <cell r="AA76">
            <v>5.6891670024481877E-3</v>
          </cell>
          <cell r="AB76">
            <v>6.1585113015710322E-3</v>
          </cell>
          <cell r="AC76">
            <v>6.3937636113848215E-3</v>
          </cell>
          <cell r="AD76">
            <v>5.4750059397215443E-3</v>
          </cell>
          <cell r="AE76">
            <v>5.6720939623009078E-3</v>
          </cell>
          <cell r="AF76">
            <v>6.6304543960779743E-3</v>
          </cell>
          <cell r="AG76">
            <v>7.2207361957087575E-3</v>
          </cell>
        </row>
        <row r="77">
          <cell r="A77" t="str">
            <v>Residual Fuel</v>
          </cell>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row>
        <row r="78">
          <cell r="A78" t="str">
            <v>Waxes</v>
          </cell>
          <cell r="B78">
            <v>1</v>
          </cell>
          <cell r="C78">
            <v>1</v>
          </cell>
          <cell r="D78">
            <v>1</v>
          </cell>
          <cell r="E78">
            <v>1</v>
          </cell>
          <cell r="F78">
            <v>1</v>
          </cell>
          <cell r="G78">
            <v>1</v>
          </cell>
          <cell r="H78">
            <v>1</v>
          </cell>
          <cell r="I78">
            <v>1</v>
          </cell>
          <cell r="J78">
            <v>1</v>
          </cell>
          <cell r="K78">
            <v>1</v>
          </cell>
          <cell r="L78">
            <v>1</v>
          </cell>
          <cell r="M78">
            <v>1</v>
          </cell>
          <cell r="N78">
            <v>1</v>
          </cell>
          <cell r="O78">
            <v>1</v>
          </cell>
          <cell r="P78">
            <v>1</v>
          </cell>
          <cell r="Q78">
            <v>1</v>
          </cell>
          <cell r="R78">
            <v>1</v>
          </cell>
          <cell r="S78">
            <v>1</v>
          </cell>
          <cell r="T78">
            <v>1</v>
          </cell>
          <cell r="U78">
            <v>1</v>
          </cell>
          <cell r="V78">
            <v>1</v>
          </cell>
          <cell r="W78">
            <v>1</v>
          </cell>
          <cell r="X78">
            <v>1</v>
          </cell>
          <cell r="Y78">
            <v>1</v>
          </cell>
          <cell r="Z78">
            <v>1</v>
          </cell>
          <cell r="AA78">
            <v>1</v>
          </cell>
          <cell r="AB78">
            <v>1</v>
          </cell>
          <cell r="AC78">
            <v>1</v>
          </cell>
          <cell r="AD78">
            <v>1</v>
          </cell>
          <cell r="AE78">
            <v>1</v>
          </cell>
          <cell r="AF78">
            <v>1</v>
          </cell>
          <cell r="AG78">
            <v>1</v>
          </cell>
        </row>
        <row r="79">
          <cell r="A79" t="str">
            <v>Misc. Petro Products</v>
          </cell>
          <cell r="B79">
            <v>1</v>
          </cell>
          <cell r="C79">
            <v>1</v>
          </cell>
          <cell r="D79">
            <v>1</v>
          </cell>
          <cell r="E79">
            <v>1</v>
          </cell>
          <cell r="F79">
            <v>1</v>
          </cell>
          <cell r="G79">
            <v>1</v>
          </cell>
          <cell r="H79">
            <v>1</v>
          </cell>
          <cell r="I79">
            <v>1</v>
          </cell>
          <cell r="J79">
            <v>1</v>
          </cell>
          <cell r="K79">
            <v>1</v>
          </cell>
          <cell r="L79">
            <v>1</v>
          </cell>
          <cell r="M79">
            <v>1</v>
          </cell>
          <cell r="N79">
            <v>1</v>
          </cell>
          <cell r="O79">
            <v>1</v>
          </cell>
          <cell r="P79">
            <v>1</v>
          </cell>
          <cell r="Q79">
            <v>1</v>
          </cell>
          <cell r="R79">
            <v>1</v>
          </cell>
          <cell r="S79">
            <v>1</v>
          </cell>
          <cell r="T79">
            <v>1</v>
          </cell>
          <cell r="U79">
            <v>1</v>
          </cell>
          <cell r="V79">
            <v>1</v>
          </cell>
          <cell r="W79">
            <v>1</v>
          </cell>
          <cell r="X79">
            <v>1</v>
          </cell>
          <cell r="Y79">
            <v>1</v>
          </cell>
          <cell r="Z79">
            <v>1</v>
          </cell>
          <cell r="AA79">
            <v>1</v>
          </cell>
          <cell r="AB79">
            <v>1</v>
          </cell>
          <cell r="AC79">
            <v>1</v>
          </cell>
          <cell r="AD79">
            <v>1</v>
          </cell>
          <cell r="AE79">
            <v>1</v>
          </cell>
          <cell r="AF79">
            <v>1</v>
          </cell>
          <cell r="AG79">
            <v>1</v>
          </cell>
        </row>
        <row r="80">
          <cell r="A80" t="str">
            <v>Other Coal</v>
          </cell>
          <cell r="B80">
            <v>4.5416472020804654E-3</v>
          </cell>
          <cell r="C80">
            <v>4.7922786272606484E-3</v>
          </cell>
          <cell r="D80">
            <v>5.5354460395050922E-3</v>
          </cell>
          <cell r="E80">
            <v>5.6985520682306902E-3</v>
          </cell>
          <cell r="F80">
            <v>6.1996842611087956E-3</v>
          </cell>
          <cell r="G80">
            <v>6.6813461782685973E-3</v>
          </cell>
          <cell r="H80">
            <v>7.1063325896762383E-3</v>
          </cell>
          <cell r="I80">
            <v>6.9265189441406081E-3</v>
          </cell>
          <cell r="J80">
            <v>6.407540055518593E-3</v>
          </cell>
          <cell r="K80">
            <v>7.292184793933643E-3</v>
          </cell>
          <cell r="L80">
            <v>8.3797254001046293E-3</v>
          </cell>
          <cell r="M80">
            <v>7.5488424333074915E-3</v>
          </cell>
          <cell r="N80">
            <v>8.790338587456651E-3</v>
          </cell>
          <cell r="O80">
            <v>8.6634158122588425E-3</v>
          </cell>
          <cell r="P80">
            <v>8.5923428374798574E-3</v>
          </cell>
          <cell r="Q80">
            <v>8.7798501039106653E-3</v>
          </cell>
          <cell r="R80">
            <v>8.9501402039970021E-3</v>
          </cell>
          <cell r="S80">
            <v>9.3347003899069154E-3</v>
          </cell>
          <cell r="T80">
            <v>9.7442271758052933E-3</v>
          </cell>
          <cell r="U80">
            <v>1.1846441126425833E-2</v>
          </cell>
          <cell r="V80">
            <v>9.528065570029786E-3</v>
          </cell>
          <cell r="W80">
            <v>1.0428613284787837E-2</v>
          </cell>
          <cell r="X80">
            <v>1.1447143153630093E-2</v>
          </cell>
          <cell r="Y80">
            <v>1.1259441078483439E-2</v>
          </cell>
          <cell r="Z80">
            <v>1.1301799953971648E-2</v>
          </cell>
          <cell r="AA80">
            <v>1.278030660029408E-2</v>
          </cell>
          <cell r="AB80">
            <v>1.4141087569417057E-2</v>
          </cell>
          <cell r="AC80">
            <v>1.5203640000668045E-2</v>
          </cell>
          <cell r="AD80">
            <v>1.6372927844407276E-2</v>
          </cell>
          <cell r="AE80">
            <v>1.7984822051974766E-2</v>
          </cell>
          <cell r="AF80">
            <v>2.0691581393693988E-2</v>
          </cell>
          <cell r="AG80">
            <v>2.0592321427076909E-2</v>
          </cell>
        </row>
        <row r="81">
          <cell r="A81" t="str">
            <v>Aviation Gasoline Blending Components</v>
          </cell>
          <cell r="B81">
            <v>0</v>
          </cell>
          <cell r="C81">
            <v>0</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row>
        <row r="82">
          <cell r="A82" t="str">
            <v>Crude Oil</v>
          </cell>
          <cell r="B82">
            <v>0</v>
          </cell>
          <cell r="C82">
            <v>0</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row>
        <row r="83">
          <cell r="A83" t="str">
            <v>Kerosene</v>
          </cell>
          <cell r="B83">
            <v>0</v>
          </cell>
          <cell r="C83">
            <v>0</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row>
        <row r="84">
          <cell r="A84" t="str">
            <v>Motor Gasoline</v>
          </cell>
          <cell r="B84">
            <v>0</v>
          </cell>
          <cell r="C84">
            <v>0</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row>
        <row r="85">
          <cell r="A85" t="str">
            <v>Motor Gasoline Blending Components</v>
          </cell>
          <cell r="B85">
            <v>0</v>
          </cell>
          <cell r="C85">
            <v>0</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row>
        <row r="86">
          <cell r="A86" t="str">
            <v>Unfinished Oils</v>
          </cell>
          <cell r="B86">
            <v>0</v>
          </cell>
          <cell r="C86">
            <v>0</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row>
        <row r="87">
          <cell r="A87" t="str">
            <v>Transportation</v>
          </cell>
          <cell r="B87">
            <v>1990</v>
          </cell>
          <cell r="C87">
            <v>1991</v>
          </cell>
          <cell r="D87">
            <v>1992</v>
          </cell>
          <cell r="E87">
            <v>1993</v>
          </cell>
          <cell r="F87">
            <v>1994</v>
          </cell>
          <cell r="G87">
            <v>1995</v>
          </cell>
          <cell r="H87">
            <v>1996</v>
          </cell>
          <cell r="I87">
            <v>1997</v>
          </cell>
          <cell r="J87">
            <v>1998</v>
          </cell>
          <cell r="K87">
            <v>1999</v>
          </cell>
          <cell r="L87">
            <v>2000</v>
          </cell>
          <cell r="M87">
            <v>2001</v>
          </cell>
          <cell r="N87">
            <v>2002</v>
          </cell>
          <cell r="O87">
            <v>2003</v>
          </cell>
          <cell r="P87">
            <v>2004</v>
          </cell>
          <cell r="Q87">
            <v>2005</v>
          </cell>
          <cell r="R87">
            <v>2006</v>
          </cell>
          <cell r="S87">
            <v>2007</v>
          </cell>
          <cell r="T87">
            <v>2008</v>
          </cell>
          <cell r="U87">
            <v>2009</v>
          </cell>
          <cell r="V87">
            <v>2010</v>
          </cell>
          <cell r="W87">
            <v>2011</v>
          </cell>
          <cell r="X87">
            <v>2012</v>
          </cell>
          <cell r="Y87">
            <v>2013</v>
          </cell>
          <cell r="Z87">
            <v>2014</v>
          </cell>
          <cell r="AA87">
            <v>2015</v>
          </cell>
          <cell r="AB87">
            <v>2016</v>
          </cell>
          <cell r="AC87">
            <v>2017</v>
          </cell>
          <cell r="AD87">
            <v>2018</v>
          </cell>
          <cell r="AE87">
            <v>2019</v>
          </cell>
          <cell r="AF87">
            <v>2020</v>
          </cell>
          <cell r="AG87">
            <v>2021</v>
          </cell>
          <cell r="AH87">
            <v>2022</v>
          </cell>
          <cell r="AI87">
            <v>2023</v>
          </cell>
          <cell r="AJ87">
            <v>2024</v>
          </cell>
          <cell r="AK87">
            <v>2025</v>
          </cell>
        </row>
        <row r="88">
          <cell r="A88" t="str">
            <v>Lubricants</v>
          </cell>
          <cell r="B88">
            <v>1</v>
          </cell>
          <cell r="C88">
            <v>1</v>
          </cell>
          <cell r="D88">
            <v>1</v>
          </cell>
          <cell r="E88">
            <v>1</v>
          </cell>
          <cell r="F88">
            <v>1</v>
          </cell>
          <cell r="G88">
            <v>1</v>
          </cell>
          <cell r="H88">
            <v>1</v>
          </cell>
          <cell r="I88">
            <v>1</v>
          </cell>
          <cell r="J88">
            <v>1</v>
          </cell>
          <cell r="K88">
            <v>1</v>
          </cell>
          <cell r="L88">
            <v>1</v>
          </cell>
          <cell r="M88">
            <v>1</v>
          </cell>
          <cell r="N88">
            <v>1</v>
          </cell>
          <cell r="O88">
            <v>1</v>
          </cell>
          <cell r="P88">
            <v>1</v>
          </cell>
          <cell r="Q88">
            <v>1</v>
          </cell>
          <cell r="R88">
            <v>1</v>
          </cell>
          <cell r="S88">
            <v>1</v>
          </cell>
          <cell r="T88">
            <v>1</v>
          </cell>
          <cell r="U88">
            <v>1</v>
          </cell>
          <cell r="V88">
            <v>1</v>
          </cell>
          <cell r="W88">
            <v>1</v>
          </cell>
          <cell r="X88">
            <v>1</v>
          </cell>
          <cell r="Y88">
            <v>1</v>
          </cell>
          <cell r="Z88">
            <v>1</v>
          </cell>
          <cell r="AA88">
            <v>1</v>
          </cell>
          <cell r="AB88">
            <v>1</v>
          </cell>
          <cell r="AC88">
            <v>1</v>
          </cell>
          <cell r="AD88">
            <v>1</v>
          </cell>
          <cell r="AE88">
            <v>1</v>
          </cell>
          <cell r="AF88">
            <v>1</v>
          </cell>
          <cell r="AG88">
            <v>1</v>
          </cell>
        </row>
      </sheetData>
      <sheetData sheetId="18"/>
      <sheetData sheetId="19">
        <row r="7">
          <cell r="A7" t="str">
            <v>State</v>
          </cell>
          <cell r="B7">
            <v>1990</v>
          </cell>
          <cell r="C7">
            <v>1991</v>
          </cell>
          <cell r="D7">
            <v>1992</v>
          </cell>
          <cell r="E7">
            <v>1993</v>
          </cell>
          <cell r="F7">
            <v>1994</v>
          </cell>
          <cell r="G7">
            <v>1995</v>
          </cell>
          <cell r="H7">
            <v>1996</v>
          </cell>
          <cell r="I7">
            <v>1997</v>
          </cell>
          <cell r="J7">
            <v>1998</v>
          </cell>
          <cell r="K7">
            <v>1999</v>
          </cell>
          <cell r="L7">
            <v>2000</v>
          </cell>
          <cell r="M7">
            <v>2001</v>
          </cell>
          <cell r="N7">
            <v>2002</v>
          </cell>
          <cell r="O7">
            <v>2003</v>
          </cell>
          <cell r="P7">
            <v>2004</v>
          </cell>
          <cell r="Q7">
            <v>2005</v>
          </cell>
          <cell r="R7">
            <v>2006</v>
          </cell>
          <cell r="S7">
            <v>2007</v>
          </cell>
          <cell r="T7">
            <v>2008</v>
          </cell>
          <cell r="U7">
            <v>2009</v>
          </cell>
          <cell r="V7">
            <v>2010</v>
          </cell>
          <cell r="W7">
            <v>2011</v>
          </cell>
          <cell r="X7">
            <v>2012</v>
          </cell>
          <cell r="Y7">
            <v>2013</v>
          </cell>
          <cell r="Z7">
            <v>2014</v>
          </cell>
          <cell r="AA7">
            <v>2015</v>
          </cell>
          <cell r="AB7">
            <v>2016</v>
          </cell>
          <cell r="AC7">
            <v>2017</v>
          </cell>
          <cell r="AD7">
            <v>2018</v>
          </cell>
          <cell r="AE7">
            <v>2019</v>
          </cell>
          <cell r="AF7">
            <v>2020</v>
          </cell>
          <cell r="AG7">
            <v>2021</v>
          </cell>
          <cell r="AH7">
            <v>2022</v>
          </cell>
          <cell r="AI7">
            <v>2023</v>
          </cell>
          <cell r="AJ7">
            <v>2024</v>
          </cell>
          <cell r="AK7">
            <v>2025</v>
          </cell>
        </row>
        <row r="8">
          <cell r="A8" t="str">
            <v>Alabama</v>
          </cell>
          <cell r="B8">
            <v>329.28</v>
          </cell>
          <cell r="C8">
            <v>340.964</v>
          </cell>
          <cell r="D8">
            <v>175.78800000000001</v>
          </cell>
          <cell r="E8">
            <v>422.3</v>
          </cell>
          <cell r="F8">
            <v>71.070000000000007</v>
          </cell>
          <cell r="G8">
            <v>0</v>
          </cell>
          <cell r="H8">
            <v>18.593999999999998</v>
          </cell>
          <cell r="I8">
            <v>21.860999999999997</v>
          </cell>
          <cell r="J8">
            <v>2.0779999999999998</v>
          </cell>
          <cell r="K8">
            <v>4.1399999999999997</v>
          </cell>
          <cell r="L8">
            <v>0</v>
          </cell>
          <cell r="M8">
            <v>0</v>
          </cell>
          <cell r="N8">
            <v>0</v>
          </cell>
          <cell r="O8">
            <v>22.637999999999998</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row>
        <row r="9">
          <cell r="A9" t="str">
            <v>Alaska</v>
          </cell>
          <cell r="B9">
            <v>0</v>
          </cell>
          <cell r="C9">
            <v>0</v>
          </cell>
          <cell r="D9">
            <v>0</v>
          </cell>
          <cell r="E9">
            <v>0</v>
          </cell>
          <cell r="F9">
            <v>0</v>
          </cell>
          <cell r="G9">
            <v>0</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row>
        <row r="10">
          <cell r="A10" t="str">
            <v>Arizona</v>
          </cell>
          <cell r="B10">
            <v>0</v>
          </cell>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row>
        <row r="11">
          <cell r="A11" t="str">
            <v>Arkansas</v>
          </cell>
          <cell r="B11">
            <v>0</v>
          </cell>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row>
        <row r="12">
          <cell r="A12" t="str">
            <v>California</v>
          </cell>
          <cell r="B12">
            <v>0</v>
          </cell>
          <cell r="C12">
            <v>0</v>
          </cell>
          <cell r="D12">
            <v>0</v>
          </cell>
          <cell r="E12">
            <v>0</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row>
        <row r="13">
          <cell r="A13" t="str">
            <v>Colorado</v>
          </cell>
          <cell r="B13">
            <v>15455.894999999999</v>
          </cell>
          <cell r="C13">
            <v>6974.561999999999</v>
          </cell>
          <cell r="D13">
            <v>7322.6339999999991</v>
          </cell>
          <cell r="E13">
            <v>8549.0159999999996</v>
          </cell>
          <cell r="F13">
            <v>8208.8399999999983</v>
          </cell>
          <cell r="G13">
            <v>7299.06</v>
          </cell>
          <cell r="H13">
            <v>6949.8879999999999</v>
          </cell>
          <cell r="I13">
            <v>6389.768</v>
          </cell>
          <cell r="J13">
            <v>5355.5039999999999</v>
          </cell>
          <cell r="K13">
            <v>4557.6819999999998</v>
          </cell>
          <cell r="L13">
            <v>4810.1760000000004</v>
          </cell>
          <cell r="M13">
            <v>5698.1249999999991</v>
          </cell>
          <cell r="N13">
            <v>5822.9389999999994</v>
          </cell>
          <cell r="O13">
            <v>5484.7259999999997</v>
          </cell>
          <cell r="P13">
            <v>5377.0039999999999</v>
          </cell>
          <cell r="Q13">
            <v>5438.2649999999994</v>
          </cell>
          <cell r="R13">
            <v>6345.768</v>
          </cell>
          <cell r="S13">
            <v>7075.0700000000006</v>
          </cell>
          <cell r="T13">
            <v>6383.16</v>
          </cell>
          <cell r="U13">
            <v>7670.012999999999</v>
          </cell>
          <cell r="V13">
            <v>5245.8119999999999</v>
          </cell>
          <cell r="W13">
            <v>4404.576</v>
          </cell>
          <cell r="X13">
            <v>4584.0679999999993</v>
          </cell>
          <cell r="Y13">
            <v>4227.8489999999993</v>
          </cell>
          <cell r="Z13">
            <v>4313.6399999999994</v>
          </cell>
          <cell r="AA13">
            <v>4273.92</v>
          </cell>
          <cell r="AB13">
            <v>4048.9669999999996</v>
          </cell>
          <cell r="AC13">
            <v>4475.13</v>
          </cell>
          <cell r="AD13">
            <v>5525.8280000000004</v>
          </cell>
          <cell r="AE13">
            <v>5865.3540000000003</v>
          </cell>
          <cell r="AF13">
            <v>5125.4430000000002</v>
          </cell>
          <cell r="AG13">
            <v>4190.0320000000002</v>
          </cell>
        </row>
        <row r="14">
          <cell r="A14" t="str">
            <v>Connecticut</v>
          </cell>
          <cell r="B14">
            <v>114.663</v>
          </cell>
          <cell r="C14">
            <v>150.52599999999998</v>
          </cell>
          <cell r="D14">
            <v>41.120000000000005</v>
          </cell>
          <cell r="E14">
            <v>96.537999999999997</v>
          </cell>
          <cell r="F14">
            <v>29.87</v>
          </cell>
          <cell r="G14">
            <v>69.903999999999996</v>
          </cell>
          <cell r="H14">
            <v>49.344000000000001</v>
          </cell>
          <cell r="I14">
            <v>37.998999999999995</v>
          </cell>
          <cell r="J14">
            <v>33.858000000000004</v>
          </cell>
          <cell r="K14">
            <v>31.744</v>
          </cell>
          <cell r="L14">
            <v>20.5</v>
          </cell>
          <cell r="M14">
            <v>6.1259999999999994</v>
          </cell>
          <cell r="N14">
            <v>6.1379999999999999</v>
          </cell>
          <cell r="O14">
            <v>58.196999999999996</v>
          </cell>
          <cell r="P14">
            <v>195.011</v>
          </cell>
          <cell r="Q14">
            <v>278.45999999999998</v>
          </cell>
          <cell r="R14">
            <v>92.728999999999985</v>
          </cell>
          <cell r="S14">
            <v>0</v>
          </cell>
          <cell r="T14">
            <v>0</v>
          </cell>
          <cell r="U14">
            <v>1.0189999999999999</v>
          </cell>
          <cell r="V14">
            <v>0</v>
          </cell>
          <cell r="W14">
            <v>0</v>
          </cell>
          <cell r="X14">
            <v>0</v>
          </cell>
          <cell r="Y14">
            <v>0</v>
          </cell>
          <cell r="Z14">
            <v>0</v>
          </cell>
          <cell r="AA14">
            <v>0</v>
          </cell>
          <cell r="AB14">
            <v>0</v>
          </cell>
          <cell r="AC14">
            <v>0</v>
          </cell>
          <cell r="AD14">
            <v>0</v>
          </cell>
          <cell r="AE14">
            <v>0</v>
          </cell>
          <cell r="AF14">
            <v>0</v>
          </cell>
          <cell r="AG14">
            <v>0</v>
          </cell>
        </row>
        <row r="15">
          <cell r="A15" t="str">
            <v>Delaware</v>
          </cell>
          <cell r="B15">
            <v>4524.66</v>
          </cell>
          <cell r="C15">
            <v>4406.9080000000004</v>
          </cell>
          <cell r="D15">
            <v>3793.2749999999996</v>
          </cell>
          <cell r="E15">
            <v>3722.8949999999995</v>
          </cell>
          <cell r="F15">
            <v>3141.152</v>
          </cell>
          <cell r="G15">
            <v>1.034</v>
          </cell>
          <cell r="H15">
            <v>1.0349999999999999</v>
          </cell>
          <cell r="I15">
            <v>2.0699999999999998</v>
          </cell>
          <cell r="J15">
            <v>0</v>
          </cell>
          <cell r="K15">
            <v>0</v>
          </cell>
          <cell r="L15">
            <v>6.2219999999999995</v>
          </cell>
          <cell r="M15">
            <v>0</v>
          </cell>
          <cell r="N15">
            <v>0</v>
          </cell>
          <cell r="O15">
            <v>7.2729999999999997</v>
          </cell>
          <cell r="P15">
            <v>17.594999999999999</v>
          </cell>
          <cell r="Q15">
            <v>0</v>
          </cell>
          <cell r="R15">
            <v>0</v>
          </cell>
          <cell r="S15">
            <v>5.1849999999999996</v>
          </cell>
          <cell r="T15">
            <v>2.0659999999999998</v>
          </cell>
          <cell r="U15">
            <v>2.06</v>
          </cell>
          <cell r="V15">
            <v>1.0229999999999999</v>
          </cell>
          <cell r="W15">
            <v>0</v>
          </cell>
          <cell r="X15">
            <v>0</v>
          </cell>
          <cell r="Y15">
            <v>0</v>
          </cell>
          <cell r="Z15">
            <v>6.3360000000000003</v>
          </cell>
          <cell r="AA15">
            <v>8.4</v>
          </cell>
          <cell r="AB15">
            <v>3.1379999999999999</v>
          </cell>
          <cell r="AC15">
            <v>2.0840000000000001</v>
          </cell>
          <cell r="AD15">
            <v>16.655999999999999</v>
          </cell>
          <cell r="AE15">
            <v>4.1639999999999997</v>
          </cell>
          <cell r="AF15">
            <v>0</v>
          </cell>
          <cell r="AG15">
            <v>0</v>
          </cell>
        </row>
        <row r="16">
          <cell r="A16" t="str">
            <v>District of Columbia</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row>
        <row r="17">
          <cell r="A17" t="str">
            <v>Florida</v>
          </cell>
          <cell r="B17">
            <v>0</v>
          </cell>
          <cell r="C17">
            <v>0</v>
          </cell>
          <cell r="D17">
            <v>0</v>
          </cell>
          <cell r="E17">
            <v>0</v>
          </cell>
          <cell r="F17">
            <v>0</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row>
        <row r="18">
          <cell r="A18" t="str">
            <v>Georgia</v>
          </cell>
          <cell r="B18">
            <v>214.64299999999997</v>
          </cell>
          <cell r="C18">
            <v>189.99499999999998</v>
          </cell>
          <cell r="D18">
            <v>170.14999999999998</v>
          </cell>
          <cell r="E18">
            <v>204.37299999999999</v>
          </cell>
          <cell r="F18">
            <v>126.69</v>
          </cell>
          <cell r="G18">
            <v>133.38</v>
          </cell>
          <cell r="H18">
            <v>96.161999999999992</v>
          </cell>
          <cell r="I18">
            <v>14.377999999999998</v>
          </cell>
          <cell r="J18">
            <v>16.431999999999999</v>
          </cell>
          <cell r="K18">
            <v>12.323999999999998</v>
          </cell>
          <cell r="L18">
            <v>74.314000000000007</v>
          </cell>
          <cell r="M18">
            <v>52.682999999999993</v>
          </cell>
          <cell r="N18">
            <v>7.1749999999999989</v>
          </cell>
          <cell r="O18">
            <v>14.405999999999999</v>
          </cell>
          <cell r="P18">
            <v>5.1449999999999996</v>
          </cell>
          <cell r="Q18">
            <v>0</v>
          </cell>
          <cell r="R18">
            <v>3.0960000000000001</v>
          </cell>
          <cell r="S18">
            <v>2.0640000000000001</v>
          </cell>
          <cell r="T18">
            <v>0</v>
          </cell>
          <cell r="U18">
            <v>53.403999999999996</v>
          </cell>
          <cell r="V18">
            <v>748.10400000000004</v>
          </cell>
          <cell r="W18">
            <v>713.61800000000005</v>
          </cell>
          <cell r="X18">
            <v>669.9</v>
          </cell>
          <cell r="Y18">
            <v>652.27200000000005</v>
          </cell>
          <cell r="Z18">
            <v>647.70000000000005</v>
          </cell>
          <cell r="AA18">
            <v>568.95799999999997</v>
          </cell>
          <cell r="AB18">
            <v>552.08000000000004</v>
          </cell>
          <cell r="AC18">
            <v>515</v>
          </cell>
          <cell r="AD18">
            <v>472.88</v>
          </cell>
          <cell r="AE18">
            <v>448.36200000000002</v>
          </cell>
          <cell r="AF18">
            <v>416.74499999999995</v>
          </cell>
          <cell r="AG18">
            <v>393.72399999999999</v>
          </cell>
        </row>
        <row r="19">
          <cell r="A19" t="str">
            <v>Hawaii</v>
          </cell>
          <cell r="B19">
            <v>3014.19</v>
          </cell>
          <cell r="C19">
            <v>2943</v>
          </cell>
          <cell r="D19">
            <v>2908.9029999999998</v>
          </cell>
          <cell r="E19">
            <v>2872.71</v>
          </cell>
          <cell r="F19">
            <v>2975.3809999999999</v>
          </cell>
          <cell r="G19">
            <v>2927.0640000000003</v>
          </cell>
          <cell r="H19">
            <v>2918.377</v>
          </cell>
          <cell r="I19">
            <v>2695.51</v>
          </cell>
          <cell r="J19">
            <v>2867.04</v>
          </cell>
          <cell r="K19">
            <v>2903.3599999999997</v>
          </cell>
          <cell r="L19">
            <v>2899.143</v>
          </cell>
          <cell r="M19">
            <v>2785.8040000000001</v>
          </cell>
          <cell r="N19">
            <v>2758.1200000000003</v>
          </cell>
          <cell r="O19">
            <v>2724.2939999999999</v>
          </cell>
          <cell r="P19">
            <v>2752.0480000000002</v>
          </cell>
          <cell r="Q19">
            <v>2702.4219999999996</v>
          </cell>
          <cell r="R19">
            <v>2735.8109999999997</v>
          </cell>
          <cell r="S19">
            <v>2782.2709999999997</v>
          </cell>
          <cell r="T19">
            <v>2669.0369999999998</v>
          </cell>
          <cell r="U19">
            <v>2544.88</v>
          </cell>
          <cell r="V19">
            <v>2570.88</v>
          </cell>
          <cell r="W19">
            <v>2585.4160000000002</v>
          </cell>
          <cell r="X19">
            <v>2625.46</v>
          </cell>
          <cell r="Y19">
            <v>2673.9479999999999</v>
          </cell>
          <cell r="Z19">
            <v>2629.578</v>
          </cell>
          <cell r="AA19">
            <v>2674.9679999999998</v>
          </cell>
          <cell r="AB19">
            <v>2820.375</v>
          </cell>
          <cell r="AC19">
            <v>2864.5499999999997</v>
          </cell>
          <cell r="AD19">
            <v>2965.846</v>
          </cell>
          <cell r="AE19">
            <v>2892.1759999999999</v>
          </cell>
          <cell r="AF19">
            <v>2099.16</v>
          </cell>
          <cell r="AG19">
            <v>2422.6020000000003</v>
          </cell>
        </row>
        <row r="20">
          <cell r="A20" t="str">
            <v>Idaho</v>
          </cell>
          <cell r="B20">
            <v>0</v>
          </cell>
          <cell r="C20">
            <v>0</v>
          </cell>
          <cell r="D20">
            <v>0</v>
          </cell>
          <cell r="E20">
            <v>0</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row>
        <row r="21">
          <cell r="A21" t="str">
            <v>Illinois</v>
          </cell>
          <cell r="B21">
            <v>8319.08</v>
          </cell>
          <cell r="C21">
            <v>6999.5109999999995</v>
          </cell>
          <cell r="D21">
            <v>8186.7560000000003</v>
          </cell>
          <cell r="E21">
            <v>9964.9599999999991</v>
          </cell>
          <cell r="F21">
            <v>8036.2909999999993</v>
          </cell>
          <cell r="G21">
            <v>6381.12</v>
          </cell>
          <cell r="H21">
            <v>3986.3279999999995</v>
          </cell>
          <cell r="I21">
            <v>4252.4649999999992</v>
          </cell>
          <cell r="J21">
            <v>2796.192</v>
          </cell>
          <cell r="K21">
            <v>2582.5940000000001</v>
          </cell>
          <cell r="L21">
            <v>1998.01</v>
          </cell>
          <cell r="M21">
            <v>778.26</v>
          </cell>
          <cell r="N21">
            <v>461.92799999999994</v>
          </cell>
          <cell r="O21">
            <v>52.779999999999994</v>
          </cell>
          <cell r="P21">
            <v>14.196</v>
          </cell>
          <cell r="Q21">
            <v>15.224999999999998</v>
          </cell>
          <cell r="R21">
            <v>13.208</v>
          </cell>
          <cell r="S21">
            <v>11.164999999999999</v>
          </cell>
          <cell r="T21">
            <v>15.21</v>
          </cell>
          <cell r="U21">
            <v>20.259999999999998</v>
          </cell>
          <cell r="V21">
            <v>17.135999999999999</v>
          </cell>
          <cell r="W21">
            <v>1.0109999999999999</v>
          </cell>
          <cell r="X21">
            <v>1.0109999999999999</v>
          </cell>
          <cell r="Y21">
            <v>0</v>
          </cell>
          <cell r="Z21">
            <v>64.448999999999998</v>
          </cell>
          <cell r="AA21">
            <v>1.0289999999999999</v>
          </cell>
          <cell r="AB21">
            <v>2.0619999999999998</v>
          </cell>
          <cell r="AC21">
            <v>2.0579999999999998</v>
          </cell>
          <cell r="AD21">
            <v>2.0579999999999998</v>
          </cell>
          <cell r="AE21">
            <v>5.1649999999999991</v>
          </cell>
          <cell r="AF21">
            <v>1289.82</v>
          </cell>
          <cell r="AG21">
            <v>1330.758</v>
          </cell>
        </row>
        <row r="22">
          <cell r="A22" t="str">
            <v>Indiana</v>
          </cell>
          <cell r="B22">
            <v>3069.27</v>
          </cell>
          <cell r="C22">
            <v>3120.078</v>
          </cell>
          <cell r="D22">
            <v>3545.5769999999998</v>
          </cell>
          <cell r="E22">
            <v>3274.0159999999996</v>
          </cell>
          <cell r="F22">
            <v>2488.9409999999998</v>
          </cell>
          <cell r="G22">
            <v>3237.3879999999999</v>
          </cell>
          <cell r="H22">
            <v>3229.1339999999996</v>
          </cell>
          <cell r="I22">
            <v>3619.3799999999997</v>
          </cell>
          <cell r="J22">
            <v>3202.5329999999999</v>
          </cell>
          <cell r="K22">
            <v>5539.9560000000001</v>
          </cell>
          <cell r="L22">
            <v>5722.5749999999998</v>
          </cell>
          <cell r="M22">
            <v>5344.2560000000003</v>
          </cell>
          <cell r="N22">
            <v>1761.9839999999999</v>
          </cell>
          <cell r="O22">
            <v>2582.712</v>
          </cell>
          <cell r="P22">
            <v>2183.4759999999997</v>
          </cell>
          <cell r="Q22">
            <v>2023.7840000000001</v>
          </cell>
          <cell r="R22">
            <v>1669.9139999999998</v>
          </cell>
          <cell r="S22">
            <v>648.97</v>
          </cell>
          <cell r="T22">
            <v>30.389999999999997</v>
          </cell>
          <cell r="U22">
            <v>1.0149999999999999</v>
          </cell>
          <cell r="V22">
            <v>1.012</v>
          </cell>
          <cell r="W22">
            <v>5.0600000000000005</v>
          </cell>
          <cell r="X22">
            <v>1.012</v>
          </cell>
          <cell r="Y22">
            <v>6.09</v>
          </cell>
          <cell r="Z22">
            <v>70.310999999999993</v>
          </cell>
          <cell r="AA22">
            <v>80.105999999999995</v>
          </cell>
          <cell r="AB22">
            <v>1.038</v>
          </cell>
          <cell r="AC22">
            <v>2.0859999999999999</v>
          </cell>
          <cell r="AD22">
            <v>34.550999999999995</v>
          </cell>
          <cell r="AE22">
            <v>30.508000000000003</v>
          </cell>
          <cell r="AF22">
            <v>2.1059999999999999</v>
          </cell>
          <cell r="AG22">
            <v>1.056</v>
          </cell>
        </row>
        <row r="23">
          <cell r="A23" t="str">
            <v>Iowa</v>
          </cell>
          <cell r="B23">
            <v>81.566999999999993</v>
          </cell>
          <cell r="C23">
            <v>46.368000000000002</v>
          </cell>
          <cell r="D23">
            <v>45.18</v>
          </cell>
          <cell r="E23">
            <v>84.251999999999995</v>
          </cell>
          <cell r="F23">
            <v>123.98399999999999</v>
          </cell>
          <cell r="G23">
            <v>96.47999999999999</v>
          </cell>
          <cell r="H23">
            <v>302.80599999999998</v>
          </cell>
          <cell r="I23">
            <v>138.23299999999998</v>
          </cell>
          <cell r="J23">
            <v>17.186999999999998</v>
          </cell>
          <cell r="K23">
            <v>12.227999999999998</v>
          </cell>
          <cell r="L23">
            <v>44.22</v>
          </cell>
          <cell r="M23">
            <v>39.155999999999999</v>
          </cell>
          <cell r="N23">
            <v>23.068999999999999</v>
          </cell>
          <cell r="O23">
            <v>143.42899999999997</v>
          </cell>
          <cell r="P23">
            <v>30.089999999999996</v>
          </cell>
          <cell r="Q23">
            <v>31.186</v>
          </cell>
          <cell r="R23">
            <v>46.552</v>
          </cell>
          <cell r="S23">
            <v>40.4</v>
          </cell>
          <cell r="T23">
            <v>27.27</v>
          </cell>
          <cell r="U23">
            <v>3.0209999999999999</v>
          </cell>
          <cell r="V23">
            <v>2.012</v>
          </cell>
          <cell r="W23">
            <v>1.0089999999999999</v>
          </cell>
          <cell r="X23">
            <v>0</v>
          </cell>
          <cell r="Y23">
            <v>0</v>
          </cell>
          <cell r="Z23">
            <v>1.04</v>
          </cell>
          <cell r="AA23">
            <v>0</v>
          </cell>
          <cell r="AB23">
            <v>2.1120000000000001</v>
          </cell>
          <cell r="AC23">
            <v>0</v>
          </cell>
          <cell r="AD23">
            <v>0</v>
          </cell>
          <cell r="AE23">
            <v>0</v>
          </cell>
          <cell r="AF23">
            <v>0</v>
          </cell>
          <cell r="AG23">
            <v>0</v>
          </cell>
        </row>
        <row r="24">
          <cell r="A24" t="str">
            <v>Kansas</v>
          </cell>
          <cell r="B24">
            <v>0</v>
          </cell>
          <cell r="C24">
            <v>0</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row>
        <row r="25">
          <cell r="A25" t="str">
            <v>Kentucky</v>
          </cell>
          <cell r="B25">
            <v>2.08</v>
          </cell>
          <cell r="C25">
            <v>2.0939999999999999</v>
          </cell>
          <cell r="D25">
            <v>5.29</v>
          </cell>
          <cell r="E25">
            <v>16.768000000000001</v>
          </cell>
          <cell r="F25">
            <v>53.1</v>
          </cell>
          <cell r="G25">
            <v>6.5760000000000005</v>
          </cell>
          <cell r="H25">
            <v>47.204999999999998</v>
          </cell>
          <cell r="I25">
            <v>25.200000000000003</v>
          </cell>
          <cell r="J25">
            <v>2.0680000000000001</v>
          </cell>
          <cell r="K25">
            <v>3.0960000000000001</v>
          </cell>
          <cell r="L25">
            <v>10.4</v>
          </cell>
          <cell r="M25">
            <v>2.0739999999999998</v>
          </cell>
          <cell r="N25">
            <v>1.036</v>
          </cell>
          <cell r="O25">
            <v>101.62599999999999</v>
          </cell>
          <cell r="P25">
            <v>0</v>
          </cell>
          <cell r="Q25">
            <v>15.434999999999999</v>
          </cell>
          <cell r="R25">
            <v>3.0869999999999997</v>
          </cell>
          <cell r="S25">
            <v>127.34799999999998</v>
          </cell>
          <cell r="T25">
            <v>15.524999999999999</v>
          </cell>
          <cell r="U25">
            <v>18.648</v>
          </cell>
          <cell r="V25">
            <v>5.15</v>
          </cell>
          <cell r="W25">
            <v>8.2159999999999993</v>
          </cell>
          <cell r="X25">
            <v>1.03</v>
          </cell>
          <cell r="Y25">
            <v>29.724999999999998</v>
          </cell>
          <cell r="Z25">
            <v>53.403999999999996</v>
          </cell>
          <cell r="AA25">
            <v>52.122</v>
          </cell>
          <cell r="AB25">
            <v>66.95</v>
          </cell>
          <cell r="AC25">
            <v>53.346000000000004</v>
          </cell>
          <cell r="AD25">
            <v>116.43899999999999</v>
          </cell>
          <cell r="AE25">
            <v>24.126999999999999</v>
          </cell>
          <cell r="AF25">
            <v>2.0979999999999999</v>
          </cell>
          <cell r="AG25">
            <v>150.91200000000001</v>
          </cell>
        </row>
        <row r="26">
          <cell r="A26" t="str">
            <v>Louisiana</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cell r="R26">
            <v>0</v>
          </cell>
          <cell r="S26">
            <v>0</v>
          </cell>
          <cell r="T26">
            <v>0</v>
          </cell>
          <cell r="U26">
            <v>0</v>
          </cell>
          <cell r="V26">
            <v>254.976</v>
          </cell>
          <cell r="W26">
            <v>443.26499999999999</v>
          </cell>
          <cell r="X26">
            <v>561.29499999999996</v>
          </cell>
          <cell r="Y26">
            <v>570.08000000000004</v>
          </cell>
          <cell r="Z26">
            <v>530.95899999999995</v>
          </cell>
          <cell r="AA26">
            <v>489.94999999999993</v>
          </cell>
          <cell r="AB26">
            <v>447.488</v>
          </cell>
          <cell r="AC26">
            <v>0</v>
          </cell>
          <cell r="AD26">
            <v>0</v>
          </cell>
          <cell r="AE26">
            <v>0</v>
          </cell>
          <cell r="AF26">
            <v>0</v>
          </cell>
          <cell r="AG26">
            <v>0</v>
          </cell>
        </row>
        <row r="27">
          <cell r="A27" t="str">
            <v>Maine</v>
          </cell>
          <cell r="B27">
            <v>0</v>
          </cell>
          <cell r="C27">
            <v>0</v>
          </cell>
          <cell r="D27">
            <v>0</v>
          </cell>
          <cell r="E27">
            <v>0</v>
          </cell>
          <cell r="F27">
            <v>0</v>
          </cell>
          <cell r="G27">
            <v>97.536000000000001</v>
          </cell>
          <cell r="H27">
            <v>61.975999999999999</v>
          </cell>
          <cell r="I27">
            <v>31.434000000000001</v>
          </cell>
          <cell r="J27">
            <v>24.407999999999998</v>
          </cell>
          <cell r="K27">
            <v>43.774000000000001</v>
          </cell>
          <cell r="L27">
            <v>6.4379999999999997</v>
          </cell>
          <cell r="M27">
            <v>0</v>
          </cell>
          <cell r="N27">
            <v>5.1949999999999994</v>
          </cell>
          <cell r="O27">
            <v>6.2279999999999998</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row>
        <row r="28">
          <cell r="A28" t="str">
            <v>Maryland</v>
          </cell>
          <cell r="B28">
            <v>24.672000000000001</v>
          </cell>
          <cell r="C28">
            <v>73.943999999999988</v>
          </cell>
          <cell r="D28">
            <v>129.52799999999999</v>
          </cell>
          <cell r="E28">
            <v>429.70400000000001</v>
          </cell>
          <cell r="F28">
            <v>1017.5969999999999</v>
          </cell>
          <cell r="G28">
            <v>624.83400000000006</v>
          </cell>
          <cell r="H28">
            <v>907.57799999999997</v>
          </cell>
          <cell r="I28">
            <v>184.05199999999999</v>
          </cell>
          <cell r="J28">
            <v>82.96</v>
          </cell>
          <cell r="K28">
            <v>514.93200000000002</v>
          </cell>
          <cell r="L28">
            <v>329.846</v>
          </cell>
          <cell r="M28">
            <v>192.88199999999998</v>
          </cell>
          <cell r="N28">
            <v>49.775999999999996</v>
          </cell>
          <cell r="O28">
            <v>166.08</v>
          </cell>
          <cell r="P28">
            <v>128.58799999999999</v>
          </cell>
          <cell r="Q28">
            <v>400.33600000000001</v>
          </cell>
          <cell r="R28">
            <v>42.558</v>
          </cell>
          <cell r="S28">
            <v>254.31</v>
          </cell>
          <cell r="T28">
            <v>187.33499999999998</v>
          </cell>
          <cell r="U28">
            <v>176.29</v>
          </cell>
          <cell r="V28">
            <v>118.10499999999999</v>
          </cell>
          <cell r="W28">
            <v>91.402999999999992</v>
          </cell>
          <cell r="X28">
            <v>120.29199999999999</v>
          </cell>
          <cell r="Y28">
            <v>111.815</v>
          </cell>
          <cell r="Z28">
            <v>851.87699999999995</v>
          </cell>
          <cell r="AA28">
            <v>862.9899999999999</v>
          </cell>
          <cell r="AB28">
            <v>685.25199999999995</v>
          </cell>
          <cell r="AC28">
            <v>634.48199999999997</v>
          </cell>
          <cell r="AD28">
            <v>439.72399999999999</v>
          </cell>
          <cell r="AE28">
            <v>105.444</v>
          </cell>
          <cell r="AF28">
            <v>131.04</v>
          </cell>
          <cell r="AG28">
            <v>161.04499999999999</v>
          </cell>
        </row>
        <row r="29">
          <cell r="A29" t="str">
            <v>Massachusetts</v>
          </cell>
          <cell r="B29">
            <v>329.04599999999999</v>
          </cell>
          <cell r="C29">
            <v>124.67999999999999</v>
          </cell>
          <cell r="D29">
            <v>108.88499999999999</v>
          </cell>
          <cell r="E29">
            <v>63.318000000000005</v>
          </cell>
          <cell r="F29">
            <v>158.00399999999999</v>
          </cell>
          <cell r="G29">
            <v>430.92</v>
          </cell>
          <cell r="H29">
            <v>437.50199999999995</v>
          </cell>
          <cell r="I29">
            <v>150.23400000000001</v>
          </cell>
          <cell r="J29">
            <v>69.563999999999993</v>
          </cell>
          <cell r="K29">
            <v>140.43200000000002</v>
          </cell>
          <cell r="L29">
            <v>27.092000000000002</v>
          </cell>
          <cell r="M29">
            <v>16.687999999999999</v>
          </cell>
          <cell r="N29">
            <v>140.97299999999998</v>
          </cell>
          <cell r="O29">
            <v>333.072</v>
          </cell>
          <cell r="P29">
            <v>82.4</v>
          </cell>
          <cell r="Q29">
            <v>47.012</v>
          </cell>
          <cell r="R29">
            <v>52.02</v>
          </cell>
          <cell r="S29">
            <v>15.374999999999998</v>
          </cell>
          <cell r="T29">
            <v>13.273</v>
          </cell>
          <cell r="U29">
            <v>10.32</v>
          </cell>
          <cell r="V29">
            <v>0</v>
          </cell>
          <cell r="W29">
            <v>0</v>
          </cell>
          <cell r="X29">
            <v>0</v>
          </cell>
          <cell r="Y29">
            <v>3.1020000000000003</v>
          </cell>
          <cell r="Z29">
            <v>110.80800000000001</v>
          </cell>
          <cell r="AA29">
            <v>92.609999999999985</v>
          </cell>
          <cell r="AB29">
            <v>58.71</v>
          </cell>
          <cell r="AC29">
            <v>56.65</v>
          </cell>
          <cell r="AD29">
            <v>79.387</v>
          </cell>
          <cell r="AE29">
            <v>36.084999999999994</v>
          </cell>
          <cell r="AF29">
            <v>10.3</v>
          </cell>
          <cell r="AG29">
            <v>15.450000000000001</v>
          </cell>
        </row>
        <row r="30">
          <cell r="A30" t="str">
            <v>Michigan</v>
          </cell>
          <cell r="B30">
            <v>19526.332000000002</v>
          </cell>
          <cell r="C30">
            <v>15316.32</v>
          </cell>
          <cell r="D30">
            <v>14987.880000000001</v>
          </cell>
          <cell r="E30">
            <v>13063.695</v>
          </cell>
          <cell r="F30">
            <v>13975.447999999999</v>
          </cell>
          <cell r="G30">
            <v>21741.425999999999</v>
          </cell>
          <cell r="H30">
            <v>22110.175999999999</v>
          </cell>
          <cell r="I30">
            <v>22593.808000000001</v>
          </cell>
          <cell r="J30">
            <v>22406.34</v>
          </cell>
          <cell r="K30">
            <v>21272.128000000001</v>
          </cell>
          <cell r="L30">
            <v>12696.306</v>
          </cell>
          <cell r="M30">
            <v>4155.3499999999995</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row>
        <row r="31">
          <cell r="A31" t="str">
            <v>Minnesota</v>
          </cell>
          <cell r="B31">
            <v>56.224000000000004</v>
          </cell>
          <cell r="C31">
            <v>49.588000000000001</v>
          </cell>
          <cell r="D31">
            <v>52.571999999999996</v>
          </cell>
          <cell r="E31">
            <v>78.85799999999999</v>
          </cell>
          <cell r="F31">
            <v>292.17899999999997</v>
          </cell>
          <cell r="G31">
            <v>196.52199999999999</v>
          </cell>
          <cell r="H31">
            <v>721.76200000000006</v>
          </cell>
          <cell r="I31">
            <v>175.096</v>
          </cell>
          <cell r="J31">
            <v>51</v>
          </cell>
          <cell r="K31">
            <v>65.215999999999994</v>
          </cell>
          <cell r="L31">
            <v>102.51499999999999</v>
          </cell>
          <cell r="M31">
            <v>119.416</v>
          </cell>
          <cell r="N31">
            <v>13.090999999999999</v>
          </cell>
          <cell r="O31">
            <v>42.335999999999999</v>
          </cell>
          <cell r="P31">
            <v>71.496999999999986</v>
          </cell>
          <cell r="Q31">
            <v>155.84800000000001</v>
          </cell>
          <cell r="R31">
            <v>13.208</v>
          </cell>
          <cell r="S31">
            <v>55.025999999999996</v>
          </cell>
          <cell r="T31">
            <v>47.057999999999993</v>
          </cell>
          <cell r="U31">
            <v>48.363</v>
          </cell>
          <cell r="V31">
            <v>12.120000000000001</v>
          </cell>
          <cell r="W31">
            <v>20.2</v>
          </cell>
          <cell r="X31">
            <v>9.1709999999999994</v>
          </cell>
          <cell r="Y31">
            <v>22.505999999999997</v>
          </cell>
          <cell r="Z31">
            <v>68.177999999999997</v>
          </cell>
          <cell r="AA31">
            <v>10.4</v>
          </cell>
          <cell r="AB31">
            <v>60.145999999999994</v>
          </cell>
          <cell r="AC31">
            <v>10.329999999999998</v>
          </cell>
          <cell r="AD31">
            <v>15.734999999999999</v>
          </cell>
          <cell r="AE31">
            <v>121.44000000000001</v>
          </cell>
          <cell r="AF31">
            <v>12.696000000000002</v>
          </cell>
          <cell r="AG31">
            <v>30.682000000000002</v>
          </cell>
        </row>
        <row r="32">
          <cell r="A32" t="str">
            <v>Mississippi</v>
          </cell>
          <cell r="B32">
            <v>0</v>
          </cell>
          <cell r="C32">
            <v>0</v>
          </cell>
          <cell r="D32">
            <v>0</v>
          </cell>
          <cell r="E32">
            <v>0</v>
          </cell>
          <cell r="F32">
            <v>0</v>
          </cell>
          <cell r="G32">
            <v>0</v>
          </cell>
          <cell r="H32">
            <v>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row>
        <row r="33">
          <cell r="A33" t="str">
            <v>Missouri</v>
          </cell>
          <cell r="B33">
            <v>0</v>
          </cell>
          <cell r="C33">
            <v>0</v>
          </cell>
          <cell r="D33">
            <v>0</v>
          </cell>
          <cell r="E33">
            <v>0</v>
          </cell>
          <cell r="F33">
            <v>373.226</v>
          </cell>
          <cell r="G33">
            <v>4.0279999999999996</v>
          </cell>
          <cell r="H33">
            <v>793.63499999999988</v>
          </cell>
          <cell r="I33">
            <v>726.19</v>
          </cell>
          <cell r="J33">
            <v>40.44</v>
          </cell>
          <cell r="K33">
            <v>209.69099999999997</v>
          </cell>
          <cell r="L33">
            <v>986.57999999999993</v>
          </cell>
          <cell r="M33">
            <v>31.526999999999997</v>
          </cell>
          <cell r="N33">
            <v>62.744</v>
          </cell>
          <cell r="O33">
            <v>1070.7840000000001</v>
          </cell>
          <cell r="P33">
            <v>935.34</v>
          </cell>
          <cell r="Q33">
            <v>15.3</v>
          </cell>
          <cell r="R33">
            <v>79.637999999999991</v>
          </cell>
          <cell r="S33">
            <v>67.320000000000007</v>
          </cell>
          <cell r="T33">
            <v>6.048</v>
          </cell>
          <cell r="U33">
            <v>10.069999999999999</v>
          </cell>
          <cell r="V33">
            <v>18.125999999999998</v>
          </cell>
          <cell r="W33">
            <v>0</v>
          </cell>
          <cell r="X33">
            <v>0</v>
          </cell>
          <cell r="Y33">
            <v>0</v>
          </cell>
          <cell r="Z33">
            <v>174.57999999999998</v>
          </cell>
          <cell r="AA33">
            <v>0</v>
          </cell>
          <cell r="AB33">
            <v>0</v>
          </cell>
          <cell r="AC33">
            <v>0</v>
          </cell>
          <cell r="AD33">
            <v>0</v>
          </cell>
          <cell r="AE33">
            <v>0</v>
          </cell>
          <cell r="AF33">
            <v>0</v>
          </cell>
          <cell r="AG33">
            <v>19.417999999999999</v>
          </cell>
        </row>
        <row r="34">
          <cell r="A34" t="str">
            <v>Montana</v>
          </cell>
          <cell r="B34">
            <v>0</v>
          </cell>
          <cell r="C34">
            <v>0</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row>
        <row r="35">
          <cell r="A35" t="str">
            <v>Nebraska</v>
          </cell>
          <cell r="B35">
            <v>2320.8629999999998</v>
          </cell>
          <cell r="C35">
            <v>1999.4880000000001</v>
          </cell>
          <cell r="D35">
            <v>1406.8229999999999</v>
          </cell>
          <cell r="E35">
            <v>771.22500000000002</v>
          </cell>
          <cell r="F35">
            <v>876.65</v>
          </cell>
          <cell r="G35">
            <v>14.7</v>
          </cell>
          <cell r="H35">
            <v>317.20499999999998</v>
          </cell>
          <cell r="I35">
            <v>133.732</v>
          </cell>
          <cell r="J35">
            <v>11.032999999999999</v>
          </cell>
          <cell r="K35">
            <v>3.996</v>
          </cell>
          <cell r="L35">
            <v>340.69499999999994</v>
          </cell>
          <cell r="M35">
            <v>6.1019999999999994</v>
          </cell>
          <cell r="N35">
            <v>1.0069999999999999</v>
          </cell>
          <cell r="O35">
            <v>13.090999999999999</v>
          </cell>
          <cell r="P35">
            <v>39.350999999999999</v>
          </cell>
          <cell r="Q35">
            <v>16.143999999999998</v>
          </cell>
          <cell r="R35">
            <v>19.228000000000002</v>
          </cell>
          <cell r="S35">
            <v>33.594000000000001</v>
          </cell>
          <cell r="T35">
            <v>28.307999999999996</v>
          </cell>
          <cell r="U35">
            <v>18.216000000000001</v>
          </cell>
          <cell r="V35">
            <v>12.048</v>
          </cell>
          <cell r="W35">
            <v>9.0989999999999984</v>
          </cell>
          <cell r="X35">
            <v>4.0759999999999996</v>
          </cell>
          <cell r="Y35">
            <v>2.0720000000000001</v>
          </cell>
          <cell r="Z35">
            <v>391.79200000000003</v>
          </cell>
          <cell r="AA35">
            <v>30.652999999999999</v>
          </cell>
          <cell r="AB35">
            <v>72.012</v>
          </cell>
          <cell r="AC35">
            <v>816.96999999999991</v>
          </cell>
          <cell r="AD35">
            <v>659.32</v>
          </cell>
          <cell r="AE35">
            <v>172.27</v>
          </cell>
          <cell r="AF35">
            <v>57.617999999999995</v>
          </cell>
          <cell r="AG35">
            <v>389.05799999999999</v>
          </cell>
        </row>
        <row r="36">
          <cell r="A36" t="str">
            <v>Nevada</v>
          </cell>
          <cell r="B36">
            <v>128.875</v>
          </cell>
          <cell r="C36">
            <v>0</v>
          </cell>
          <cell r="D36">
            <v>30.929999999999996</v>
          </cell>
          <cell r="E36">
            <v>39.292000000000002</v>
          </cell>
          <cell r="F36">
            <v>9.3149999999999995</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row>
        <row r="37">
          <cell r="A37" t="str">
            <v>New Hampshire</v>
          </cell>
          <cell r="B37">
            <v>207.87</v>
          </cell>
          <cell r="C37">
            <v>128.89599999999999</v>
          </cell>
          <cell r="D37">
            <v>96.86399999999999</v>
          </cell>
          <cell r="E37">
            <v>155.54</v>
          </cell>
          <cell r="F37">
            <v>162.07999999999998</v>
          </cell>
          <cell r="G37">
            <v>90.99</v>
          </cell>
          <cell r="H37">
            <v>149.79299999999998</v>
          </cell>
          <cell r="I37">
            <v>103.12199999999999</v>
          </cell>
          <cell r="J37">
            <v>104.133</v>
          </cell>
          <cell r="K37">
            <v>111.999</v>
          </cell>
          <cell r="L37">
            <v>190.44</v>
          </cell>
          <cell r="M37">
            <v>91.332000000000008</v>
          </cell>
          <cell r="N37">
            <v>69.3</v>
          </cell>
          <cell r="O37">
            <v>60.493999999999993</v>
          </cell>
          <cell r="P37">
            <v>95.094999999999999</v>
          </cell>
          <cell r="Q37">
            <v>87.024000000000001</v>
          </cell>
          <cell r="R37">
            <v>95.22</v>
          </cell>
          <cell r="S37">
            <v>9.3960000000000008</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row>
        <row r="38">
          <cell r="A38" t="str">
            <v>New Jersey</v>
          </cell>
          <cell r="B38">
            <v>10221.012000000001</v>
          </cell>
          <cell r="C38">
            <v>15173.514000000001</v>
          </cell>
          <cell r="D38">
            <v>14735.412</v>
          </cell>
          <cell r="E38">
            <v>15488.2</v>
          </cell>
          <cell r="F38">
            <v>8038.7429999999995</v>
          </cell>
          <cell r="G38">
            <v>7538.8940000000002</v>
          </cell>
          <cell r="H38">
            <v>7022.0079999999998</v>
          </cell>
          <cell r="I38">
            <v>6690.24</v>
          </cell>
          <cell r="J38">
            <v>9427.116</v>
          </cell>
          <cell r="K38">
            <v>5985.6789999999992</v>
          </cell>
          <cell r="L38">
            <v>8586.3599999999988</v>
          </cell>
          <cell r="M38">
            <v>12786.21</v>
          </cell>
          <cell r="N38">
            <v>3656.4619999999995</v>
          </cell>
          <cell r="O38">
            <v>490.97399999999999</v>
          </cell>
          <cell r="P38">
            <v>550.66999999999996</v>
          </cell>
          <cell r="Q38">
            <v>451.96499999999997</v>
          </cell>
          <cell r="R38">
            <v>181.3</v>
          </cell>
          <cell r="S38">
            <v>392.26499999999999</v>
          </cell>
          <cell r="T38">
            <v>505.13699999999994</v>
          </cell>
          <cell r="U38">
            <v>467.16599999999994</v>
          </cell>
          <cell r="V38">
            <v>468.88200000000001</v>
          </cell>
          <cell r="W38">
            <v>402.19200000000001</v>
          </cell>
          <cell r="X38">
            <v>143.03099999999998</v>
          </cell>
          <cell r="Y38">
            <v>266.22000000000003</v>
          </cell>
          <cell r="Z38">
            <v>552.26</v>
          </cell>
          <cell r="AA38">
            <v>483.83499999999998</v>
          </cell>
          <cell r="AB38">
            <v>311.25899999999996</v>
          </cell>
          <cell r="AC38">
            <v>0</v>
          </cell>
          <cell r="AD38">
            <v>0</v>
          </cell>
          <cell r="AE38">
            <v>0</v>
          </cell>
          <cell r="AF38">
            <v>0</v>
          </cell>
          <cell r="AG38">
            <v>0</v>
          </cell>
        </row>
        <row r="39">
          <cell r="A39" t="str">
            <v>New Mexico</v>
          </cell>
          <cell r="B39">
            <v>0</v>
          </cell>
          <cell r="C39">
            <v>0</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row>
        <row r="40">
          <cell r="A40" t="str">
            <v>New York</v>
          </cell>
          <cell r="B40">
            <v>396.55</v>
          </cell>
          <cell r="C40">
            <v>696.98400000000004</v>
          </cell>
          <cell r="D40">
            <v>1224.51</v>
          </cell>
          <cell r="E40">
            <v>1685.502</v>
          </cell>
          <cell r="F40">
            <v>1500.88</v>
          </cell>
          <cell r="G40">
            <v>1531.72</v>
          </cell>
          <cell r="H40">
            <v>1291.7339999999999</v>
          </cell>
          <cell r="I40">
            <v>903.90600000000006</v>
          </cell>
          <cell r="J40">
            <v>718.572</v>
          </cell>
          <cell r="K40">
            <v>471.39299999999997</v>
          </cell>
          <cell r="L40">
            <v>882.024</v>
          </cell>
          <cell r="M40">
            <v>998.12999999999988</v>
          </cell>
          <cell r="N40">
            <v>1.0229999999999999</v>
          </cell>
          <cell r="O40">
            <v>18.485999999999997</v>
          </cell>
          <cell r="P40">
            <v>8.2080000000000002</v>
          </cell>
          <cell r="Q40">
            <v>14.349999999999998</v>
          </cell>
          <cell r="R40">
            <v>4.0839999999999996</v>
          </cell>
          <cell r="S40">
            <v>13.298999999999999</v>
          </cell>
          <cell r="T40">
            <v>7.1469999999999994</v>
          </cell>
          <cell r="U40">
            <v>6.1259999999999994</v>
          </cell>
          <cell r="V40">
            <v>2.044</v>
          </cell>
          <cell r="W40">
            <v>0</v>
          </cell>
          <cell r="X40">
            <v>0</v>
          </cell>
          <cell r="Y40">
            <v>0</v>
          </cell>
          <cell r="Z40">
            <v>0</v>
          </cell>
          <cell r="AA40">
            <v>0</v>
          </cell>
          <cell r="AB40">
            <v>0</v>
          </cell>
          <cell r="AC40">
            <v>0</v>
          </cell>
          <cell r="AD40">
            <v>0</v>
          </cell>
          <cell r="AE40">
            <v>0</v>
          </cell>
          <cell r="AF40">
            <v>0</v>
          </cell>
          <cell r="AG40">
            <v>0</v>
          </cell>
        </row>
        <row r="41">
          <cell r="A41" t="str">
            <v>North Carolina</v>
          </cell>
          <cell r="B41">
            <v>0</v>
          </cell>
          <cell r="C41">
            <v>0</v>
          </cell>
          <cell r="D41">
            <v>2.0680000000000001</v>
          </cell>
          <cell r="E41">
            <v>4.1399999999999997</v>
          </cell>
          <cell r="F41">
            <v>3.1080000000000001</v>
          </cell>
          <cell r="G41">
            <v>0</v>
          </cell>
          <cell r="H41">
            <v>0</v>
          </cell>
          <cell r="I41">
            <v>0</v>
          </cell>
          <cell r="J41">
            <v>0</v>
          </cell>
          <cell r="K41">
            <v>21.734999999999999</v>
          </cell>
          <cell r="L41">
            <v>2.06</v>
          </cell>
          <cell r="M41">
            <v>0</v>
          </cell>
          <cell r="N41">
            <v>1.0329999999999999</v>
          </cell>
          <cell r="O41">
            <v>1.04</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row>
        <row r="42">
          <cell r="A42" t="str">
            <v>North Dakota</v>
          </cell>
          <cell r="B42">
            <v>54844.608</v>
          </cell>
          <cell r="C42">
            <v>54974.622000000003</v>
          </cell>
          <cell r="D42">
            <v>61128.319999999992</v>
          </cell>
          <cell r="E42">
            <v>61140.800000000003</v>
          </cell>
          <cell r="F42">
            <v>60440.366000000002</v>
          </cell>
          <cell r="G42">
            <v>60262.65</v>
          </cell>
          <cell r="H42">
            <v>58716.216999999997</v>
          </cell>
          <cell r="I42">
            <v>55837.950000000004</v>
          </cell>
          <cell r="J42">
            <v>56749.536</v>
          </cell>
          <cell r="K42">
            <v>55578.324999999997</v>
          </cell>
          <cell r="L42">
            <v>50911.649999999994</v>
          </cell>
          <cell r="M42">
            <v>52483.115999999995</v>
          </cell>
          <cell r="N42">
            <v>53343.551999999996</v>
          </cell>
          <cell r="O42">
            <v>53670.727999999996</v>
          </cell>
          <cell r="P42">
            <v>48356.601999999999</v>
          </cell>
          <cell r="Q42">
            <v>53176.844000000005</v>
          </cell>
          <cell r="R42">
            <v>56752.884000000005</v>
          </cell>
          <cell r="S42">
            <v>53453.738000000005</v>
          </cell>
          <cell r="T42">
            <v>52658.512000000002</v>
          </cell>
          <cell r="U42">
            <v>56437.224999999999</v>
          </cell>
          <cell r="V42">
            <v>57827.714999999997</v>
          </cell>
          <cell r="W42">
            <v>55048.118999999999</v>
          </cell>
          <cell r="X42">
            <v>55956.164999999994</v>
          </cell>
          <cell r="Y42">
            <v>48891.784</v>
          </cell>
          <cell r="Z42">
            <v>52555.884000000005</v>
          </cell>
          <cell r="AA42">
            <v>52780.686000000002</v>
          </cell>
          <cell r="AB42">
            <v>52040.315999999999</v>
          </cell>
          <cell r="AC42">
            <v>60595.560000000005</v>
          </cell>
          <cell r="AD42">
            <v>63523.44</v>
          </cell>
          <cell r="AE42">
            <v>55835.794000000002</v>
          </cell>
          <cell r="AF42">
            <v>55977.115999999995</v>
          </cell>
          <cell r="AG42">
            <v>55351.750999999997</v>
          </cell>
        </row>
        <row r="43">
          <cell r="A43" t="str">
            <v>Ohio</v>
          </cell>
          <cell r="B43">
            <v>882.96</v>
          </cell>
          <cell r="C43">
            <v>930.20400000000006</v>
          </cell>
          <cell r="D43">
            <v>1088.836</v>
          </cell>
          <cell r="E43">
            <v>1029.6960000000001</v>
          </cell>
          <cell r="F43">
            <v>1484.9839999999999</v>
          </cell>
          <cell r="G43">
            <v>938.35199999999998</v>
          </cell>
          <cell r="H43">
            <v>1897.4640000000002</v>
          </cell>
          <cell r="I43">
            <v>1487.0349999999999</v>
          </cell>
          <cell r="J43">
            <v>1241.76</v>
          </cell>
          <cell r="K43">
            <v>1244.3999999999999</v>
          </cell>
          <cell r="L43">
            <v>1502.5640000000001</v>
          </cell>
          <cell r="M43">
            <v>1197.258</v>
          </cell>
          <cell r="N43">
            <v>82.00200000000001</v>
          </cell>
          <cell r="O43">
            <v>1038.0720000000001</v>
          </cell>
          <cell r="P43">
            <v>514.14</v>
          </cell>
          <cell r="Q43">
            <v>603.89699999999993</v>
          </cell>
          <cell r="R43">
            <v>439.49699999999996</v>
          </cell>
          <cell r="S43">
            <v>630.49599999999998</v>
          </cell>
          <cell r="T43">
            <v>478.40000000000003</v>
          </cell>
          <cell r="U43">
            <v>543.40199999999993</v>
          </cell>
          <cell r="V43">
            <v>365.00200000000001</v>
          </cell>
          <cell r="W43">
            <v>305.17599999999999</v>
          </cell>
          <cell r="X43">
            <v>377.71199999999999</v>
          </cell>
          <cell r="Y43">
            <v>431.39199999999994</v>
          </cell>
          <cell r="Z43">
            <v>677.53699999999992</v>
          </cell>
          <cell r="AA43">
            <v>498.75600000000003</v>
          </cell>
          <cell r="AB43">
            <v>252.756</v>
          </cell>
          <cell r="AC43">
            <v>411.95000000000005</v>
          </cell>
          <cell r="AD43">
            <v>412.83199999999999</v>
          </cell>
          <cell r="AE43">
            <v>407.89499999999998</v>
          </cell>
          <cell r="AF43">
            <v>358.84800000000001</v>
          </cell>
          <cell r="AG43">
            <v>2816.2400000000002</v>
          </cell>
        </row>
        <row r="44">
          <cell r="A44" t="str">
            <v>Oklahoma</v>
          </cell>
          <cell r="B44">
            <v>0</v>
          </cell>
          <cell r="C44">
            <v>0</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row>
        <row r="45">
          <cell r="A45" t="str">
            <v>Oregon</v>
          </cell>
          <cell r="B45">
            <v>3.069</v>
          </cell>
          <cell r="C45">
            <v>4.1159999999999997</v>
          </cell>
          <cell r="D45">
            <v>2.0699999999999998</v>
          </cell>
          <cell r="E45">
            <v>3.1109999999999998</v>
          </cell>
          <cell r="F45">
            <v>2.08</v>
          </cell>
          <cell r="G45">
            <v>2.08</v>
          </cell>
          <cell r="H45">
            <v>2.08</v>
          </cell>
          <cell r="I45">
            <v>2.0920000000000001</v>
          </cell>
          <cell r="J45">
            <v>2.0859999999999999</v>
          </cell>
          <cell r="K45">
            <v>3.1529999999999996</v>
          </cell>
          <cell r="L45">
            <v>2.0539999999999998</v>
          </cell>
          <cell r="M45">
            <v>2.052</v>
          </cell>
          <cell r="N45">
            <v>5.1149999999999993</v>
          </cell>
          <cell r="O45">
            <v>5.0600000000000005</v>
          </cell>
          <cell r="P45">
            <v>2.0259999999999998</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row>
        <row r="46">
          <cell r="A46" t="str">
            <v>Pennsylvania</v>
          </cell>
          <cell r="B46">
            <v>228.14</v>
          </cell>
          <cell r="C46">
            <v>229.76999999999998</v>
          </cell>
          <cell r="D46">
            <v>136.75200000000001</v>
          </cell>
          <cell r="E46">
            <v>114.07</v>
          </cell>
          <cell r="F46">
            <v>261.072</v>
          </cell>
          <cell r="G46">
            <v>77.625</v>
          </cell>
          <cell r="H46">
            <v>275.04399999999998</v>
          </cell>
          <cell r="I46">
            <v>139.72499999999999</v>
          </cell>
          <cell r="J46">
            <v>82.88</v>
          </cell>
          <cell r="K46">
            <v>123.28400000000001</v>
          </cell>
          <cell r="L46">
            <v>270.13499999999999</v>
          </cell>
          <cell r="M46">
            <v>112.77800000000001</v>
          </cell>
          <cell r="N46">
            <v>106.81099999999999</v>
          </cell>
          <cell r="O46">
            <v>131.04</v>
          </cell>
          <cell r="P46">
            <v>136.10899999999998</v>
          </cell>
          <cell r="Q46">
            <v>137.28</v>
          </cell>
          <cell r="R46">
            <v>128.71200000000002</v>
          </cell>
          <cell r="S46">
            <v>150.36499999999998</v>
          </cell>
          <cell r="T46">
            <v>127.67400000000001</v>
          </cell>
          <cell r="U46">
            <v>212.58499999999998</v>
          </cell>
          <cell r="V46">
            <v>4.1360000000000001</v>
          </cell>
          <cell r="W46">
            <v>2.0720000000000001</v>
          </cell>
          <cell r="X46">
            <v>2.08</v>
          </cell>
          <cell r="Y46">
            <v>3.1440000000000001</v>
          </cell>
          <cell r="Z46">
            <v>20.96</v>
          </cell>
          <cell r="AA46">
            <v>29.288</v>
          </cell>
          <cell r="AB46">
            <v>0</v>
          </cell>
          <cell r="AC46">
            <v>15.600000000000001</v>
          </cell>
          <cell r="AD46">
            <v>42.558</v>
          </cell>
          <cell r="AE46">
            <v>6.2279999999999998</v>
          </cell>
          <cell r="AF46">
            <v>1.038</v>
          </cell>
          <cell r="AG46">
            <v>0</v>
          </cell>
        </row>
        <row r="47">
          <cell r="A47" t="str">
            <v>Rhode Island</v>
          </cell>
          <cell r="B47">
            <v>52.428000000000004</v>
          </cell>
          <cell r="C47">
            <v>94.576000000000008</v>
          </cell>
          <cell r="D47">
            <v>157.79</v>
          </cell>
          <cell r="E47">
            <v>129.654</v>
          </cell>
          <cell r="F47">
            <v>0</v>
          </cell>
          <cell r="G47">
            <v>27.702000000000002</v>
          </cell>
          <cell r="H47">
            <v>44.52</v>
          </cell>
          <cell r="I47">
            <v>18.432000000000002</v>
          </cell>
          <cell r="J47">
            <v>1.0249999999999999</v>
          </cell>
          <cell r="K47">
            <v>1.0229999999999999</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row>
        <row r="48">
          <cell r="A48" t="str">
            <v>South Carolina</v>
          </cell>
          <cell r="B48">
            <v>17.475999999999999</v>
          </cell>
          <cell r="C48">
            <v>48.268999999999998</v>
          </cell>
          <cell r="D48">
            <v>26.701999999999998</v>
          </cell>
          <cell r="E48">
            <v>34.985999999999997</v>
          </cell>
          <cell r="F48">
            <v>158.774</v>
          </cell>
          <cell r="G48">
            <v>63.673999999999992</v>
          </cell>
          <cell r="H48">
            <v>183.34</v>
          </cell>
          <cell r="I48">
            <v>10.309999999999999</v>
          </cell>
          <cell r="J48">
            <v>0</v>
          </cell>
          <cell r="K48">
            <v>18.558</v>
          </cell>
          <cell r="L48">
            <v>64.826999999999998</v>
          </cell>
          <cell r="M48">
            <v>6.2279999999999998</v>
          </cell>
          <cell r="N48">
            <v>3.0960000000000001</v>
          </cell>
          <cell r="O48">
            <v>15.540000000000001</v>
          </cell>
          <cell r="P48">
            <v>2.0699999999999998</v>
          </cell>
          <cell r="Q48">
            <v>89.181999999999988</v>
          </cell>
          <cell r="R48">
            <v>78.074999999999989</v>
          </cell>
          <cell r="S48">
            <v>0</v>
          </cell>
          <cell r="T48">
            <v>0</v>
          </cell>
          <cell r="U48">
            <v>0</v>
          </cell>
          <cell r="V48">
            <v>0</v>
          </cell>
          <cell r="W48">
            <v>0</v>
          </cell>
          <cell r="X48">
            <v>0</v>
          </cell>
          <cell r="Y48">
            <v>0</v>
          </cell>
          <cell r="Z48">
            <v>17.408000000000001</v>
          </cell>
          <cell r="AA48">
            <v>9.27</v>
          </cell>
          <cell r="AB48">
            <v>0</v>
          </cell>
          <cell r="AC48">
            <v>0</v>
          </cell>
          <cell r="AD48">
            <v>0</v>
          </cell>
          <cell r="AE48">
            <v>0</v>
          </cell>
          <cell r="AF48">
            <v>0</v>
          </cell>
          <cell r="AG48">
            <v>0</v>
          </cell>
        </row>
        <row r="49">
          <cell r="A49" t="str">
            <v>South Dakota</v>
          </cell>
          <cell r="B49">
            <v>10.16</v>
          </cell>
          <cell r="C49">
            <v>3.0540000000000003</v>
          </cell>
          <cell r="D49">
            <v>10.149999999999999</v>
          </cell>
          <cell r="E49">
            <v>9.1169999999999991</v>
          </cell>
          <cell r="F49">
            <v>61.61</v>
          </cell>
          <cell r="G49">
            <v>37.518000000000001</v>
          </cell>
          <cell r="H49">
            <v>88.218000000000004</v>
          </cell>
          <cell r="I49">
            <v>30.54</v>
          </cell>
          <cell r="J49">
            <v>4.04</v>
          </cell>
          <cell r="K49">
            <v>5.03</v>
          </cell>
          <cell r="L49">
            <v>13.064999999999998</v>
          </cell>
          <cell r="M49">
            <v>4.9950000000000001</v>
          </cell>
          <cell r="N49">
            <v>2.9969999999999999</v>
          </cell>
          <cell r="O49">
            <v>57.056999999999995</v>
          </cell>
          <cell r="P49">
            <v>5.01</v>
          </cell>
          <cell r="Q49">
            <v>4.0279999999999996</v>
          </cell>
          <cell r="R49">
            <v>0</v>
          </cell>
          <cell r="S49">
            <v>1.0029999999999999</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row>
        <row r="50">
          <cell r="A50" t="str">
            <v>Tennessee</v>
          </cell>
          <cell r="B50">
            <v>3.1049999999999995</v>
          </cell>
          <cell r="C50">
            <v>8.2639999999999993</v>
          </cell>
          <cell r="D50">
            <v>12.372</v>
          </cell>
          <cell r="E50">
            <v>13.454999999999998</v>
          </cell>
          <cell r="F50">
            <v>86.688000000000002</v>
          </cell>
          <cell r="G50">
            <v>34.022999999999996</v>
          </cell>
          <cell r="H50">
            <v>75.335999999999999</v>
          </cell>
          <cell r="I50">
            <v>19.588999999999999</v>
          </cell>
          <cell r="J50">
            <v>4.12</v>
          </cell>
          <cell r="K50">
            <v>11.296999999999999</v>
          </cell>
          <cell r="L50">
            <v>13.480999999999998</v>
          </cell>
          <cell r="M50">
            <v>0</v>
          </cell>
          <cell r="N50">
            <v>1.032</v>
          </cell>
          <cell r="O50">
            <v>1.0329999999999999</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row>
        <row r="51">
          <cell r="A51" t="str">
            <v>Texas</v>
          </cell>
          <cell r="B51">
            <v>1289.6000000000001</v>
          </cell>
          <cell r="C51">
            <v>1115.8119999999999</v>
          </cell>
          <cell r="D51">
            <v>1.0429999999999999</v>
          </cell>
          <cell r="E51">
            <v>3.0840000000000001</v>
          </cell>
          <cell r="F51">
            <v>1.0369999999999999</v>
          </cell>
          <cell r="G51">
            <v>1.0369999999999999</v>
          </cell>
          <cell r="H51">
            <v>0</v>
          </cell>
          <cell r="I51">
            <v>0</v>
          </cell>
          <cell r="J51">
            <v>0</v>
          </cell>
          <cell r="K51">
            <v>17.544</v>
          </cell>
          <cell r="L51">
            <v>0</v>
          </cell>
          <cell r="M51">
            <v>1544.13</v>
          </cell>
          <cell r="N51">
            <v>2.056</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83.024999999999991</v>
          </cell>
          <cell r="AF51">
            <v>1633.1559999999999</v>
          </cell>
          <cell r="AG51">
            <v>2625.518</v>
          </cell>
        </row>
        <row r="52">
          <cell r="A52" t="str">
            <v>Utah</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row>
        <row r="53">
          <cell r="A53" t="str">
            <v>Vermont</v>
          </cell>
          <cell r="B53">
            <v>0</v>
          </cell>
          <cell r="C53">
            <v>5.9279999999999999</v>
          </cell>
          <cell r="D53">
            <v>2.9849999999999999</v>
          </cell>
          <cell r="E53">
            <v>3.992</v>
          </cell>
          <cell r="F53">
            <v>8.9640000000000004</v>
          </cell>
          <cell r="G53">
            <v>3.984</v>
          </cell>
          <cell r="H53">
            <v>5.0749999999999993</v>
          </cell>
          <cell r="I53">
            <v>6.0720000000000001</v>
          </cell>
          <cell r="J53">
            <v>0</v>
          </cell>
          <cell r="K53">
            <v>1.012</v>
          </cell>
          <cell r="L53">
            <v>7.0839999999999996</v>
          </cell>
          <cell r="M53">
            <v>105.248</v>
          </cell>
          <cell r="N53">
            <v>2.008</v>
          </cell>
          <cell r="O53">
            <v>10.06</v>
          </cell>
          <cell r="P53">
            <v>12.048</v>
          </cell>
          <cell r="Q53">
            <v>9.0359999999999996</v>
          </cell>
          <cell r="R53">
            <v>2.0019999999999998</v>
          </cell>
          <cell r="S53">
            <v>2.0019999999999998</v>
          </cell>
          <cell r="T53">
            <v>1.0049999999999999</v>
          </cell>
          <cell r="U53">
            <v>2.0099999999999998</v>
          </cell>
          <cell r="V53">
            <v>1.0069999999999999</v>
          </cell>
          <cell r="W53">
            <v>2.016</v>
          </cell>
          <cell r="X53">
            <v>3.036</v>
          </cell>
          <cell r="Y53">
            <v>3.0449999999999999</v>
          </cell>
          <cell r="Z53">
            <v>5.0849999999999991</v>
          </cell>
          <cell r="AA53">
            <v>3.0749999999999997</v>
          </cell>
          <cell r="AB53">
            <v>1.024</v>
          </cell>
          <cell r="AC53">
            <v>2.06</v>
          </cell>
          <cell r="AD53">
            <v>1.034</v>
          </cell>
          <cell r="AE53">
            <v>3.1080000000000001</v>
          </cell>
          <cell r="AF53">
            <v>2.0819999999999999</v>
          </cell>
          <cell r="AG53">
            <v>1.04</v>
          </cell>
        </row>
        <row r="54">
          <cell r="A54" t="str">
            <v>Virginia</v>
          </cell>
          <cell r="B54">
            <v>61.478000000000002</v>
          </cell>
          <cell r="C54">
            <v>250.08</v>
          </cell>
          <cell r="D54">
            <v>254.55499999999998</v>
          </cell>
          <cell r="E54">
            <v>561.67200000000003</v>
          </cell>
          <cell r="F54">
            <v>1240.4100000000001</v>
          </cell>
          <cell r="G54">
            <v>458.79499999999996</v>
          </cell>
          <cell r="H54">
            <v>743.92399999999998</v>
          </cell>
          <cell r="I54">
            <v>365.40000000000003</v>
          </cell>
          <cell r="J54">
            <v>154.36399999999998</v>
          </cell>
          <cell r="K54">
            <v>185.80199999999999</v>
          </cell>
          <cell r="L54">
            <v>510.25499999999994</v>
          </cell>
          <cell r="M54">
            <v>247.84299999999999</v>
          </cell>
          <cell r="N54">
            <v>128.21600000000001</v>
          </cell>
          <cell r="O54">
            <v>381.24799999999999</v>
          </cell>
          <cell r="P54">
            <v>149.35</v>
          </cell>
          <cell r="Q54">
            <v>199.68</v>
          </cell>
          <cell r="R54">
            <v>40.326000000000001</v>
          </cell>
          <cell r="S54">
            <v>92.114999999999995</v>
          </cell>
          <cell r="T54">
            <v>92.382000000000005</v>
          </cell>
          <cell r="U54">
            <v>255.892</v>
          </cell>
          <cell r="V54">
            <v>163.452</v>
          </cell>
          <cell r="W54">
            <v>91.402999999999992</v>
          </cell>
          <cell r="X54">
            <v>49.632000000000005</v>
          </cell>
          <cell r="Y54">
            <v>134.68</v>
          </cell>
          <cell r="Z54">
            <v>314.846</v>
          </cell>
          <cell r="AA54">
            <v>189.36</v>
          </cell>
          <cell r="AB54">
            <v>37.908000000000001</v>
          </cell>
          <cell r="AC54">
            <v>51.596999999999994</v>
          </cell>
          <cell r="AD54">
            <v>134.65600000000001</v>
          </cell>
          <cell r="AE54">
            <v>159.75199999999998</v>
          </cell>
          <cell r="AF54">
            <v>25.175999999999998</v>
          </cell>
          <cell r="AG54">
            <v>90.385999999999996</v>
          </cell>
        </row>
        <row r="55">
          <cell r="A55" t="str">
            <v>Washington</v>
          </cell>
          <cell r="B55">
            <v>186.43</v>
          </cell>
          <cell r="C55">
            <v>158.774</v>
          </cell>
          <cell r="D55">
            <v>185.94</v>
          </cell>
          <cell r="E55">
            <v>4.1479999999999997</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row>
        <row r="56">
          <cell r="A56" t="str">
            <v>West Virginia</v>
          </cell>
          <cell r="B56">
            <v>0</v>
          </cell>
          <cell r="C56">
            <v>0</v>
          </cell>
          <cell r="D56">
            <v>0</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row>
        <row r="57">
          <cell r="A57" t="str">
            <v>Wisconsin</v>
          </cell>
          <cell r="B57">
            <v>1.006</v>
          </cell>
          <cell r="C57">
            <v>1.0069999999999999</v>
          </cell>
          <cell r="D57">
            <v>1.0089999999999999</v>
          </cell>
          <cell r="E57">
            <v>3.0329999999999995</v>
          </cell>
          <cell r="F57">
            <v>5.0600000000000005</v>
          </cell>
          <cell r="G57">
            <v>2.0219999999999998</v>
          </cell>
          <cell r="H57">
            <v>21.272999999999996</v>
          </cell>
          <cell r="I57">
            <v>5.0549999999999997</v>
          </cell>
          <cell r="J57">
            <v>21.230999999999998</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row>
        <row r="58">
          <cell r="A58" t="str">
            <v>Wyoming</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row>
        <row r="59">
          <cell r="A59" t="str">
            <v xml:space="preserve">United States </v>
          </cell>
          <cell r="B59">
            <v>126490.18000000001</v>
          </cell>
          <cell r="C59">
            <v>115984.18000000001</v>
          </cell>
          <cell r="D59">
            <v>121456.57</v>
          </cell>
          <cell r="E59">
            <v>122330.97200000001</v>
          </cell>
          <cell r="F59">
            <v>114039.95399999998</v>
          </cell>
          <cell r="G59">
            <v>113378.12000000001</v>
          </cell>
          <cell r="H59">
            <v>112629.19499999999</v>
          </cell>
          <cell r="I59">
            <v>106557.04899999998</v>
          </cell>
          <cell r="J59">
            <v>105765.61499999999</v>
          </cell>
          <cell r="K59">
            <v>100999.97200000001</v>
          </cell>
          <cell r="L59">
            <v>92249.999999999985</v>
          </cell>
          <cell r="M59">
            <v>88642.423999999999</v>
          </cell>
          <cell r="N59">
            <v>69611.520000000004</v>
          </cell>
          <cell r="O59">
            <v>69601.767999999996</v>
          </cell>
          <cell r="P59">
            <v>61934.49</v>
          </cell>
          <cell r="Q59">
            <v>65474.347999999998</v>
          </cell>
          <cell r="R59">
            <v>67841.565999999992</v>
          </cell>
          <cell r="S59">
            <v>64836.563999999991</v>
          </cell>
          <cell r="T59">
            <v>62533.002999999997</v>
          </cell>
          <cell r="U59">
            <v>66890.474999999991</v>
          </cell>
          <cell r="V59">
            <v>66060.224999999991</v>
          </cell>
          <cell r="W59">
            <v>61409.936000000002</v>
          </cell>
          <cell r="X59">
            <v>62777.417999999998</v>
          </cell>
          <cell r="Y59">
            <v>56070.9</v>
          </cell>
          <cell r="Z59">
            <v>61550.544000000002</v>
          </cell>
          <cell r="AA59">
            <v>60794.124999999993</v>
          </cell>
          <cell r="AB59">
            <v>59303.955999999998</v>
          </cell>
          <cell r="AC59">
            <v>68061.055999999997</v>
          </cell>
          <cell r="AD59">
            <v>71839.347999999998</v>
          </cell>
          <cell r="AE59">
            <v>63013.304999999993</v>
          </cell>
          <cell r="AF59">
            <v>65481.364999999998</v>
          </cell>
          <cell r="AG59">
            <v>68420.547999999995</v>
          </cell>
        </row>
      </sheetData>
      <sheetData sheetId="20"/>
      <sheetData sheetId="21"/>
      <sheetData sheetId="22"/>
      <sheetData sheetId="23">
        <row r="19">
          <cell r="E19">
            <v>1990</v>
          </cell>
          <cell r="F19">
            <v>0.55316518655435243</v>
          </cell>
        </row>
        <row r="20">
          <cell r="E20">
            <v>1991</v>
          </cell>
          <cell r="F20">
            <v>0.53474111809927805</v>
          </cell>
        </row>
        <row r="21">
          <cell r="E21">
            <v>1992</v>
          </cell>
          <cell r="F21">
            <v>0.53836160308027292</v>
          </cell>
        </row>
        <row r="22">
          <cell r="E22">
            <v>1993</v>
          </cell>
          <cell r="F22">
            <v>0.56701584499313129</v>
          </cell>
        </row>
        <row r="23">
          <cell r="E23">
            <v>1994</v>
          </cell>
          <cell r="F23">
            <v>0.56169491234425173</v>
          </cell>
        </row>
        <row r="24">
          <cell r="E24">
            <v>1995</v>
          </cell>
          <cell r="F24">
            <v>0.57905624018106228</v>
          </cell>
        </row>
        <row r="25">
          <cell r="E25">
            <v>1996</v>
          </cell>
          <cell r="F25">
            <v>0.60017276498951955</v>
          </cell>
        </row>
        <row r="26">
          <cell r="E26">
            <v>1997</v>
          </cell>
          <cell r="F26">
            <v>0.56789804267427824</v>
          </cell>
        </row>
        <row r="27">
          <cell r="E27">
            <v>1998</v>
          </cell>
          <cell r="F27">
            <v>0.57560805229098433</v>
          </cell>
        </row>
        <row r="28">
          <cell r="E28">
            <v>1999</v>
          </cell>
          <cell r="F28">
            <v>0.55943261598138139</v>
          </cell>
        </row>
        <row r="29">
          <cell r="E29">
            <v>2000</v>
          </cell>
          <cell r="F29">
            <v>0.61553625497401032</v>
          </cell>
        </row>
        <row r="30">
          <cell r="E30">
            <v>2001</v>
          </cell>
          <cell r="F30">
            <v>0.60836328972852727</v>
          </cell>
        </row>
        <row r="31">
          <cell r="E31">
            <v>2002</v>
          </cell>
          <cell r="F31">
            <v>0.6150612700006417</v>
          </cell>
        </row>
        <row r="32">
          <cell r="E32">
            <v>2003</v>
          </cell>
          <cell r="F32">
            <v>0.61075674677275216</v>
          </cell>
        </row>
        <row r="33">
          <cell r="E33">
            <v>2004</v>
          </cell>
          <cell r="F33">
            <v>0.62182212243182899</v>
          </cell>
        </row>
        <row r="34">
          <cell r="E34">
            <v>2005</v>
          </cell>
          <cell r="F34">
            <v>0.60695154388453454</v>
          </cell>
        </row>
        <row r="35">
          <cell r="E35">
            <v>2006</v>
          </cell>
          <cell r="F35">
            <v>0.61745196149483106</v>
          </cell>
        </row>
        <row r="36">
          <cell r="E36">
            <v>2007</v>
          </cell>
          <cell r="F36">
            <v>0.64648733682648896</v>
          </cell>
        </row>
        <row r="37">
          <cell r="E37">
            <v>2008</v>
          </cell>
          <cell r="F37">
            <v>0.64121803968238422</v>
          </cell>
        </row>
        <row r="38">
          <cell r="E38">
            <v>2009</v>
          </cell>
          <cell r="F38">
            <v>0.66884012739078857</v>
          </cell>
        </row>
        <row r="39">
          <cell r="E39">
            <v>2010</v>
          </cell>
          <cell r="F39">
            <v>0.67241537638793369</v>
          </cell>
        </row>
        <row r="40">
          <cell r="E40">
            <v>2011</v>
          </cell>
          <cell r="F40">
            <v>0.68363907348270836</v>
          </cell>
        </row>
        <row r="41">
          <cell r="E41">
            <v>2012</v>
          </cell>
          <cell r="F41">
            <v>0.69631719326416741</v>
          </cell>
        </row>
        <row r="42">
          <cell r="E42">
            <v>2013</v>
          </cell>
          <cell r="F42">
            <v>0.66557810842768617</v>
          </cell>
        </row>
        <row r="43">
          <cell r="E43">
            <v>2014</v>
          </cell>
          <cell r="F43">
            <v>0.66314973072518801</v>
          </cell>
        </row>
        <row r="44">
          <cell r="E44">
            <v>2015</v>
          </cell>
          <cell r="F44">
            <v>0.66049962208558499</v>
          </cell>
        </row>
        <row r="45">
          <cell r="E45">
            <v>2016</v>
          </cell>
          <cell r="F45">
            <v>0.67872323970727644</v>
          </cell>
        </row>
        <row r="46">
          <cell r="E46">
            <v>2017</v>
          </cell>
          <cell r="F46">
            <v>0.64367099790896798</v>
          </cell>
        </row>
        <row r="47">
          <cell r="E47">
            <v>2018</v>
          </cell>
          <cell r="F47">
            <v>0.61445169997814597</v>
          </cell>
        </row>
        <row r="48">
          <cell r="E48">
            <v>2019</v>
          </cell>
          <cell r="F48">
            <v>0.61699356710493758</v>
          </cell>
        </row>
        <row r="49">
          <cell r="E49">
            <v>2020</v>
          </cell>
          <cell r="F49">
            <v>0.630671167240627</v>
          </cell>
        </row>
        <row r="50">
          <cell r="E50">
            <v>2021</v>
          </cell>
          <cell r="F50">
            <v>0.59098278295048956</v>
          </cell>
        </row>
        <row r="51">
          <cell r="E51">
            <v>2022</v>
          </cell>
          <cell r="F51">
            <v>0.59098278295048956</v>
          </cell>
        </row>
        <row r="52">
          <cell r="E52">
            <v>2023</v>
          </cell>
          <cell r="F52">
            <v>0.59098278295048956</v>
          </cell>
        </row>
        <row r="53">
          <cell r="E53">
            <v>2024</v>
          </cell>
          <cell r="F53">
            <v>0.59098278295048956</v>
          </cell>
        </row>
        <row r="54">
          <cell r="E54">
            <v>2025</v>
          </cell>
          <cell r="F54">
            <v>0.59098278295048956</v>
          </cell>
        </row>
      </sheetData>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ross-Page Data"/>
      <sheetName val="Non-Energy FF CO2 Emissions"/>
      <sheetName val="Cement CO2 Emissions"/>
      <sheetName val="Iron and Steel"/>
      <sheetName val="Coal Mining"/>
      <sheetName val="Natural Gas Systems"/>
      <sheetName val="Petroleum Systems"/>
      <sheetName val="Chem - HCFC 22 Production"/>
      <sheetName val="Chem - ODS"/>
      <sheetName val="Other - Aluminum"/>
      <sheetName val="Other - Magnesium"/>
      <sheetName val="Other - Semiconductor Mfg"/>
      <sheetName val="Other - Elec Trans and Dist"/>
      <sheetName val="Agriculture - EF &amp; Manure Mgmt"/>
      <sheetName val="Agriculture - Rice Cultivation"/>
      <sheetName val="Agriculture - Soil Mgmt"/>
      <sheetName val="Waste - Landfills"/>
      <sheetName val="Waste - Water Treatment"/>
      <sheetName val="Other Industrial Processes"/>
      <sheetName val="Combined Data"/>
      <sheetName val="BPEiC-CO2"/>
      <sheetName val="BPEiC-CH4"/>
      <sheetName val="BPEiC-N2O"/>
      <sheetName val="BPEiC-F-gases"/>
      <sheetName val="EPA (2017) Table A3.6-1"/>
      <sheetName val="EPA (2017) Table A3.6-7"/>
      <sheetName val="EPA (2017) Table A3.6-10"/>
      <sheetName val="AEO 2017_Table 6"/>
      <sheetName val="AEO 2017_Table 11"/>
      <sheetName val="AEO 2017_Table 13"/>
      <sheetName val="AEO 2017_Table 15"/>
      <sheetName val="AEO 2017_Table 19"/>
      <sheetName val="AEO 2017_Table 20"/>
      <sheetName val="AEO 2017_Table 24"/>
      <sheetName val="AEO 2017_Table 62"/>
      <sheetName val="AEO 2016_Table 6"/>
    </sheetNames>
    <sheetDataSet>
      <sheetData sheetId="0"/>
      <sheetData sheetId="1">
        <row r="12">
          <cell r="C12">
            <v>28</v>
          </cell>
        </row>
        <row r="13">
          <cell r="C13">
            <v>265</v>
          </cell>
        </row>
      </sheetData>
      <sheetData sheetId="2"/>
      <sheetData sheetId="3"/>
      <sheetData sheetId="4"/>
      <sheetData sheetId="5"/>
      <sheetData sheetId="6"/>
      <sheetData sheetId="7"/>
      <sheetData sheetId="8"/>
      <sheetData sheetId="9">
        <row r="5">
          <cell r="A5" t="str">
            <v>Transport Refrigeration</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2035 Report Deployment"/>
      <sheetName val="2035 Report Data"/>
      <sheetName val="EPS Output"/>
      <sheetName val="AEO Table 9"/>
      <sheetName val="AEO Table 9 (2019)"/>
      <sheetName val="AEO Table 16"/>
      <sheetName val="BGBSC"/>
      <sheetName val="PAGBSC"/>
      <sheetName val="SYGBSC"/>
    </sheetNames>
    <sheetDataSet>
      <sheetData sheetId="0">
        <row r="31">
          <cell r="A31">
            <v>1000</v>
          </cell>
        </row>
      </sheetData>
      <sheetData sheetId="1"/>
      <sheetData sheetId="2" refreshError="1"/>
      <sheetData sheetId="3" refreshError="1"/>
      <sheetData sheetId="4"/>
      <sheetData sheetId="5" refreshError="1"/>
      <sheetData sheetId="6" refreshError="1"/>
      <sheetData sheetId="7"/>
      <sheetData sheetId="8" refreshError="1"/>
      <sheetData sheetId="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Country Selector"/>
      <sheetName val="Multipliers and Adjustments"/>
      <sheetName val="EPA Data"/>
      <sheetName val="Tech to Policy Mapping"/>
      <sheetName val="SNAP Adjustment"/>
      <sheetName val="Cement Data"/>
      <sheetName val="Data Check"/>
      <sheetName val="PERAC-cement"/>
      <sheetName val="PERAC-ngps-mthncptr"/>
      <sheetName val="PERAC-ngps-mthndstr"/>
      <sheetName val="PERAC-fgassubstitution"/>
      <sheetName val="PERAC-fgasdestruction"/>
      <sheetName val="PERAC-fgasrecovery"/>
      <sheetName val="PERAC-inspctmaintretrofit"/>
      <sheetName val="PERAC-coalmining-mthncptr"/>
      <sheetName val="PERAC-coalmining-mthndstr"/>
      <sheetName val="PERAC-waste-mthncptr"/>
      <sheetName val="PERAC-waste-mthndstr"/>
      <sheetName val="PERAC-cropsrice"/>
      <sheetName val="PERAC-livestock"/>
      <sheetName val="PERAC-MCD"/>
    </sheetNames>
    <sheetDataSet>
      <sheetData sheetId="0">
        <row r="123">
          <cell r="A123">
            <v>1000000000000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ser Settings"/>
      <sheetName val="Energy Use Graphs"/>
      <sheetName val="CO2 Emissions Graphs"/>
      <sheetName val="Financi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Pop Density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Steam Use - iForest"/>
      <sheetName val="India Production by Subindustry"/>
      <sheetName val="India Pop Exposure Factor"/>
      <sheetName val="Geography Names Etc."/>
    </sheetNames>
    <sheetDataSet>
      <sheetData sheetId="0">
        <row r="5">
          <cell r="B5">
            <v>2070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bout"/>
      <sheetName val="User Settings"/>
      <sheetName val="Energy Use Graphs"/>
      <sheetName val="CO2 Emissions Graphs"/>
      <sheetName val="Finanical Expenditures Graphs"/>
      <sheetName val="Subindustry Breakout Graphs"/>
      <sheetName val="Time Series Graphs"/>
      <sheetName val="Subindstry Demand Cng Graphs"/>
      <sheetName val="Subindustry Color Sort Graphs"/>
      <sheetName val="Non-CO2 Pollutant Graphs"/>
      <sheetName val="Public Health Graphs"/>
      <sheetName val="Tier 1 2a 2b Composition Graphs"/>
      <sheetName val="Asian Country Comparison Graphs"/>
      <sheetName val="Energy Use Data"/>
      <sheetName val="Other Region-Specific Data"/>
      <sheetName val="Achievable Interventions"/>
      <sheetName val="Calculations"/>
      <sheetName val="Unit Conversions"/>
      <sheetName val="References"/>
      <sheetName val="Indifference Curves"/>
      <sheetName val="H2 Production Cost"/>
      <sheetName val="Cross-Industry CapEx Factors"/>
      <sheetName val="Geothermal Heat Potential"/>
      <sheetName val="CO2 Process Emis"/>
      <sheetName val="Power Sector CapEx Cost-China"/>
      <sheetName val="Power Sector CapEx Cost-Indones"/>
      <sheetName val="Power Sector CapExCost-Viet Nam"/>
      <sheetName val="Steel Cost Model-China"/>
      <sheetName val="Steel Cost Model-Indonesia"/>
      <sheetName val="Steel Cost Model-Viet Nam"/>
      <sheetName val="Steel Simple Model-Philippines"/>
      <sheetName val="Cement Cost Model-China"/>
      <sheetName val="Cement Capacity-China"/>
      <sheetName val="Cement Cost Model-Indonesia"/>
      <sheetName val="Cement Capacity-Indonesia"/>
      <sheetName val="Cement Cost Model-Viet Nam"/>
      <sheetName val="Cement Capacity-Viet Nam"/>
      <sheetName val="Cement Simple Model-Philippines"/>
      <sheetName val="CAPEX per GJ"/>
      <sheetName val="Technology Shares"/>
      <sheetName val="Investment Comparisons"/>
      <sheetName val="Industrial CCS Capital Costs"/>
      <sheetName val="Non-CO2 Emissions Factors"/>
      <sheetName val="Public Health Benefits"/>
      <sheetName val="Other Technical Data"/>
      <sheetName val="Temperature Breakdown"/>
      <sheetName val="Equip Efficiency by Temperature"/>
      <sheetName val="Electrification Potential"/>
      <sheetName val="Refining Demand Projection"/>
      <sheetName val="CESY 4-3"/>
      <sheetName val="CESY 4-13"/>
      <sheetName val="MECS T5.2"/>
      <sheetName val="Emission Factors Hub"/>
      <sheetName val="China Energy Prices"/>
      <sheetName val="Viet Nam Energy Prices"/>
      <sheetName val="Indonesia Energy Prices"/>
      <sheetName val="Philippine Energy Prices"/>
      <sheetName val="PHL Elec Rates &amp; CO2 EF"/>
      <sheetName val="Viet Nam Demand Projections"/>
      <sheetName val="China steam cost notes"/>
      <sheetName val="EPS China Non-Energy Fuel Use"/>
      <sheetName val="Viet Nam Elec Data"/>
      <sheetName val="Philippine Energy Projections"/>
      <sheetName val="Indonesia Energy Use"/>
      <sheetName val="Viet Nam Energy Use"/>
      <sheetName val="PHL Demand Projections"/>
      <sheetName val="Philippine Energy Use"/>
      <sheetName val="Philippine food model"/>
      <sheetName val="Philippine demand drivers hist"/>
      <sheetName val="Notes-Philippines"/>
      <sheetName val="AEO T24 Refining"/>
      <sheetName val="AEO T25 Food"/>
      <sheetName val="AEO T26 Paper"/>
      <sheetName val="AEO T27 Chemicals"/>
      <sheetName val="AEO T28 Glass"/>
      <sheetName val="AEO T29 Cement"/>
      <sheetName val="AEO T30 Steel"/>
      <sheetName val="AEO T31 Aluminum"/>
      <sheetName val="AEO T32 Metal Prods"/>
      <sheetName val="AEO T33 Other Mfg"/>
      <sheetName val="AEO T3 Fuel Prices"/>
      <sheetName val="AEO T8 Electricity Demand"/>
      <sheetName val="U.S. Textiles"/>
      <sheetName val="Total Indst Fuel Use by State"/>
      <sheetName val="Non-Feedstock % by State"/>
      <sheetName val="State Inventory Data"/>
      <sheetName val="Chem. Feedstock Use by State"/>
      <sheetName val="Cement Production by State"/>
      <sheetName val="Geothermal Potential by State"/>
      <sheetName val="Carbon Pricing by State"/>
      <sheetName val="Coal Mine Type by State"/>
      <sheetName val="Electricity Generation by State"/>
      <sheetName val="Energy Prices by State"/>
      <sheetName val="India Energy Prices"/>
      <sheetName val="India Steel and Cement Pathways"/>
      <sheetName val="India Energy Use - Combined"/>
      <sheetName val="India Energy Use - UNSD"/>
      <sheetName val="India Energy Use - MOSPI"/>
      <sheetName val="India Energy Use - GCAM"/>
      <sheetName val="India Energy Use - BEE"/>
      <sheetName val="India Energy Use - ASI"/>
      <sheetName val="India Production by Subindustry"/>
      <sheetName val="Geography Names Etc."/>
    </sheetNames>
    <sheetDataSet>
      <sheetData sheetId="0"/>
      <sheetData sheetId="1">
        <row r="5">
          <cell r="B5">
            <v>2070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ow r="4">
          <cell r="E4">
            <v>2.9308323563892145E-2</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row r="10">
          <cell r="C10">
            <v>0.193</v>
          </cell>
        </row>
      </sheetData>
      <sheetData sheetId="10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1E8C708-2C98-4C24-84CA-9B401FB21177}">
  <we:reference id="WA200009404" version="1.0.0.8" store="Omex" storeType="OMEX"/>
  <we:alternateReferences>
    <we:reference id="WA200009404" version="1.0.0.8" store="WA200009404" storeType="OMEX"/>
  </we:alternateReferences>
  <we:properties>
    <we:property name="claude.fileId" value="&quot;84406c6e-5707-4870-9221-e85183cb437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8" Type="http://schemas.openxmlformats.org/officeDocument/2006/relationships/hyperlink" Target="https://www.tandfonline.com/doi/pdf/10.1080/14735903.2025.2546703" TargetMode="External"/><Relationship Id="rId3" Type="http://schemas.openxmlformats.org/officeDocument/2006/relationships/hyperlink" Target="https://www.mdpi.com/1996-1073/13/9/2197" TargetMode="External"/><Relationship Id="rId7" Type="http://schemas.openxmlformats.org/officeDocument/2006/relationships/hyperlink" Target="https://www.fueleconomy.gov/feg/atv-ev.shtml" TargetMode="External"/><Relationship Id="rId2" Type="http://schemas.openxmlformats.org/officeDocument/2006/relationships/hyperlink" Target="https://www.sciencedirect.com/science/article/pii/S0168169916000041" TargetMode="External"/><Relationship Id="rId1" Type="http://schemas.openxmlformats.org/officeDocument/2006/relationships/hyperlink" Target="https://www.m-hikari.com/ams/ams-2014/ams-129-132-2014/frisoAMS129-132-2014-1.pdf" TargetMode="External"/><Relationship Id="rId6" Type="http://schemas.openxmlformats.org/officeDocument/2006/relationships/hyperlink" Target="https://www.davidpublisher.com/Public/uploads/Contribute/5ba1b8c2036b0.pdf" TargetMode="External"/><Relationship Id="rId5" Type="http://schemas.openxmlformats.org/officeDocument/2006/relationships/hyperlink" Target="https://pub.epsilon.slu.se/id/document/20368600" TargetMode="External"/><Relationship Id="rId4" Type="http://schemas.openxmlformats.org/officeDocument/2006/relationships/hyperlink" Target="https://theicct.org/publication/india-hvs-evs-incentives-elec-tractors-india-oct22/" TargetMode="External"/><Relationship Id="rId9" Type="http://schemas.openxmlformats.org/officeDocument/2006/relationships/printerSettings" Target="../printerSettings/printerSettings4.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hyperlink" Target="https://www.chinesestandard.net/PDF.aspx/GB24500-2020" TargetMode="External"/><Relationship Id="rId1" Type="http://schemas.openxmlformats.org/officeDocument/2006/relationships/hyperlink" Target="https://www.energy.gov/sites/prod/files/2016/04/f30/Improving%20Process%20Heating%20System%20Performance%20A%20Sourcebook%20for%20Industry%20Third%20Edition_0.pdf" TargetMode="External"/><Relationship Id="rId5" Type="http://schemas.openxmlformats.org/officeDocument/2006/relationships/comments" Target="../comments3.xml"/><Relationship Id="rId4" Type="http://schemas.openxmlformats.org/officeDocument/2006/relationships/vmlDrawing" Target="../drawings/vmlDrawing3.v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hyperlink" Target="https://thermalprocessing.com/efficient-gas-heating-of-industrial-furnaces/" TargetMode="External"/></Relationships>
</file>

<file path=xl/worksheets/_rels/sheet1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0AE5-9E06-4EDB-8D15-DE332404A026}">
  <dimension ref="A1:B118"/>
  <sheetViews>
    <sheetView topLeftCell="A88" zoomScale="84" workbookViewId="0">
      <selection activeCell="A117" sqref="A117:L118"/>
    </sheetView>
  </sheetViews>
  <sheetFormatPr defaultRowHeight="15"/>
  <cols>
    <col min="2" max="2" width="51.140625" customWidth="1"/>
  </cols>
  <sheetData>
    <row r="1" spans="1:2">
      <c r="A1" s="1" t="s">
        <v>137</v>
      </c>
    </row>
    <row r="3" spans="1:2">
      <c r="A3" s="1" t="s">
        <v>0</v>
      </c>
      <c r="B3" s="4" t="s">
        <v>28</v>
      </c>
    </row>
    <row r="4" spans="1:2">
      <c r="B4" t="s">
        <v>24</v>
      </c>
    </row>
    <row r="5" spans="1:2">
      <c r="B5" s="5">
        <v>2025</v>
      </c>
    </row>
    <row r="6" spans="1:2">
      <c r="B6" t="s">
        <v>25</v>
      </c>
    </row>
    <row r="7" spans="1:2">
      <c r="B7" t="s">
        <v>26</v>
      </c>
    </row>
    <row r="8" spans="1:2">
      <c r="B8" t="s">
        <v>27</v>
      </c>
    </row>
    <row r="10" spans="1:2">
      <c r="B10" s="6" t="s">
        <v>19</v>
      </c>
    </row>
    <row r="11" spans="1:2">
      <c r="B11" s="7" t="s">
        <v>20</v>
      </c>
    </row>
    <row r="12" spans="1:2">
      <c r="B12" s="8">
        <v>2018</v>
      </c>
    </row>
    <row r="13" spans="1:2">
      <c r="B13" s="7" t="s">
        <v>21</v>
      </c>
    </row>
    <row r="14" spans="1:2">
      <c r="B14" s="7" t="s">
        <v>22</v>
      </c>
    </row>
    <row r="15" spans="1:2">
      <c r="B15" s="7" t="s">
        <v>23</v>
      </c>
    </row>
    <row r="17" spans="2:2">
      <c r="B17" s="53" t="s">
        <v>309</v>
      </c>
    </row>
    <row r="18" spans="2:2">
      <c r="B18" t="s">
        <v>199</v>
      </c>
    </row>
    <row r="19" spans="2:2">
      <c r="B19" s="5" t="s">
        <v>87</v>
      </c>
    </row>
    <row r="20" spans="2:2">
      <c r="B20" t="s">
        <v>310</v>
      </c>
    </row>
    <row r="21" spans="2:2">
      <c r="B21" s="54" t="s">
        <v>311</v>
      </c>
    </row>
    <row r="22" spans="2:2">
      <c r="B22" t="s">
        <v>435</v>
      </c>
    </row>
    <row r="24" spans="2:2">
      <c r="B24" s="53" t="s">
        <v>312</v>
      </c>
    </row>
    <row r="25" spans="2:2">
      <c r="B25" t="s">
        <v>313</v>
      </c>
    </row>
    <row r="26" spans="2:2">
      <c r="B26" s="15" t="s">
        <v>314</v>
      </c>
    </row>
    <row r="27" spans="2:2">
      <c r="B27" t="s">
        <v>315</v>
      </c>
    </row>
    <row r="28" spans="2:2">
      <c r="B28" s="55"/>
    </row>
    <row r="30" spans="2:2">
      <c r="B30" s="4" t="s">
        <v>85</v>
      </c>
    </row>
    <row r="31" spans="2:2">
      <c r="B31" t="s">
        <v>86</v>
      </c>
    </row>
    <row r="32" spans="2:2">
      <c r="B32" t="s">
        <v>87</v>
      </c>
    </row>
    <row r="33" spans="2:2">
      <c r="B33" t="s">
        <v>88</v>
      </c>
    </row>
    <row r="34" spans="2:2">
      <c r="B34" t="s">
        <v>89</v>
      </c>
    </row>
    <row r="36" spans="2:2">
      <c r="B36" s="4" t="s">
        <v>90</v>
      </c>
    </row>
    <row r="37" spans="2:2">
      <c r="B37" t="s">
        <v>91</v>
      </c>
    </row>
    <row r="38" spans="2:2">
      <c r="B38" t="s">
        <v>87</v>
      </c>
    </row>
    <row r="39" spans="2:2">
      <c r="B39" t="s">
        <v>92</v>
      </c>
    </row>
    <row r="40" spans="2:2">
      <c r="B40" t="s">
        <v>93</v>
      </c>
    </row>
    <row r="43" spans="2:2">
      <c r="B43" t="s">
        <v>80</v>
      </c>
    </row>
    <row r="45" spans="2:2">
      <c r="B45" s="4" t="s">
        <v>110</v>
      </c>
    </row>
    <row r="46" spans="2:2">
      <c r="B46" t="s">
        <v>111</v>
      </c>
    </row>
    <row r="47" spans="2:2">
      <c r="B47" t="s">
        <v>87</v>
      </c>
    </row>
    <row r="48" spans="2:2">
      <c r="B48" t="s">
        <v>112</v>
      </c>
    </row>
    <row r="49" spans="1:2">
      <c r="B49" t="s">
        <v>109</v>
      </c>
    </row>
    <row r="51" spans="1:2">
      <c r="A51" s="1" t="s">
        <v>2</v>
      </c>
    </row>
    <row r="52" spans="1:2">
      <c r="A52" t="s">
        <v>138</v>
      </c>
    </row>
    <row r="53" spans="1:2">
      <c r="A53" t="s">
        <v>3</v>
      </c>
    </row>
    <row r="55" spans="1:2">
      <c r="B55" s="53" t="s">
        <v>436</v>
      </c>
    </row>
    <row r="56" spans="1:2">
      <c r="B56" t="s">
        <v>199</v>
      </c>
    </row>
    <row r="57" spans="1:2">
      <c r="B57" s="5" t="s">
        <v>437</v>
      </c>
    </row>
    <row r="58" spans="1:2">
      <c r="B58" t="s">
        <v>438</v>
      </c>
    </row>
    <row r="59" spans="1:2">
      <c r="B59" s="54" t="s">
        <v>265</v>
      </c>
    </row>
    <row r="60" spans="1:2">
      <c r="B60" t="s">
        <v>439</v>
      </c>
    </row>
    <row r="62" spans="1:2">
      <c r="B62" s="53" t="s">
        <v>440</v>
      </c>
    </row>
    <row r="63" spans="1:2">
      <c r="B63" t="s">
        <v>441</v>
      </c>
    </row>
    <row r="64" spans="1:2">
      <c r="B64" s="5">
        <v>2017</v>
      </c>
    </row>
    <row r="65" spans="2:2">
      <c r="B65" t="s">
        <v>304</v>
      </c>
    </row>
    <row r="66" spans="2:2">
      <c r="B66" s="54" t="s">
        <v>305</v>
      </c>
    </row>
    <row r="67" spans="2:2">
      <c r="B67" t="s">
        <v>442</v>
      </c>
    </row>
    <row r="69" spans="2:2">
      <c r="B69" s="53" t="s">
        <v>443</v>
      </c>
    </row>
    <row r="70" spans="2:2">
      <c r="B70" t="s">
        <v>444</v>
      </c>
    </row>
    <row r="71" spans="2:2">
      <c r="B71" s="5">
        <v>2022</v>
      </c>
    </row>
    <row r="72" spans="2:2">
      <c r="B72" t="s">
        <v>445</v>
      </c>
    </row>
    <row r="73" spans="2:2">
      <c r="B73" t="s">
        <v>446</v>
      </c>
    </row>
    <row r="75" spans="2:2">
      <c r="B75" s="53" t="s">
        <v>449</v>
      </c>
    </row>
    <row r="76" spans="2:2">
      <c r="B76" t="s">
        <v>450</v>
      </c>
    </row>
    <row r="77" spans="2:2">
      <c r="B77" t="s">
        <v>451</v>
      </c>
    </row>
    <row r="78" spans="2:2">
      <c r="B78" s="54" t="s">
        <v>452</v>
      </c>
    </row>
    <row r="80" spans="2:2">
      <c r="B80" s="53" t="s">
        <v>453</v>
      </c>
    </row>
    <row r="81" spans="2:2">
      <c r="B81" t="s">
        <v>454</v>
      </c>
    </row>
    <row r="82" spans="2:2">
      <c r="B82" t="s">
        <v>455</v>
      </c>
    </row>
    <row r="83" spans="2:2">
      <c r="B83" s="54" t="s">
        <v>456</v>
      </c>
    </row>
    <row r="85" spans="2:2">
      <c r="B85" s="53" t="s">
        <v>466</v>
      </c>
    </row>
    <row r="86" spans="2:2">
      <c r="B86" t="s">
        <v>467</v>
      </c>
    </row>
    <row r="87" spans="2:2">
      <c r="B87" t="s">
        <v>468</v>
      </c>
    </row>
    <row r="88" spans="2:2">
      <c r="B88" s="54" t="s">
        <v>469</v>
      </c>
    </row>
    <row r="89" spans="2:2">
      <c r="B89" s="54" t="s">
        <v>470</v>
      </c>
    </row>
    <row r="91" spans="2:2">
      <c r="B91" s="53" t="s">
        <v>476</v>
      </c>
    </row>
    <row r="92" spans="2:2">
      <c r="B92" t="s">
        <v>477</v>
      </c>
    </row>
    <row r="93" spans="2:2">
      <c r="B93" t="s">
        <v>478</v>
      </c>
    </row>
    <row r="94" spans="2:2">
      <c r="B94" s="54" t="s">
        <v>479</v>
      </c>
    </row>
    <row r="95" spans="2:2">
      <c r="B95" s="54" t="s">
        <v>480</v>
      </c>
    </row>
    <row r="97" spans="1:1">
      <c r="A97" s="146" t="s">
        <v>652</v>
      </c>
    </row>
    <row r="98" spans="1:1">
      <c r="A98" s="15" t="s">
        <v>653</v>
      </c>
    </row>
    <row r="99" spans="1:1">
      <c r="A99" s="15" t="s">
        <v>654</v>
      </c>
    </row>
    <row r="100" spans="1:1">
      <c r="A100" s="15" t="s">
        <v>655</v>
      </c>
    </row>
    <row r="101" spans="1:1">
      <c r="A101" s="15" t="s">
        <v>656</v>
      </c>
    </row>
    <row r="102" spans="1:1">
      <c r="A102" s="15" t="s">
        <v>657</v>
      </c>
    </row>
    <row r="103" spans="1:1">
      <c r="A103" s="15" t="s">
        <v>658</v>
      </c>
    </row>
    <row r="104" spans="1:1">
      <c r="A104" s="15" t="s">
        <v>702</v>
      </c>
    </row>
    <row r="105" spans="1:1">
      <c r="A105" s="15" t="s">
        <v>698</v>
      </c>
    </row>
    <row r="106" spans="1:1">
      <c r="A106" s="15" t="s">
        <v>684</v>
      </c>
    </row>
    <row r="107" spans="1:1">
      <c r="A107" s="15" t="s">
        <v>692</v>
      </c>
    </row>
    <row r="111" spans="1:1">
      <c r="A111" s="154" t="s">
        <v>661</v>
      </c>
    </row>
    <row r="112" spans="1:1">
      <c r="A112" s="154" t="s">
        <v>662</v>
      </c>
    </row>
    <row r="113" spans="1:1">
      <c r="A113" s="154" t="s">
        <v>699</v>
      </c>
    </row>
    <row r="114" spans="1:1">
      <c r="A114" s="158" t="s">
        <v>697</v>
      </c>
    </row>
    <row r="115" spans="1:1">
      <c r="A115" s="154" t="s">
        <v>682</v>
      </c>
    </row>
    <row r="116" spans="1:1">
      <c r="A116" s="154" t="s">
        <v>683</v>
      </c>
    </row>
    <row r="117" spans="1:1">
      <c r="A117" s="154" t="s">
        <v>700</v>
      </c>
    </row>
    <row r="118" spans="1:1">
      <c r="A118" s="151" t="s">
        <v>701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DE7CD-1195-47A7-9F7A-06312F92713C}">
  <dimension ref="A1:M28"/>
  <sheetViews>
    <sheetView zoomScale="79" workbookViewId="0">
      <selection activeCell="M28" sqref="B27:M28"/>
    </sheetView>
  </sheetViews>
  <sheetFormatPr defaultRowHeight="15"/>
  <cols>
    <col min="2" max="2" width="15.42578125" bestFit="1" customWidth="1"/>
    <col min="3" max="3" width="10.85546875" bestFit="1" customWidth="1"/>
    <col min="4" max="4" width="34" bestFit="1" customWidth="1"/>
    <col min="5" max="7" width="8.140625" bestFit="1" customWidth="1"/>
    <col min="11" max="11" width="15.28515625" bestFit="1" customWidth="1"/>
  </cols>
  <sheetData>
    <row r="1" spans="1:1">
      <c r="A1" t="s">
        <v>106</v>
      </c>
    </row>
    <row r="18" spans="2:13">
      <c r="D18" t="s">
        <v>29</v>
      </c>
      <c r="E18" t="s">
        <v>30</v>
      </c>
      <c r="F18">
        <v>2018</v>
      </c>
      <c r="G18">
        <v>2050</v>
      </c>
      <c r="K18" t="s">
        <v>31</v>
      </c>
    </row>
    <row r="19" spans="2:13">
      <c r="B19" t="s">
        <v>32</v>
      </c>
      <c r="C19" t="s">
        <v>33</v>
      </c>
      <c r="D19" t="s">
        <v>34</v>
      </c>
      <c r="E19" t="s">
        <v>35</v>
      </c>
      <c r="F19" t="s">
        <v>36</v>
      </c>
      <c r="G19" t="s">
        <v>36</v>
      </c>
      <c r="I19">
        <v>2021</v>
      </c>
      <c r="J19">
        <v>2050</v>
      </c>
      <c r="K19" t="s">
        <v>37</v>
      </c>
      <c r="M19" t="s">
        <v>38</v>
      </c>
    </row>
    <row r="20" spans="2:13">
      <c r="B20" t="s">
        <v>39</v>
      </c>
      <c r="C20" t="s">
        <v>40</v>
      </c>
      <c r="D20">
        <v>0.218</v>
      </c>
      <c r="E20">
        <v>0.84399999999999997</v>
      </c>
      <c r="F20">
        <v>0.96499999999999997</v>
      </c>
      <c r="G20">
        <v>0.81200000000000006</v>
      </c>
      <c r="I20" s="12" cm="1">
        <f t="array" ref="I20">TREND(F20:G20,$F$18:$G$18,$I$19)</f>
        <v>0.95065624999999976</v>
      </c>
      <c r="J20">
        <f>G20</f>
        <v>0.81200000000000006</v>
      </c>
      <c r="K20" s="13">
        <f>1-J20/I20</f>
        <v>0.14585319351763559</v>
      </c>
      <c r="M20" s="13">
        <f>1-(1-K20)^(1/($J$19-$I$19))</f>
        <v>5.4215327566901061E-3</v>
      </c>
    </row>
    <row r="21" spans="2:13">
      <c r="B21" t="s">
        <v>39</v>
      </c>
      <c r="C21" t="s">
        <v>41</v>
      </c>
      <c r="D21">
        <v>2.1999999999999999E-2</v>
      </c>
      <c r="E21">
        <v>0.91900000000000004</v>
      </c>
      <c r="F21">
        <v>0.98399999999999999</v>
      </c>
      <c r="G21">
        <v>0.93100000000000005</v>
      </c>
      <c r="I21" s="12" cm="1">
        <f t="array" ref="I21">TREND(F21:G21,$F$18:$G$18,$I$19)</f>
        <v>0.9790312499999998</v>
      </c>
      <c r="J21">
        <f t="shared" ref="J21:J28" si="0">G21</f>
        <v>0.93100000000000005</v>
      </c>
      <c r="K21" s="13">
        <f t="shared" ref="K21:K28" si="1">1-J21/I21</f>
        <v>4.9059976379711823E-2</v>
      </c>
      <c r="M21" s="13">
        <f t="shared" ref="M21:M28" si="2">1-(1-K21)^(1/($J$19-$I$19))</f>
        <v>1.7331269176886765E-3</v>
      </c>
    </row>
    <row r="22" spans="2:13">
      <c r="B22" t="s">
        <v>39</v>
      </c>
      <c r="C22" t="s">
        <v>42</v>
      </c>
      <c r="D22">
        <v>0.20399999999999999</v>
      </c>
      <c r="E22">
        <v>0.84399999999999997</v>
      </c>
      <c r="F22">
        <v>0.96499999999999997</v>
      </c>
      <c r="G22">
        <v>0.81399999999999995</v>
      </c>
      <c r="I22" s="12" cm="1">
        <f t="array" ref="I22">TREND(F22:G22,$F$18:$G$18,$I$19)</f>
        <v>0.95084375000000065</v>
      </c>
      <c r="J22">
        <f t="shared" si="0"/>
        <v>0.81399999999999995</v>
      </c>
      <c r="K22" s="13">
        <f t="shared" si="1"/>
        <v>0.14391823051894759</v>
      </c>
      <c r="M22" s="13">
        <f t="shared" si="2"/>
        <v>5.3439247221002129E-3</v>
      </c>
    </row>
    <row r="23" spans="2:13">
      <c r="B23" t="s">
        <v>43</v>
      </c>
      <c r="C23" t="s">
        <v>41</v>
      </c>
      <c r="D23">
        <v>3.9E-2</v>
      </c>
      <c r="E23">
        <v>0.91400000000000003</v>
      </c>
      <c r="F23">
        <v>0.97</v>
      </c>
      <c r="G23">
        <v>0.89</v>
      </c>
      <c r="I23" s="12" cm="1">
        <f t="array" ref="I23">TREND(F23:G23,$F$18:$G$18,$I$19)</f>
        <v>0.96249999999999947</v>
      </c>
      <c r="J23">
        <f t="shared" si="0"/>
        <v>0.89</v>
      </c>
      <c r="K23" s="13">
        <f t="shared" si="1"/>
        <v>7.5324675324674795E-2</v>
      </c>
      <c r="M23" s="13">
        <f t="shared" si="2"/>
        <v>2.6967917075848558E-3</v>
      </c>
    </row>
    <row r="24" spans="2:13">
      <c r="B24" t="s">
        <v>44</v>
      </c>
      <c r="C24" t="s">
        <v>40</v>
      </c>
      <c r="D24">
        <v>1.2999999999999999E-2</v>
      </c>
      <c r="E24">
        <v>0.96199999999999997</v>
      </c>
      <c r="F24">
        <v>0.96199999999999997</v>
      </c>
      <c r="G24">
        <v>0.81200000000000006</v>
      </c>
      <c r="I24" s="12" cm="1">
        <f t="array" ref="I24">TREND(F24:G24,$F$18:$G$18,$I$19)</f>
        <v>0.9479375000000001</v>
      </c>
      <c r="J24">
        <f t="shared" si="0"/>
        <v>0.81200000000000006</v>
      </c>
      <c r="K24" s="13">
        <f t="shared" si="1"/>
        <v>0.14340344168260044</v>
      </c>
      <c r="M24" s="13">
        <f t="shared" si="2"/>
        <v>5.3233059513549952E-3</v>
      </c>
    </row>
    <row r="25" spans="2:13">
      <c r="B25" t="s">
        <v>44</v>
      </c>
      <c r="C25" t="s">
        <v>41</v>
      </c>
      <c r="D25">
        <v>0.19900000000000001</v>
      </c>
      <c r="E25">
        <v>0.91900000000000004</v>
      </c>
      <c r="F25">
        <v>0.98399999999999999</v>
      </c>
      <c r="G25">
        <v>0.89900000000000002</v>
      </c>
      <c r="I25" s="12" cm="1">
        <f t="array" ref="I25">TREND(F25:G25,$F$18:$G$18,$I$19)</f>
        <v>0.97603125000000013</v>
      </c>
      <c r="J25">
        <f t="shared" si="0"/>
        <v>0.89900000000000002</v>
      </c>
      <c r="K25" s="13">
        <f t="shared" si="1"/>
        <v>7.8922934076137485E-2</v>
      </c>
      <c r="M25" s="13">
        <f t="shared" si="2"/>
        <v>2.8308672369490306E-3</v>
      </c>
    </row>
    <row r="26" spans="2:13">
      <c r="B26" t="s">
        <v>45</v>
      </c>
      <c r="C26" t="s">
        <v>41</v>
      </c>
      <c r="D26">
        <v>1E-3</v>
      </c>
      <c r="E26">
        <v>0.90900000000000003</v>
      </c>
      <c r="F26">
        <v>0.97099999999999997</v>
      </c>
      <c r="G26">
        <v>0.83699999999999997</v>
      </c>
      <c r="I26" s="12" cm="1">
        <f t="array" ref="I26">TREND(F26:G26,$F$18:$G$18,$I$19)</f>
        <v>0.9584375000000005</v>
      </c>
      <c r="J26">
        <f t="shared" si="0"/>
        <v>0.83699999999999997</v>
      </c>
      <c r="K26" s="13">
        <f t="shared" si="1"/>
        <v>0.1267036191718296</v>
      </c>
      <c r="M26" s="13">
        <f t="shared" si="2"/>
        <v>4.6608383495440053E-3</v>
      </c>
    </row>
    <row r="27" spans="2:13">
      <c r="B27" t="s">
        <v>46</v>
      </c>
      <c r="C27" t="s">
        <v>40</v>
      </c>
      <c r="D27">
        <v>1.0999999999999999E-2</v>
      </c>
      <c r="E27">
        <v>0.872</v>
      </c>
      <c r="F27">
        <v>0.94599999999999995</v>
      </c>
      <c r="G27">
        <v>0.82</v>
      </c>
      <c r="I27" s="12" cm="1">
        <f t="array" ref="I27">TREND(F27:G27,$F$18:$G$18,$I$19)</f>
        <v>0.93418749999999839</v>
      </c>
      <c r="J27">
        <f t="shared" si="0"/>
        <v>0.82</v>
      </c>
      <c r="K27" s="13">
        <f t="shared" si="1"/>
        <v>0.12223188599718859</v>
      </c>
      <c r="M27" s="13">
        <f t="shared" si="2"/>
        <v>4.4855245842795322E-3</v>
      </c>
    </row>
    <row r="28" spans="2:13">
      <c r="B28" t="s">
        <v>47</v>
      </c>
      <c r="C28" t="s">
        <v>41</v>
      </c>
      <c r="D28">
        <v>7.0000000000000001E-3</v>
      </c>
      <c r="E28">
        <v>0.91100000000000003</v>
      </c>
      <c r="F28">
        <v>0.97199999999999998</v>
      </c>
      <c r="G28">
        <v>0.89100000000000001</v>
      </c>
      <c r="I28" s="12" cm="1">
        <f t="array" ref="I28">TREND(F28:G28,$F$18:$G$18,$I$19)</f>
        <v>0.96440625000000058</v>
      </c>
      <c r="J28">
        <f t="shared" si="0"/>
        <v>0.89100000000000001</v>
      </c>
      <c r="K28" s="13">
        <f t="shared" si="1"/>
        <v>7.611548556430503E-2</v>
      </c>
      <c r="M28" s="13">
        <f t="shared" si="2"/>
        <v>2.726215022795353E-3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6737B-14AA-41CE-9388-6419CF592696}">
  <dimension ref="H2:O36"/>
  <sheetViews>
    <sheetView zoomScale="70" workbookViewId="0">
      <selection activeCell="K37" sqref="K37"/>
    </sheetView>
  </sheetViews>
  <sheetFormatPr defaultRowHeight="15"/>
  <cols>
    <col min="8" max="8" width="14.7109375" customWidth="1"/>
    <col min="9" max="9" width="16.42578125" bestFit="1" customWidth="1"/>
    <col min="10" max="10" width="23.140625" customWidth="1"/>
    <col min="11" max="11" width="30.7109375" customWidth="1"/>
    <col min="12" max="12" width="22.140625" customWidth="1"/>
    <col min="13" max="13" width="3" bestFit="1" customWidth="1"/>
    <col min="14" max="14" width="23.140625" customWidth="1"/>
  </cols>
  <sheetData>
    <row r="2" spans="8:15">
      <c r="H2" t="s">
        <v>107</v>
      </c>
    </row>
    <row r="3" spans="8:15">
      <c r="H3" t="s">
        <v>51</v>
      </c>
    </row>
    <row r="4" spans="8:15" s="9" customFormat="1" ht="45">
      <c r="I4" s="9" t="s">
        <v>52</v>
      </c>
      <c r="J4" s="9" t="s">
        <v>59</v>
      </c>
      <c r="K4" s="9" t="s">
        <v>60</v>
      </c>
      <c r="L4" s="9" t="s">
        <v>73</v>
      </c>
      <c r="N4" s="9" t="s">
        <v>77</v>
      </c>
    </row>
    <row r="5" spans="8:15">
      <c r="L5" t="s">
        <v>53</v>
      </c>
    </row>
    <row r="6" spans="8:15">
      <c r="I6" t="s">
        <v>64</v>
      </c>
      <c r="J6">
        <v>83</v>
      </c>
      <c r="K6">
        <v>82</v>
      </c>
      <c r="L6" t="s">
        <v>54</v>
      </c>
      <c r="M6">
        <v>90.1</v>
      </c>
      <c r="N6">
        <v>3.2</v>
      </c>
      <c r="O6">
        <f>SUM(M6:N6)</f>
        <v>93.3</v>
      </c>
    </row>
    <row r="7" spans="8:15">
      <c r="I7" t="s">
        <v>55</v>
      </c>
      <c r="J7">
        <v>89</v>
      </c>
      <c r="K7">
        <v>89</v>
      </c>
      <c r="L7" t="s">
        <v>56</v>
      </c>
      <c r="M7">
        <v>93.1</v>
      </c>
      <c r="N7">
        <v>1.5</v>
      </c>
      <c r="O7">
        <f t="shared" ref="O7:O15" si="0">SUM(M7:N7)</f>
        <v>94.6</v>
      </c>
    </row>
    <row r="8" spans="8:15">
      <c r="I8" t="s">
        <v>65</v>
      </c>
      <c r="J8">
        <v>92</v>
      </c>
      <c r="K8">
        <v>91</v>
      </c>
      <c r="L8" t="s">
        <v>57</v>
      </c>
      <c r="M8">
        <v>94.7</v>
      </c>
      <c r="N8">
        <v>1</v>
      </c>
      <c r="O8">
        <f t="shared" si="0"/>
        <v>95.7</v>
      </c>
    </row>
    <row r="9" spans="8:15">
      <c r="I9" t="s">
        <v>66</v>
      </c>
      <c r="J9">
        <v>93</v>
      </c>
      <c r="K9">
        <v>92</v>
      </c>
      <c r="L9" t="s">
        <v>58</v>
      </c>
      <c r="M9">
        <v>95.9</v>
      </c>
      <c r="N9">
        <v>1</v>
      </c>
      <c r="O9">
        <f t="shared" si="0"/>
        <v>96.9</v>
      </c>
    </row>
    <row r="10" spans="8:15">
      <c r="I10" t="s">
        <v>67</v>
      </c>
      <c r="J10">
        <v>93</v>
      </c>
      <c r="K10">
        <v>93</v>
      </c>
      <c r="L10" t="s">
        <v>61</v>
      </c>
      <c r="M10">
        <v>96.2</v>
      </c>
      <c r="N10">
        <v>0.7</v>
      </c>
      <c r="O10">
        <f t="shared" si="0"/>
        <v>96.9</v>
      </c>
    </row>
    <row r="11" spans="8:15">
      <c r="I11" t="s">
        <v>68</v>
      </c>
      <c r="J11">
        <v>93</v>
      </c>
      <c r="K11">
        <v>94</v>
      </c>
      <c r="L11" t="s">
        <v>62</v>
      </c>
      <c r="M11">
        <v>96.2</v>
      </c>
      <c r="N11">
        <v>0.8</v>
      </c>
      <c r="O11">
        <f t="shared" si="0"/>
        <v>97</v>
      </c>
    </row>
    <row r="12" spans="8:15">
      <c r="I12" t="s">
        <v>69</v>
      </c>
      <c r="J12">
        <v>93</v>
      </c>
      <c r="K12">
        <v>94</v>
      </c>
      <c r="M12">
        <f>M11</f>
        <v>96.2</v>
      </c>
      <c r="O12">
        <f>SUM(M12:N12)</f>
        <v>96.2</v>
      </c>
    </row>
    <row r="13" spans="8:15">
      <c r="I13" t="s">
        <v>70</v>
      </c>
      <c r="J13">
        <v>92</v>
      </c>
      <c r="K13">
        <v>95</v>
      </c>
      <c r="M13">
        <f>M12</f>
        <v>96.2</v>
      </c>
      <c r="O13">
        <f t="shared" si="0"/>
        <v>96.2</v>
      </c>
    </row>
    <row r="14" spans="8:15">
      <c r="I14" t="s">
        <v>71</v>
      </c>
      <c r="J14">
        <v>86</v>
      </c>
      <c r="K14">
        <v>95</v>
      </c>
      <c r="M14">
        <f>M13</f>
        <v>96.2</v>
      </c>
      <c r="O14">
        <f t="shared" si="0"/>
        <v>96.2</v>
      </c>
    </row>
    <row r="15" spans="8:15">
      <c r="I15" t="s">
        <v>72</v>
      </c>
      <c r="J15">
        <v>91</v>
      </c>
      <c r="K15" t="s">
        <v>63</v>
      </c>
      <c r="M15">
        <f>M14</f>
        <v>96.2</v>
      </c>
      <c r="O15">
        <f t="shared" si="0"/>
        <v>96.2</v>
      </c>
    </row>
    <row r="17" spans="9:12">
      <c r="J17" t="s">
        <v>74</v>
      </c>
    </row>
    <row r="18" spans="9:12">
      <c r="I18" t="s">
        <v>64</v>
      </c>
      <c r="J18" s="18">
        <v>25.980397752045299</v>
      </c>
      <c r="L18" t="s">
        <v>78</v>
      </c>
    </row>
    <row r="19" spans="9:12">
      <c r="I19" t="s">
        <v>55</v>
      </c>
      <c r="J19" s="18">
        <v>67.647063795395397</v>
      </c>
      <c r="L19" s="11">
        <v>0.08</v>
      </c>
    </row>
    <row r="20" spans="9:12">
      <c r="I20" t="s">
        <v>65</v>
      </c>
      <c r="J20" s="18">
        <v>86.928108261286297</v>
      </c>
      <c r="L20" t="s">
        <v>79</v>
      </c>
    </row>
    <row r="21" spans="9:12">
      <c r="I21" t="s">
        <v>66</v>
      </c>
      <c r="J21" s="18">
        <v>71.895427750300499</v>
      </c>
    </row>
    <row r="22" spans="9:12">
      <c r="I22" t="s">
        <v>67</v>
      </c>
      <c r="J22" s="18">
        <v>64.379085998847998</v>
      </c>
    </row>
    <row r="23" spans="9:12">
      <c r="I23" t="s">
        <v>68</v>
      </c>
      <c r="J23" s="18">
        <v>94.281049327759803</v>
      </c>
    </row>
    <row r="24" spans="9:12">
      <c r="I24" t="s">
        <v>69</v>
      </c>
      <c r="J24" s="18">
        <v>62.908497785553301</v>
      </c>
    </row>
    <row r="25" spans="9:12">
      <c r="I25" t="s">
        <v>70</v>
      </c>
      <c r="J25" s="18">
        <v>34.803927031813501</v>
      </c>
    </row>
    <row r="26" spans="9:12">
      <c r="I26" t="s">
        <v>71</v>
      </c>
      <c r="J26" s="18">
        <v>17.6470525756977</v>
      </c>
    </row>
    <row r="27" spans="9:12">
      <c r="I27" t="s">
        <v>72</v>
      </c>
      <c r="J27" s="18">
        <v>17.156856504599499</v>
      </c>
    </row>
    <row r="29" spans="9:12">
      <c r="J29" s="1" t="s">
        <v>75</v>
      </c>
      <c r="K29" s="1" t="s">
        <v>76</v>
      </c>
    </row>
    <row r="30" spans="9:12">
      <c r="J30" s="14">
        <f>SUMPRODUCT(J6:J15,J18:J27)/SUM(J18:J27)/100-L19</f>
        <v>0.83510069121733521</v>
      </c>
      <c r="K30" s="14">
        <f>SUMPRODUCT(O6:O15,J18:J27)/SUM(J18:J27)/100</f>
        <v>0.96096573455108358</v>
      </c>
    </row>
    <row r="31" spans="9:12">
      <c r="J31">
        <f>1/J30</f>
        <v>1.1974603907252062</v>
      </c>
      <c r="K31">
        <f>1/K30</f>
        <v>1.0406198307030701</v>
      </c>
    </row>
    <row r="34" spans="10:11">
      <c r="J34" t="s">
        <v>145</v>
      </c>
    </row>
    <row r="35" spans="10:11">
      <c r="J35" s="11">
        <v>0.4</v>
      </c>
      <c r="K35" t="s">
        <v>146</v>
      </c>
    </row>
    <row r="36" spans="10:11">
      <c r="J36">
        <f>1/J35*'BAU Efficiency Improvements'!J24/'BAU Efficiency Improvements'!I24</f>
        <v>2.1414913957934991</v>
      </c>
      <c r="K36" t="s">
        <v>147</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325B5-8F49-4EFF-9AFE-787745135977}">
  <dimension ref="B24:H31"/>
  <sheetViews>
    <sheetView zoomScaleNormal="100" workbookViewId="0">
      <selection activeCell="O31" sqref="O31"/>
    </sheetView>
  </sheetViews>
  <sheetFormatPr defaultRowHeight="15"/>
  <sheetData>
    <row r="24" spans="2:8">
      <c r="B24" t="s">
        <v>17</v>
      </c>
      <c r="C24">
        <v>3</v>
      </c>
      <c r="D24" t="s">
        <v>18</v>
      </c>
      <c r="H24" t="s">
        <v>307</v>
      </c>
    </row>
    <row r="25" spans="2:8">
      <c r="B25" t="s">
        <v>49</v>
      </c>
      <c r="C25">
        <f>1/C24</f>
        <v>0.33333333333333331</v>
      </c>
      <c r="H25" s="48">
        <v>0.99</v>
      </c>
    </row>
    <row r="26" spans="2:8">
      <c r="B26" t="s">
        <v>17</v>
      </c>
      <c r="C26">
        <v>5</v>
      </c>
    </row>
    <row r="27" spans="2:8">
      <c r="B27" t="s">
        <v>49</v>
      </c>
      <c r="C27">
        <f>1/C26</f>
        <v>0.2</v>
      </c>
      <c r="D27" t="s">
        <v>136</v>
      </c>
    </row>
    <row r="30" spans="2:8">
      <c r="B30" t="s">
        <v>306</v>
      </c>
      <c r="C30" s="52">
        <v>3</v>
      </c>
    </row>
    <row r="31" spans="2:8">
      <c r="B31" t="s">
        <v>49</v>
      </c>
      <c r="C31" s="12">
        <f>IFERROR(1/C30,"")</f>
        <v>0.33333333333333331</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B590B-4D31-4E24-89B3-317A68ED5FA3}">
  <dimension ref="A1:M47"/>
  <sheetViews>
    <sheetView zoomScaleNormal="100" workbookViewId="0">
      <pane xSplit="2" ySplit="2" topLeftCell="C3" activePane="bottomRight" state="frozen"/>
      <selection activeCell="H7" sqref="H7:K7"/>
      <selection pane="topRight" activeCell="H7" sqref="H7:K7"/>
      <selection pane="bottomLeft" activeCell="H7" sqref="H7:K7"/>
      <selection pane="bottomRight" activeCell="H7" sqref="H7:K7"/>
    </sheetView>
  </sheetViews>
  <sheetFormatPr defaultColWidth="9.140625" defaultRowHeight="11.25" customHeight="1"/>
  <cols>
    <col min="1" max="1" width="3.7109375" style="59" customWidth="1"/>
    <col min="2" max="2" width="57.85546875" style="59" customWidth="1"/>
    <col min="3" max="13" width="9.28515625" style="59" customWidth="1"/>
    <col min="14" max="17" width="9.140625" style="59"/>
    <col min="18" max="18" width="27.7109375" style="59" bestFit="1" customWidth="1"/>
    <col min="19" max="32" width="9.140625" style="59"/>
    <col min="33" max="33" width="10.5703125" style="59" customWidth="1"/>
    <col min="34" max="16384" width="9.140625" style="59"/>
  </cols>
  <sheetData>
    <row r="1" spans="1:13" ht="11.25" customHeight="1">
      <c r="A1" s="56" t="s">
        <v>316</v>
      </c>
      <c r="B1" s="57"/>
      <c r="C1" s="159" t="s">
        <v>317</v>
      </c>
      <c r="D1" s="160"/>
      <c r="E1" s="160"/>
      <c r="F1" s="160"/>
      <c r="G1" s="160"/>
      <c r="H1" s="160"/>
      <c r="I1" s="160"/>
      <c r="J1" s="160"/>
      <c r="K1" s="160"/>
      <c r="L1" s="160"/>
      <c r="M1" s="160"/>
    </row>
    <row r="2" spans="1:13" ht="11.25" customHeight="1">
      <c r="A2" s="60" t="s">
        <v>318</v>
      </c>
      <c r="B2" s="61"/>
      <c r="C2" s="58">
        <v>2025</v>
      </c>
      <c r="D2" s="58">
        <v>2030</v>
      </c>
      <c r="E2" s="58">
        <v>2035</v>
      </c>
      <c r="F2" s="58">
        <v>2040</v>
      </c>
      <c r="G2" s="58">
        <v>2050</v>
      </c>
      <c r="H2" s="58">
        <v>2025</v>
      </c>
      <c r="I2" s="58">
        <v>2025</v>
      </c>
      <c r="J2" s="58">
        <v>2050</v>
      </c>
      <c r="K2" s="58">
        <v>2050</v>
      </c>
      <c r="L2" s="58" t="s">
        <v>275</v>
      </c>
      <c r="M2" s="58" t="s">
        <v>319</v>
      </c>
    </row>
    <row r="3" spans="1:13" ht="11.25" customHeight="1" thickBot="1">
      <c r="A3" s="62" t="s">
        <v>320</v>
      </c>
      <c r="B3" s="63"/>
      <c r="C3" s="64" t="s">
        <v>321</v>
      </c>
      <c r="D3" s="64" t="s">
        <v>321</v>
      </c>
      <c r="E3" s="64" t="s">
        <v>321</v>
      </c>
      <c r="F3" s="64" t="s">
        <v>321</v>
      </c>
      <c r="G3" s="64" t="s">
        <v>321</v>
      </c>
      <c r="H3" s="64" t="s">
        <v>322</v>
      </c>
      <c r="I3" s="64" t="s">
        <v>323</v>
      </c>
      <c r="J3" s="64" t="s">
        <v>322</v>
      </c>
      <c r="K3" s="64" t="s">
        <v>323</v>
      </c>
      <c r="L3" s="64" t="s">
        <v>224</v>
      </c>
      <c r="M3" s="64" t="s">
        <v>224</v>
      </c>
    </row>
    <row r="4" spans="1:13" ht="11.25" customHeight="1">
      <c r="A4" s="65" t="s">
        <v>324</v>
      </c>
      <c r="B4" s="66" t="s">
        <v>325</v>
      </c>
      <c r="C4" s="58"/>
      <c r="D4" s="58"/>
      <c r="E4" s="58"/>
      <c r="F4" s="58"/>
      <c r="G4" s="58"/>
      <c r="H4" s="58"/>
      <c r="I4" s="58"/>
      <c r="J4" s="58"/>
      <c r="K4" s="58"/>
      <c r="L4" s="58"/>
      <c r="M4" s="58"/>
    </row>
    <row r="5" spans="1:13" ht="11.25" customHeight="1">
      <c r="A5" s="67" t="s">
        <v>326</v>
      </c>
      <c r="B5" s="68"/>
      <c r="E5" s="69"/>
      <c r="H5" s="70"/>
      <c r="I5" s="70"/>
      <c r="J5" s="70"/>
      <c r="K5" s="70"/>
    </row>
    <row r="6" spans="1:13" ht="11.25" customHeight="1">
      <c r="B6" s="71" t="s">
        <v>327</v>
      </c>
      <c r="C6" s="72">
        <v>3</v>
      </c>
      <c r="D6" s="72">
        <v>3</v>
      </c>
      <c r="E6" s="72">
        <v>3</v>
      </c>
      <c r="F6" s="72">
        <v>3</v>
      </c>
      <c r="G6" s="72">
        <v>3</v>
      </c>
      <c r="H6" s="72">
        <v>0.5</v>
      </c>
      <c r="I6" s="72">
        <v>5</v>
      </c>
      <c r="J6" s="72">
        <v>0.5</v>
      </c>
      <c r="K6" s="72">
        <v>5</v>
      </c>
      <c r="L6" s="73" t="s">
        <v>328</v>
      </c>
      <c r="M6" s="72" t="s">
        <v>329</v>
      </c>
    </row>
    <row r="7" spans="1:13" ht="11.25" customHeight="1">
      <c r="B7" s="71" t="s">
        <v>330</v>
      </c>
      <c r="C7" s="74">
        <v>3.35</v>
      </c>
      <c r="D7" s="74">
        <v>3.43</v>
      </c>
      <c r="E7" s="74">
        <v>3.48</v>
      </c>
      <c r="F7" s="74">
        <f>D7*1.02</f>
        <v>3.4986000000000002</v>
      </c>
      <c r="G7" s="74">
        <f>F7*1.01</f>
        <v>3.5335860000000001</v>
      </c>
      <c r="H7" s="74">
        <v>3.33</v>
      </c>
      <c r="I7" s="74">
        <f>C7*1.05</f>
        <v>3.5175000000000001</v>
      </c>
      <c r="J7" s="74">
        <f>G7*0.97</f>
        <v>3.4275784200000001</v>
      </c>
      <c r="K7" s="74">
        <f>G7*1.02</f>
        <v>3.6042577200000001</v>
      </c>
      <c r="L7" s="73" t="s">
        <v>331</v>
      </c>
      <c r="M7" s="72" t="s">
        <v>332</v>
      </c>
    </row>
    <row r="8" spans="1:13" ht="11.25" customHeight="1">
      <c r="B8" s="71" t="s">
        <v>333</v>
      </c>
      <c r="C8" s="74">
        <f>C7-5%</f>
        <v>3.3000000000000003</v>
      </c>
      <c r="D8" s="74">
        <f t="shared" ref="D8:K8" si="0">D7-5%</f>
        <v>3.3800000000000003</v>
      </c>
      <c r="E8" s="74">
        <f t="shared" si="0"/>
        <v>3.43</v>
      </c>
      <c r="F8" s="74">
        <f t="shared" si="0"/>
        <v>3.4486000000000003</v>
      </c>
      <c r="G8" s="74">
        <f t="shared" si="0"/>
        <v>3.4835860000000003</v>
      </c>
      <c r="H8" s="74">
        <f t="shared" si="0"/>
        <v>3.2800000000000002</v>
      </c>
      <c r="I8" s="74">
        <f t="shared" si="0"/>
        <v>3.4675000000000002</v>
      </c>
      <c r="J8" s="74">
        <f t="shared" si="0"/>
        <v>3.3775784200000003</v>
      </c>
      <c r="K8" s="74">
        <f t="shared" si="0"/>
        <v>3.5542577200000003</v>
      </c>
      <c r="L8" s="73" t="s">
        <v>334</v>
      </c>
      <c r="M8" s="72"/>
    </row>
    <row r="9" spans="1:13" ht="11.25" customHeight="1">
      <c r="B9" s="71" t="s">
        <v>335</v>
      </c>
      <c r="C9" s="74">
        <v>0.01</v>
      </c>
      <c r="D9" s="74">
        <v>0.01</v>
      </c>
      <c r="E9" s="74">
        <v>0.01</v>
      </c>
      <c r="F9" s="74">
        <v>0.01</v>
      </c>
      <c r="G9" s="74">
        <v>0.01</v>
      </c>
      <c r="H9" s="74">
        <v>0.01</v>
      </c>
      <c r="I9" s="74">
        <v>0.04</v>
      </c>
      <c r="J9" s="74">
        <v>0.01</v>
      </c>
      <c r="K9" s="74">
        <v>0.04</v>
      </c>
      <c r="L9" s="73"/>
      <c r="M9" s="72">
        <v>2</v>
      </c>
    </row>
    <row r="10" spans="1:13" ht="11.25" customHeight="1">
      <c r="B10" s="71" t="s">
        <v>336</v>
      </c>
      <c r="C10" s="74">
        <v>0</v>
      </c>
      <c r="D10" s="74">
        <v>0</v>
      </c>
      <c r="E10" s="74">
        <v>0</v>
      </c>
      <c r="F10" s="74">
        <v>0</v>
      </c>
      <c r="G10" s="74">
        <v>0</v>
      </c>
      <c r="H10" s="74">
        <v>0</v>
      </c>
      <c r="I10" s="74">
        <v>0.01</v>
      </c>
      <c r="J10" s="74">
        <v>0</v>
      </c>
      <c r="K10" s="74">
        <v>0.01</v>
      </c>
      <c r="L10" s="73" t="s">
        <v>337</v>
      </c>
      <c r="M10" s="72">
        <v>2</v>
      </c>
    </row>
    <row r="11" spans="1:13" ht="11.25" customHeight="1">
      <c r="B11" s="71" t="s">
        <v>338</v>
      </c>
      <c r="C11" s="72">
        <v>1</v>
      </c>
      <c r="D11" s="72">
        <v>1</v>
      </c>
      <c r="E11" s="72">
        <v>1</v>
      </c>
      <c r="F11" s="72">
        <v>1</v>
      </c>
      <c r="G11" s="72">
        <v>1</v>
      </c>
      <c r="H11" s="72">
        <v>0.5</v>
      </c>
      <c r="I11" s="72">
        <v>2</v>
      </c>
      <c r="J11" s="72">
        <v>0.5</v>
      </c>
      <c r="K11" s="72">
        <v>2</v>
      </c>
      <c r="L11" s="73"/>
      <c r="M11" s="72">
        <v>2</v>
      </c>
    </row>
    <row r="12" spans="1:13" ht="11.25" customHeight="1">
      <c r="B12" s="71" t="s">
        <v>339</v>
      </c>
      <c r="C12" s="72">
        <v>25</v>
      </c>
      <c r="D12" s="72">
        <v>25</v>
      </c>
      <c r="E12" s="72">
        <v>25</v>
      </c>
      <c r="F12" s="72">
        <v>25</v>
      </c>
      <c r="G12" s="72">
        <v>25</v>
      </c>
      <c r="H12" s="72">
        <v>15</v>
      </c>
      <c r="I12" s="72">
        <v>40</v>
      </c>
      <c r="J12" s="72">
        <v>15</v>
      </c>
      <c r="K12" s="72">
        <v>40</v>
      </c>
      <c r="L12" s="72"/>
      <c r="M12" s="72">
        <v>2</v>
      </c>
    </row>
    <row r="13" spans="1:13" ht="11.25" customHeight="1">
      <c r="B13" s="71" t="s">
        <v>340</v>
      </c>
      <c r="C13" s="72">
        <v>0.5</v>
      </c>
      <c r="D13" s="72">
        <v>0.5</v>
      </c>
      <c r="E13" s="72">
        <v>0.5</v>
      </c>
      <c r="F13" s="72">
        <v>0.5</v>
      </c>
      <c r="G13" s="72">
        <v>0.5</v>
      </c>
      <c r="H13" s="72">
        <v>0.3</v>
      </c>
      <c r="I13" s="72">
        <v>1</v>
      </c>
      <c r="J13" s="72">
        <v>0.3</v>
      </c>
      <c r="K13" s="72">
        <v>1</v>
      </c>
      <c r="L13" s="72"/>
      <c r="M13" s="72">
        <v>2</v>
      </c>
    </row>
    <row r="14" spans="1:13" ht="11.25" customHeight="1">
      <c r="A14" s="70" t="s">
        <v>341</v>
      </c>
      <c r="B14" s="75"/>
      <c r="C14" s="76"/>
      <c r="D14" s="76"/>
      <c r="E14" s="76"/>
      <c r="F14" s="76"/>
      <c r="G14" s="76"/>
      <c r="H14" s="70"/>
      <c r="I14" s="70"/>
      <c r="J14" s="70"/>
      <c r="K14" s="70"/>
      <c r="L14" s="73"/>
      <c r="M14" s="73"/>
    </row>
    <row r="15" spans="1:13" ht="11.25" customHeight="1">
      <c r="B15" s="71" t="s">
        <v>342</v>
      </c>
      <c r="C15" s="74">
        <v>0.25</v>
      </c>
      <c r="D15" s="74">
        <v>0.25</v>
      </c>
      <c r="E15" s="74">
        <v>0.25</v>
      </c>
      <c r="F15" s="74">
        <v>0.25</v>
      </c>
      <c r="G15" s="74">
        <v>0.25</v>
      </c>
      <c r="H15" s="74">
        <v>0.1</v>
      </c>
      <c r="I15" s="74">
        <v>0.5</v>
      </c>
      <c r="J15" s="74">
        <v>0.1</v>
      </c>
      <c r="K15" s="74">
        <v>0.5</v>
      </c>
      <c r="L15" s="73"/>
      <c r="M15" s="73">
        <v>2</v>
      </c>
    </row>
    <row r="16" spans="1:13" ht="11.25" customHeight="1">
      <c r="B16" s="71" t="s">
        <v>343</v>
      </c>
      <c r="C16" s="77">
        <v>0.1</v>
      </c>
      <c r="D16" s="77">
        <v>0.1</v>
      </c>
      <c r="E16" s="77">
        <v>0.1</v>
      </c>
      <c r="F16" s="77">
        <v>0.1</v>
      </c>
      <c r="G16" s="77">
        <v>0.1</v>
      </c>
      <c r="H16" s="72">
        <v>0.1</v>
      </c>
      <c r="I16" s="72">
        <v>0.2</v>
      </c>
      <c r="J16" s="72">
        <v>0.1</v>
      </c>
      <c r="K16" s="72">
        <v>0.2</v>
      </c>
      <c r="L16" s="73"/>
      <c r="M16" s="73">
        <v>2</v>
      </c>
    </row>
    <row r="17" spans="1:13" ht="11.25" customHeight="1">
      <c r="B17" s="71" t="s">
        <v>344</v>
      </c>
      <c r="C17" s="77">
        <v>1</v>
      </c>
      <c r="D17" s="77">
        <v>1</v>
      </c>
      <c r="E17" s="77">
        <v>1</v>
      </c>
      <c r="F17" s="77">
        <v>1</v>
      </c>
      <c r="G17" s="77">
        <v>1</v>
      </c>
      <c r="H17" s="72">
        <v>0.2</v>
      </c>
      <c r="I17" s="72">
        <v>1</v>
      </c>
      <c r="J17" s="72">
        <v>0.2</v>
      </c>
      <c r="K17" s="72">
        <v>1</v>
      </c>
      <c r="L17" s="73"/>
      <c r="M17" s="73">
        <v>2</v>
      </c>
    </row>
    <row r="18" spans="1:13" ht="11.25" customHeight="1">
      <c r="A18" s="70" t="s">
        <v>345</v>
      </c>
      <c r="B18" s="75"/>
      <c r="C18" s="76"/>
      <c r="D18" s="76"/>
      <c r="E18" s="76"/>
      <c r="F18" s="76"/>
      <c r="G18" s="76"/>
      <c r="H18" s="70"/>
      <c r="I18" s="70"/>
      <c r="J18" s="70"/>
      <c r="K18" s="70"/>
      <c r="L18" s="73"/>
      <c r="M18" s="73"/>
    </row>
    <row r="19" spans="1:13" ht="11.25" customHeight="1">
      <c r="B19" s="71" t="s">
        <v>346</v>
      </c>
      <c r="C19" s="73">
        <v>0.95</v>
      </c>
      <c r="D19" s="73">
        <v>0.94</v>
      </c>
      <c r="E19" s="73">
        <v>0.91</v>
      </c>
      <c r="F19" s="73">
        <v>0.91</v>
      </c>
      <c r="G19" s="73">
        <v>0.89</v>
      </c>
      <c r="H19" s="59">
        <v>0.91</v>
      </c>
      <c r="I19" s="59">
        <v>0.95</v>
      </c>
      <c r="J19" s="59">
        <v>0.88</v>
      </c>
      <c r="K19" s="59">
        <v>0.95</v>
      </c>
      <c r="L19" s="73"/>
      <c r="M19" s="73">
        <v>2</v>
      </c>
    </row>
    <row r="20" spans="1:13" ht="11.25" customHeight="1">
      <c r="B20" s="71" t="s">
        <v>347</v>
      </c>
      <c r="C20" s="78">
        <v>0.4</v>
      </c>
      <c r="D20" s="78">
        <v>0.4</v>
      </c>
      <c r="E20" s="78">
        <v>0.4</v>
      </c>
      <c r="F20" s="78">
        <v>0.4</v>
      </c>
      <c r="G20" s="78">
        <v>0.4</v>
      </c>
      <c r="L20" s="73" t="s">
        <v>348</v>
      </c>
      <c r="M20" s="73">
        <v>2</v>
      </c>
    </row>
    <row r="21" spans="1:13" ht="11.25" customHeight="1">
      <c r="B21" s="71" t="s">
        <v>349</v>
      </c>
      <c r="C21" s="78">
        <v>0.6</v>
      </c>
      <c r="D21" s="78">
        <v>0.6</v>
      </c>
      <c r="E21" s="78">
        <v>0.6</v>
      </c>
      <c r="F21" s="78">
        <v>0.6</v>
      </c>
      <c r="G21" s="78">
        <v>0.6</v>
      </c>
      <c r="L21" s="73" t="s">
        <v>350</v>
      </c>
      <c r="M21" s="73">
        <v>2</v>
      </c>
    </row>
    <row r="22" spans="1:13" ht="11.25" customHeight="1">
      <c r="B22" s="71" t="s">
        <v>351</v>
      </c>
      <c r="C22" s="79">
        <v>2127</v>
      </c>
      <c r="D22" s="80">
        <v>2095</v>
      </c>
      <c r="E22" s="80">
        <v>2032</v>
      </c>
      <c r="F22" s="80">
        <v>2032</v>
      </c>
      <c r="G22" s="80">
        <v>2001</v>
      </c>
      <c r="H22" s="81">
        <v>2032</v>
      </c>
      <c r="I22" s="81">
        <v>2127</v>
      </c>
      <c r="J22" s="81">
        <v>1970</v>
      </c>
      <c r="K22" s="81">
        <v>2127</v>
      </c>
      <c r="L22" s="73"/>
      <c r="M22" s="73">
        <v>2</v>
      </c>
    </row>
    <row r="23" spans="1:13" ht="11.25" customHeight="1">
      <c r="B23" s="71" t="s">
        <v>352</v>
      </c>
      <c r="C23" s="82">
        <v>3.07</v>
      </c>
      <c r="D23" s="82">
        <v>3.02</v>
      </c>
      <c r="E23" s="82">
        <v>2.93</v>
      </c>
      <c r="F23" s="82">
        <v>2.93</v>
      </c>
      <c r="G23" s="82">
        <v>2.89</v>
      </c>
      <c r="H23" s="59">
        <v>2.93</v>
      </c>
      <c r="I23" s="59">
        <v>3.07</v>
      </c>
      <c r="J23" s="59">
        <v>2.84</v>
      </c>
      <c r="K23" s="59">
        <v>3.07</v>
      </c>
      <c r="L23" s="73"/>
      <c r="M23" s="73">
        <v>2</v>
      </c>
    </row>
    <row r="24" spans="1:13" ht="11.25" customHeight="1">
      <c r="A24" s="70" t="s">
        <v>353</v>
      </c>
      <c r="B24" s="75"/>
      <c r="C24" s="76"/>
      <c r="D24" s="76"/>
      <c r="E24" s="76"/>
      <c r="F24" s="76"/>
      <c r="G24" s="76"/>
      <c r="H24" s="70"/>
      <c r="I24" s="70"/>
      <c r="J24" s="70"/>
      <c r="K24" s="70"/>
      <c r="L24" s="73"/>
      <c r="M24" s="73"/>
    </row>
    <row r="25" spans="1:13" ht="11.25" customHeight="1">
      <c r="B25" s="71" t="s">
        <v>354</v>
      </c>
      <c r="C25" s="83">
        <f>C19*0.2</f>
        <v>0.19</v>
      </c>
      <c r="D25" s="83">
        <f>D19*0.2</f>
        <v>0.188</v>
      </c>
      <c r="E25" s="83">
        <f>E19*0.2</f>
        <v>0.18200000000000002</v>
      </c>
      <c r="F25" s="83">
        <f>F19*0.2</f>
        <v>0.18200000000000002</v>
      </c>
      <c r="G25" s="83">
        <f>G19*0.2</f>
        <v>0.17800000000000002</v>
      </c>
      <c r="H25" s="70"/>
      <c r="I25" s="70"/>
      <c r="J25" s="70"/>
      <c r="K25" s="70"/>
      <c r="L25" s="73" t="s">
        <v>355</v>
      </c>
      <c r="M25" s="73"/>
    </row>
    <row r="26" spans="1:13" ht="11.25" customHeight="1">
      <c r="B26" s="71" t="s">
        <v>356</v>
      </c>
      <c r="C26" s="73" t="s">
        <v>224</v>
      </c>
      <c r="D26" s="73" t="s">
        <v>224</v>
      </c>
      <c r="E26" s="73" t="s">
        <v>224</v>
      </c>
      <c r="F26" s="73" t="s">
        <v>224</v>
      </c>
      <c r="G26" s="73" t="s">
        <v>224</v>
      </c>
      <c r="L26" s="73"/>
      <c r="M26" s="73"/>
    </row>
    <row r="27" spans="1:13" ht="11.25" customHeight="1">
      <c r="B27" s="71" t="s">
        <v>357</v>
      </c>
      <c r="C27" s="73">
        <v>10</v>
      </c>
      <c r="D27" s="73">
        <v>10</v>
      </c>
      <c r="E27" s="73">
        <v>10</v>
      </c>
      <c r="F27" s="73">
        <v>10</v>
      </c>
      <c r="G27" s="73">
        <v>10</v>
      </c>
      <c r="L27" s="73"/>
      <c r="M27" s="73"/>
    </row>
    <row r="28" spans="1:13" ht="11.25" customHeight="1">
      <c r="B28" s="71" t="s">
        <v>358</v>
      </c>
      <c r="C28" s="73">
        <v>15</v>
      </c>
      <c r="D28" s="73">
        <v>15</v>
      </c>
      <c r="E28" s="73">
        <v>15</v>
      </c>
      <c r="F28" s="73">
        <v>15</v>
      </c>
      <c r="G28" s="73">
        <v>15</v>
      </c>
      <c r="L28" s="73" t="s">
        <v>359</v>
      </c>
      <c r="M28" s="73"/>
    </row>
    <row r="29" spans="1:13" ht="11.25" customHeight="1">
      <c r="B29" s="71" t="s">
        <v>360</v>
      </c>
      <c r="C29" s="73">
        <v>5</v>
      </c>
      <c r="D29" s="73">
        <v>5</v>
      </c>
      <c r="E29" s="73">
        <v>5</v>
      </c>
      <c r="F29" s="73">
        <v>5</v>
      </c>
      <c r="G29" s="73">
        <v>5</v>
      </c>
      <c r="L29" s="73" t="s">
        <v>359</v>
      </c>
      <c r="M29" s="73"/>
    </row>
    <row r="30" spans="1:13" ht="11.25" customHeight="1">
      <c r="B30" s="71" t="s">
        <v>361</v>
      </c>
      <c r="C30" s="84">
        <f>C6-C6/(C7/100)</f>
        <v>-86.552238805970148</v>
      </c>
      <c r="D30" s="84">
        <f>D6-D6/(D7/100)</f>
        <v>-84.463556851311949</v>
      </c>
      <c r="E30" s="84">
        <f>E6-E6/(E7/100)</f>
        <v>-83.206896551724142</v>
      </c>
      <c r="F30" s="84">
        <f>F6-F6/(F7/100)</f>
        <v>-82.748585148345043</v>
      </c>
      <c r="G30" s="84">
        <f>G6-G6/(G7/100)</f>
        <v>-81.899589255787177</v>
      </c>
      <c r="L30" s="73"/>
      <c r="M30" s="73"/>
    </row>
    <row r="31" spans="1:13" ht="11.25" customHeight="1" thickBot="1">
      <c r="A31" s="85"/>
      <c r="B31" s="85"/>
      <c r="C31" s="85"/>
      <c r="D31" s="85"/>
      <c r="E31" s="85"/>
      <c r="F31" s="85"/>
      <c r="G31" s="85"/>
      <c r="H31" s="85"/>
      <c r="I31" s="85"/>
      <c r="J31" s="85"/>
      <c r="K31" s="85"/>
      <c r="L31" s="85"/>
      <c r="M31" s="85"/>
    </row>
    <row r="32" spans="1:13" ht="11.25" customHeight="1">
      <c r="A32" s="86"/>
      <c r="B32" s="86"/>
      <c r="C32" s="86"/>
      <c r="D32" s="86"/>
      <c r="E32" s="86"/>
      <c r="F32" s="86"/>
      <c r="G32" s="86"/>
      <c r="H32" s="86"/>
      <c r="I32" s="86"/>
      <c r="J32" s="86"/>
      <c r="K32" s="86"/>
      <c r="L32" s="86"/>
      <c r="M32" s="86"/>
    </row>
    <row r="33" spans="1:13" ht="11.25" customHeight="1">
      <c r="A33" s="87" t="s">
        <v>362</v>
      </c>
      <c r="C33" s="86"/>
      <c r="D33" s="86"/>
      <c r="E33" s="86"/>
      <c r="F33" s="86"/>
      <c r="G33" s="86"/>
      <c r="H33" s="86"/>
      <c r="I33" s="86"/>
      <c r="J33" s="86"/>
      <c r="K33" s="86"/>
      <c r="L33" s="86"/>
      <c r="M33" s="86"/>
    </row>
    <row r="34" spans="1:13" ht="11.25" customHeight="1">
      <c r="A34" s="88" t="s">
        <v>328</v>
      </c>
      <c r="B34" s="86" t="s">
        <v>363</v>
      </c>
      <c r="C34" s="86"/>
      <c r="D34" s="86"/>
      <c r="E34" s="86"/>
      <c r="F34" s="86"/>
      <c r="G34" s="86"/>
      <c r="H34" s="86"/>
      <c r="I34" s="86"/>
      <c r="J34" s="86"/>
      <c r="K34" s="86"/>
      <c r="L34" s="86"/>
      <c r="M34" s="86"/>
    </row>
    <row r="35" spans="1:13" ht="11.25" customHeight="1">
      <c r="A35" s="88" t="s">
        <v>331</v>
      </c>
      <c r="B35" s="86" t="s">
        <v>364</v>
      </c>
      <c r="C35" s="86"/>
      <c r="D35" s="86"/>
      <c r="E35" s="86"/>
      <c r="F35" s="86"/>
      <c r="G35" s="86"/>
      <c r="H35" s="86"/>
      <c r="I35" s="86"/>
      <c r="J35" s="86"/>
      <c r="K35" s="86"/>
      <c r="L35" s="86"/>
      <c r="M35" s="86"/>
    </row>
    <row r="36" spans="1:13" ht="11.25" customHeight="1">
      <c r="A36" s="88" t="s">
        <v>365</v>
      </c>
      <c r="B36" s="86" t="s">
        <v>366</v>
      </c>
      <c r="C36" s="86"/>
      <c r="D36" s="86"/>
      <c r="E36" s="86"/>
      <c r="F36" s="86"/>
      <c r="G36" s="86"/>
      <c r="H36" s="86"/>
      <c r="I36" s="86"/>
      <c r="J36" s="86"/>
      <c r="K36" s="86"/>
      <c r="L36" s="86"/>
      <c r="M36" s="86"/>
    </row>
    <row r="37" spans="1:13" ht="11.25" customHeight="1">
      <c r="A37" s="88" t="s">
        <v>337</v>
      </c>
      <c r="B37" s="86" t="s">
        <v>367</v>
      </c>
      <c r="D37" s="86"/>
      <c r="E37" s="86"/>
      <c r="F37" s="86"/>
      <c r="G37" s="86"/>
      <c r="H37" s="86"/>
      <c r="I37" s="86"/>
      <c r="J37" s="86"/>
      <c r="K37" s="86"/>
      <c r="L37" s="86"/>
      <c r="M37" s="86"/>
    </row>
    <row r="38" spans="1:13" ht="11.25" customHeight="1">
      <c r="A38" s="88" t="s">
        <v>348</v>
      </c>
      <c r="B38" s="86" t="s">
        <v>368</v>
      </c>
      <c r="C38" s="86"/>
      <c r="D38" s="86"/>
      <c r="E38" s="86"/>
      <c r="F38" s="86"/>
      <c r="G38" s="86"/>
      <c r="H38" s="86"/>
      <c r="I38" s="86"/>
      <c r="J38" s="86"/>
      <c r="K38" s="86"/>
      <c r="L38" s="86"/>
      <c r="M38" s="86"/>
    </row>
    <row r="39" spans="1:13" ht="11.25" customHeight="1">
      <c r="A39" s="88" t="s">
        <v>350</v>
      </c>
      <c r="B39" s="86" t="s">
        <v>369</v>
      </c>
      <c r="C39" s="86"/>
      <c r="D39" s="86"/>
      <c r="E39" s="86"/>
      <c r="F39" s="86"/>
      <c r="G39" s="86"/>
      <c r="H39" s="86"/>
      <c r="I39" s="86"/>
      <c r="J39" s="86"/>
      <c r="K39" s="86"/>
      <c r="L39" s="86"/>
      <c r="M39" s="86"/>
    </row>
    <row r="40" spans="1:13" ht="11.25" customHeight="1">
      <c r="A40" s="88" t="s">
        <v>370</v>
      </c>
      <c r="B40" s="86" t="s">
        <v>371</v>
      </c>
      <c r="C40" s="86"/>
      <c r="D40" s="86"/>
      <c r="E40" s="86"/>
      <c r="F40" s="86"/>
      <c r="G40" s="86"/>
      <c r="H40" s="86"/>
      <c r="I40" s="86"/>
      <c r="J40" s="86"/>
      <c r="K40" s="86"/>
      <c r="L40" s="86"/>
      <c r="M40" s="86"/>
    </row>
    <row r="41" spans="1:13" ht="11.25" customHeight="1">
      <c r="A41" s="88" t="s">
        <v>355</v>
      </c>
      <c r="B41" s="86" t="s">
        <v>372</v>
      </c>
      <c r="C41" s="86"/>
      <c r="D41" s="86"/>
      <c r="E41" s="86"/>
      <c r="F41" s="86"/>
      <c r="G41" s="86"/>
      <c r="H41" s="86"/>
      <c r="I41" s="86"/>
      <c r="J41" s="86"/>
      <c r="K41" s="86"/>
      <c r="L41" s="86"/>
      <c r="M41" s="86"/>
    </row>
    <row r="42" spans="1:13" ht="11.25" customHeight="1">
      <c r="A42" s="88" t="s">
        <v>359</v>
      </c>
      <c r="B42" s="86" t="s">
        <v>373</v>
      </c>
      <c r="C42" s="86"/>
      <c r="D42" s="86"/>
      <c r="E42" s="86"/>
      <c r="F42" s="86"/>
      <c r="G42" s="86"/>
      <c r="H42" s="86"/>
      <c r="I42" s="86"/>
      <c r="J42" s="86"/>
      <c r="K42" s="86"/>
      <c r="L42" s="86"/>
      <c r="M42" s="86"/>
    </row>
    <row r="43" spans="1:13" ht="11.25" customHeight="1">
      <c r="C43" s="86"/>
    </row>
    <row r="44" spans="1:13" ht="11.25" customHeight="1">
      <c r="A44" s="67" t="s">
        <v>374</v>
      </c>
      <c r="B44" s="86"/>
      <c r="C44" s="86"/>
    </row>
    <row r="45" spans="1:13" ht="11.25" customHeight="1">
      <c r="A45" s="59">
        <v>1</v>
      </c>
      <c r="B45" s="86" t="s">
        <v>375</v>
      </c>
      <c r="C45" s="86"/>
    </row>
    <row r="46" spans="1:13" ht="11.25" customHeight="1">
      <c r="A46" s="59">
        <v>2</v>
      </c>
      <c r="B46" s="86" t="s">
        <v>376</v>
      </c>
      <c r="C46" s="86"/>
    </row>
    <row r="47" spans="1:13" ht="11.25" customHeight="1">
      <c r="A47" s="59">
        <v>3</v>
      </c>
      <c r="B47" s="86" t="s">
        <v>377</v>
      </c>
    </row>
  </sheetData>
  <mergeCells count="1">
    <mergeCell ref="C1:M1"/>
  </mergeCells>
  <hyperlinks>
    <hyperlink ref="C1" location="INDEX" display="Combined heating and cooling heat pump, up to 80 °C, Temp lift = 75 K" xr:uid="{CCBCD405-5A24-49EE-ABCE-9855F6FA62E8}"/>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5562C-9C7F-4F55-9F3C-B115F4252487}">
  <dimension ref="A1:M192"/>
  <sheetViews>
    <sheetView showGridLines="0" zoomScaleNormal="100" workbookViewId="0">
      <pane xSplit="2" ySplit="2" topLeftCell="C3" activePane="bottomRight" state="frozen"/>
      <selection activeCell="H7" sqref="H7:K7"/>
      <selection pane="topRight" activeCell="H7" sqref="H7:K7"/>
      <selection pane="bottomLeft" activeCell="H7" sqref="H7:K7"/>
      <selection pane="bottomRight" activeCell="N5" sqref="N5"/>
    </sheetView>
  </sheetViews>
  <sheetFormatPr defaultColWidth="9" defaultRowHeight="11.25" customHeight="1"/>
  <cols>
    <col min="1" max="1" width="3.7109375" style="90" customWidth="1"/>
    <col min="2" max="2" width="57.85546875" style="90" customWidth="1"/>
    <col min="3" max="13" width="9.28515625" style="90" customWidth="1"/>
    <col min="14" max="16384" width="9" style="90"/>
  </cols>
  <sheetData>
    <row r="1" spans="1:13" ht="11.25" customHeight="1">
      <c r="A1" s="56" t="s">
        <v>316</v>
      </c>
      <c r="B1" s="89"/>
      <c r="C1" s="161" t="s">
        <v>378</v>
      </c>
      <c r="D1" s="160"/>
      <c r="E1" s="160"/>
      <c r="F1" s="160"/>
      <c r="G1" s="160"/>
      <c r="H1" s="160"/>
      <c r="I1" s="160"/>
      <c r="J1" s="160"/>
      <c r="K1" s="160"/>
      <c r="L1" s="160"/>
      <c r="M1" s="160"/>
    </row>
    <row r="2" spans="1:13" ht="11.25" customHeight="1">
      <c r="A2" s="60" t="s">
        <v>318</v>
      </c>
      <c r="B2" s="60"/>
      <c r="C2" s="58">
        <v>2025</v>
      </c>
      <c r="D2" s="58">
        <v>2030</v>
      </c>
      <c r="E2" s="58">
        <v>2035</v>
      </c>
      <c r="F2" s="58">
        <v>2040</v>
      </c>
      <c r="G2" s="58">
        <v>2050</v>
      </c>
      <c r="H2" s="58">
        <v>2025</v>
      </c>
      <c r="I2" s="58">
        <v>2025</v>
      </c>
      <c r="J2" s="58">
        <v>2050</v>
      </c>
      <c r="K2" s="58">
        <v>2050</v>
      </c>
      <c r="L2" s="58" t="s">
        <v>275</v>
      </c>
      <c r="M2" s="58" t="s">
        <v>319</v>
      </c>
    </row>
    <row r="3" spans="1:13" ht="11.25" customHeight="1" thickBot="1">
      <c r="A3" s="62" t="s">
        <v>320</v>
      </c>
      <c r="B3" s="62"/>
      <c r="C3" s="64" t="s">
        <v>321</v>
      </c>
      <c r="D3" s="64" t="s">
        <v>321</v>
      </c>
      <c r="E3" s="64" t="s">
        <v>321</v>
      </c>
      <c r="F3" s="64" t="s">
        <v>321</v>
      </c>
      <c r="G3" s="64" t="s">
        <v>321</v>
      </c>
      <c r="H3" s="64" t="s">
        <v>322</v>
      </c>
      <c r="I3" s="64" t="s">
        <v>323</v>
      </c>
      <c r="J3" s="64" t="s">
        <v>322</v>
      </c>
      <c r="K3" s="64" t="s">
        <v>323</v>
      </c>
      <c r="L3" s="64" t="s">
        <v>224</v>
      </c>
      <c r="M3" s="64" t="s">
        <v>224</v>
      </c>
    </row>
    <row r="4" spans="1:13" ht="11.25" customHeight="1">
      <c r="A4" s="65" t="s">
        <v>324</v>
      </c>
      <c r="B4" s="65" t="s">
        <v>325</v>
      </c>
      <c r="C4" s="58"/>
      <c r="D4" s="58"/>
      <c r="E4" s="58"/>
      <c r="F4" s="58"/>
      <c r="G4" s="58"/>
      <c r="H4" s="58"/>
      <c r="I4" s="58"/>
      <c r="J4" s="58"/>
      <c r="K4" s="58"/>
      <c r="L4" s="58"/>
      <c r="M4" s="58"/>
    </row>
    <row r="5" spans="1:13" ht="11.25" customHeight="1">
      <c r="A5" s="87" t="s">
        <v>326</v>
      </c>
      <c r="C5" s="91"/>
      <c r="D5" s="91"/>
      <c r="E5" s="91"/>
      <c r="F5" s="91"/>
      <c r="G5" s="91"/>
      <c r="H5" s="91"/>
      <c r="I5" s="91"/>
      <c r="J5" s="91"/>
      <c r="K5" s="91"/>
      <c r="L5" s="91"/>
      <c r="M5" s="91"/>
    </row>
    <row r="6" spans="1:13" ht="11.25" customHeight="1">
      <c r="A6" s="87"/>
      <c r="B6" s="90" t="s">
        <v>327</v>
      </c>
      <c r="C6" s="92">
        <v>2</v>
      </c>
      <c r="D6" s="92">
        <v>2</v>
      </c>
      <c r="E6" s="92">
        <v>3</v>
      </c>
      <c r="F6" s="92">
        <v>3</v>
      </c>
      <c r="G6" s="92">
        <v>3</v>
      </c>
      <c r="H6" s="92">
        <v>0.5</v>
      </c>
      <c r="I6" s="92">
        <v>80</v>
      </c>
      <c r="J6" s="92">
        <v>0.5</v>
      </c>
      <c r="K6" s="92">
        <v>100</v>
      </c>
      <c r="L6" s="92" t="s">
        <v>331</v>
      </c>
      <c r="M6" s="92">
        <v>4</v>
      </c>
    </row>
    <row r="7" spans="1:13" ht="11.25" customHeight="1">
      <c r="A7" s="87"/>
      <c r="B7" s="90" t="s">
        <v>379</v>
      </c>
      <c r="C7" s="93">
        <v>2.75</v>
      </c>
      <c r="D7" s="93">
        <v>2.85</v>
      </c>
      <c r="E7" s="93">
        <v>2.9</v>
      </c>
      <c r="F7" s="93">
        <v>2.95</v>
      </c>
      <c r="G7" s="93">
        <v>3</v>
      </c>
      <c r="H7" s="93">
        <v>2.25</v>
      </c>
      <c r="I7" s="93">
        <v>4</v>
      </c>
      <c r="J7" s="93">
        <v>2.5</v>
      </c>
      <c r="K7" s="93">
        <v>4.5</v>
      </c>
      <c r="L7" s="92" t="s">
        <v>380</v>
      </c>
      <c r="M7" s="92">
        <v>1</v>
      </c>
    </row>
    <row r="8" spans="1:13" ht="11.25" customHeight="1">
      <c r="A8" s="87"/>
      <c r="B8" s="90" t="s">
        <v>333</v>
      </c>
      <c r="C8" s="93">
        <v>2.7</v>
      </c>
      <c r="D8" s="93">
        <v>2.8</v>
      </c>
      <c r="E8" s="93">
        <v>2.85</v>
      </c>
      <c r="F8" s="93">
        <v>2.9</v>
      </c>
      <c r="G8" s="93">
        <v>2.95</v>
      </c>
      <c r="H8" s="93">
        <v>2.2000000000000002</v>
      </c>
      <c r="I8" s="93">
        <v>3.95</v>
      </c>
      <c r="J8" s="93">
        <v>2.4500000000000002</v>
      </c>
      <c r="K8" s="93">
        <v>4.45</v>
      </c>
      <c r="L8" s="92"/>
      <c r="M8" s="92"/>
    </row>
    <row r="9" spans="1:13" ht="11.25" customHeight="1">
      <c r="A9" s="87"/>
      <c r="B9" s="90" t="s">
        <v>335</v>
      </c>
      <c r="C9" s="93">
        <v>0.02</v>
      </c>
      <c r="D9" s="93">
        <v>0.02</v>
      </c>
      <c r="E9" s="93">
        <v>0.02</v>
      </c>
      <c r="F9" s="93">
        <v>0.02</v>
      </c>
      <c r="G9" s="93">
        <v>0.02</v>
      </c>
      <c r="H9" s="93">
        <v>0.01</v>
      </c>
      <c r="I9" s="93">
        <v>7.0000000000000007E-2</v>
      </c>
      <c r="J9" s="93">
        <v>0.01</v>
      </c>
      <c r="K9" s="93">
        <v>7.0000000000000007E-2</v>
      </c>
      <c r="L9" s="92"/>
      <c r="M9" s="92">
        <v>1</v>
      </c>
    </row>
    <row r="10" spans="1:13" ht="11.25" customHeight="1">
      <c r="A10" s="94"/>
      <c r="B10" s="94" t="s">
        <v>381</v>
      </c>
      <c r="C10" s="95">
        <v>0</v>
      </c>
      <c r="D10" s="95">
        <v>0</v>
      </c>
      <c r="E10" s="95">
        <v>0</v>
      </c>
      <c r="F10" s="95">
        <v>0</v>
      </c>
      <c r="G10" s="95">
        <v>0</v>
      </c>
      <c r="H10" s="95">
        <v>0</v>
      </c>
      <c r="I10" s="95">
        <v>1</v>
      </c>
      <c r="J10" s="95">
        <v>0</v>
      </c>
      <c r="K10" s="95">
        <v>1</v>
      </c>
      <c r="L10" s="92"/>
      <c r="M10" s="92">
        <v>4</v>
      </c>
    </row>
    <row r="11" spans="1:13" ht="11.25" customHeight="1">
      <c r="A11" s="87"/>
      <c r="B11" s="90" t="s">
        <v>338</v>
      </c>
      <c r="C11" s="96">
        <v>0.5</v>
      </c>
      <c r="D11" s="96">
        <v>0.5</v>
      </c>
      <c r="E11" s="96">
        <v>0.5</v>
      </c>
      <c r="F11" s="96">
        <v>0.5</v>
      </c>
      <c r="G11" s="96">
        <v>0.5</v>
      </c>
      <c r="H11" s="96">
        <v>0</v>
      </c>
      <c r="I11" s="96">
        <v>1</v>
      </c>
      <c r="J11" s="96">
        <v>0</v>
      </c>
      <c r="K11" s="96">
        <v>1</v>
      </c>
      <c r="L11" s="92"/>
      <c r="M11" s="92">
        <v>4</v>
      </c>
    </row>
    <row r="12" spans="1:13" ht="11.25" customHeight="1">
      <c r="A12" s="87"/>
      <c r="B12" s="90" t="s">
        <v>339</v>
      </c>
      <c r="C12" s="92">
        <v>20</v>
      </c>
      <c r="D12" s="92">
        <v>20</v>
      </c>
      <c r="E12" s="92">
        <v>20</v>
      </c>
      <c r="F12" s="92">
        <v>20</v>
      </c>
      <c r="G12" s="92">
        <v>20</v>
      </c>
      <c r="H12" s="92">
        <v>15</v>
      </c>
      <c r="I12" s="92">
        <v>30</v>
      </c>
      <c r="J12" s="92">
        <v>15</v>
      </c>
      <c r="K12" s="92">
        <v>30</v>
      </c>
      <c r="L12" s="92" t="s">
        <v>337</v>
      </c>
      <c r="M12" s="92">
        <v>4</v>
      </c>
    </row>
    <row r="13" spans="1:13" ht="11.25" customHeight="1">
      <c r="A13" s="87"/>
      <c r="B13" s="90" t="s">
        <v>340</v>
      </c>
      <c r="C13" s="96">
        <v>0.6</v>
      </c>
      <c r="D13" s="96">
        <v>0.5</v>
      </c>
      <c r="E13" s="96">
        <v>0.4</v>
      </c>
      <c r="F13" s="96">
        <v>0.4</v>
      </c>
      <c r="G13" s="96">
        <v>0.4</v>
      </c>
      <c r="H13" s="96">
        <v>0.4</v>
      </c>
      <c r="I13" s="96">
        <v>0.8</v>
      </c>
      <c r="J13" s="96">
        <v>0.2</v>
      </c>
      <c r="K13" s="96">
        <v>0.8</v>
      </c>
      <c r="L13" s="91" t="s">
        <v>348</v>
      </c>
      <c r="M13" s="92">
        <v>4</v>
      </c>
    </row>
    <row r="14" spans="1:13" ht="11.25" customHeight="1">
      <c r="A14" s="87"/>
      <c r="B14" s="90" t="s">
        <v>382</v>
      </c>
      <c r="C14" s="97">
        <v>0.03</v>
      </c>
      <c r="D14" s="97">
        <v>0.03</v>
      </c>
      <c r="E14" s="97">
        <v>0.03</v>
      </c>
      <c r="F14" s="97">
        <v>0.03</v>
      </c>
      <c r="G14" s="97">
        <v>0.03</v>
      </c>
      <c r="H14" s="97">
        <v>0.02</v>
      </c>
      <c r="I14" s="97">
        <v>0.06</v>
      </c>
      <c r="J14" s="97">
        <v>0.01</v>
      </c>
      <c r="K14" s="97">
        <v>0.05</v>
      </c>
      <c r="L14" s="91"/>
      <c r="M14" s="92"/>
    </row>
    <row r="15" spans="1:13" ht="11.25" customHeight="1">
      <c r="A15" s="87" t="s">
        <v>383</v>
      </c>
      <c r="C15" s="92"/>
      <c r="D15" s="92"/>
      <c r="E15" s="92"/>
      <c r="F15" s="92"/>
      <c r="G15" s="92"/>
      <c r="H15" s="92"/>
      <c r="I15" s="92"/>
      <c r="J15" s="92"/>
      <c r="K15" s="92"/>
      <c r="L15" s="92"/>
      <c r="M15" s="92"/>
    </row>
    <row r="16" spans="1:13" ht="11.25" customHeight="1">
      <c r="A16" s="94"/>
      <c r="B16" s="94" t="s">
        <v>384</v>
      </c>
      <c r="C16" s="93">
        <v>0.05</v>
      </c>
      <c r="D16" s="93">
        <v>7.0000000000000007E-2</v>
      </c>
      <c r="E16" s="93">
        <v>0.08</v>
      </c>
      <c r="F16" s="93">
        <v>0.09</v>
      </c>
      <c r="G16" s="93">
        <v>0.1</v>
      </c>
      <c r="H16" s="93">
        <v>0.02</v>
      </c>
      <c r="I16" s="93">
        <v>0.1</v>
      </c>
      <c r="J16" s="93">
        <v>0.05</v>
      </c>
      <c r="K16" s="93">
        <v>0.2</v>
      </c>
      <c r="L16" s="92"/>
      <c r="M16" s="92"/>
    </row>
    <row r="17" spans="1:13" ht="11.25" customHeight="1">
      <c r="A17" s="94"/>
      <c r="B17" s="94" t="s">
        <v>385</v>
      </c>
      <c r="C17" s="93">
        <v>0.1</v>
      </c>
      <c r="D17" s="93">
        <v>0.14000000000000001</v>
      </c>
      <c r="E17" s="93">
        <v>0.16</v>
      </c>
      <c r="F17" s="93">
        <v>0.18</v>
      </c>
      <c r="G17" s="93">
        <v>0.2</v>
      </c>
      <c r="H17" s="93">
        <v>0.04</v>
      </c>
      <c r="I17" s="93">
        <v>0.2</v>
      </c>
      <c r="J17" s="93">
        <v>0.1</v>
      </c>
      <c r="K17" s="93">
        <v>0.4</v>
      </c>
      <c r="L17" s="92"/>
      <c r="M17" s="92"/>
    </row>
    <row r="18" spans="1:13" ht="11.25" customHeight="1">
      <c r="A18" s="94"/>
      <c r="B18" s="94" t="s">
        <v>386</v>
      </c>
      <c r="C18" s="93">
        <v>0.25</v>
      </c>
      <c r="D18" s="93">
        <v>0.25</v>
      </c>
      <c r="E18" s="93">
        <v>0.25</v>
      </c>
      <c r="F18" s="93">
        <v>0.25</v>
      </c>
      <c r="G18" s="93">
        <v>0.25</v>
      </c>
      <c r="H18" s="93">
        <v>0.1</v>
      </c>
      <c r="I18" s="93">
        <v>0.5</v>
      </c>
      <c r="J18" s="93">
        <v>0.1</v>
      </c>
      <c r="K18" s="93">
        <v>0.5</v>
      </c>
      <c r="L18" s="92" t="s">
        <v>350</v>
      </c>
      <c r="M18" s="92">
        <v>4</v>
      </c>
    </row>
    <row r="19" spans="1:13" ht="11.25" customHeight="1">
      <c r="A19" s="87"/>
      <c r="B19" s="90" t="s">
        <v>343</v>
      </c>
      <c r="C19" s="92">
        <v>0.25</v>
      </c>
      <c r="D19" s="92">
        <v>0.25</v>
      </c>
      <c r="E19" s="92">
        <v>0.25</v>
      </c>
      <c r="F19" s="92">
        <v>0.25</v>
      </c>
      <c r="G19" s="92">
        <v>0.25</v>
      </c>
      <c r="H19" s="92">
        <v>0.1</v>
      </c>
      <c r="I19" s="92">
        <v>0.5</v>
      </c>
      <c r="J19" s="92">
        <v>0.1</v>
      </c>
      <c r="K19" s="92">
        <v>0.25</v>
      </c>
      <c r="L19" s="92"/>
      <c r="M19" s="92">
        <v>4</v>
      </c>
    </row>
    <row r="20" spans="1:13" ht="11.25" customHeight="1">
      <c r="A20" s="87"/>
      <c r="B20" s="90" t="s">
        <v>344</v>
      </c>
      <c r="C20" s="92">
        <v>1</v>
      </c>
      <c r="D20" s="92">
        <v>1</v>
      </c>
      <c r="E20" s="92">
        <v>1</v>
      </c>
      <c r="F20" s="92">
        <v>1</v>
      </c>
      <c r="G20" s="92">
        <v>1</v>
      </c>
      <c r="H20" s="92">
        <v>0.5</v>
      </c>
      <c r="I20" s="92">
        <v>1.5</v>
      </c>
      <c r="J20" s="92">
        <v>0.5</v>
      </c>
      <c r="K20" s="92">
        <v>1.5</v>
      </c>
      <c r="L20" s="92"/>
      <c r="M20" s="92">
        <v>4</v>
      </c>
    </row>
    <row r="21" spans="1:13" ht="11.25" customHeight="1">
      <c r="A21" s="87" t="s">
        <v>387</v>
      </c>
      <c r="C21" s="92"/>
      <c r="D21" s="92"/>
      <c r="E21" s="92"/>
      <c r="F21" s="92"/>
      <c r="G21" s="92"/>
      <c r="H21" s="92"/>
      <c r="I21" s="92"/>
      <c r="J21" s="92"/>
      <c r="K21" s="92"/>
      <c r="L21" s="92"/>
      <c r="M21" s="92"/>
    </row>
    <row r="22" spans="1:13" ht="11.25" customHeight="1">
      <c r="A22" s="87"/>
      <c r="B22" s="90" t="s">
        <v>388</v>
      </c>
      <c r="C22" s="97">
        <v>1.55</v>
      </c>
      <c r="D22" s="97">
        <v>1.5</v>
      </c>
      <c r="E22" s="97">
        <v>1.45</v>
      </c>
      <c r="F22" s="97">
        <v>1.4</v>
      </c>
      <c r="G22" s="97">
        <v>1.35</v>
      </c>
      <c r="H22" s="97">
        <v>1.25</v>
      </c>
      <c r="I22" s="97">
        <v>1.8</v>
      </c>
      <c r="J22" s="97">
        <v>1.1000000000000001</v>
      </c>
      <c r="K22" s="97">
        <v>1.65</v>
      </c>
      <c r="L22" s="92" t="s">
        <v>370</v>
      </c>
      <c r="M22" s="92"/>
    </row>
    <row r="23" spans="1:13" ht="11.25" customHeight="1">
      <c r="A23" s="87"/>
      <c r="B23" s="90" t="s">
        <v>347</v>
      </c>
      <c r="C23" s="98">
        <v>0.4</v>
      </c>
      <c r="D23" s="98">
        <v>0.4</v>
      </c>
      <c r="E23" s="98">
        <v>0.4</v>
      </c>
      <c r="F23" s="98">
        <v>0.4</v>
      </c>
      <c r="G23" s="98">
        <v>0.4</v>
      </c>
      <c r="H23" s="98">
        <v>0.25</v>
      </c>
      <c r="I23" s="98">
        <v>0.6</v>
      </c>
      <c r="J23" s="98">
        <v>0.25</v>
      </c>
      <c r="K23" s="98">
        <v>0.7</v>
      </c>
      <c r="L23" s="92" t="s">
        <v>328</v>
      </c>
      <c r="M23" s="92">
        <v>1</v>
      </c>
    </row>
    <row r="24" spans="1:13" ht="11.25" customHeight="1">
      <c r="A24" s="87"/>
      <c r="B24" s="90" t="s">
        <v>389</v>
      </c>
      <c r="C24" s="98">
        <v>0.6</v>
      </c>
      <c r="D24" s="98">
        <v>0.6</v>
      </c>
      <c r="E24" s="98">
        <v>0.6</v>
      </c>
      <c r="F24" s="98">
        <v>0.6</v>
      </c>
      <c r="G24" s="98">
        <v>0.6</v>
      </c>
      <c r="H24" s="98">
        <v>0.4</v>
      </c>
      <c r="I24" s="98">
        <v>0.75</v>
      </c>
      <c r="J24" s="98">
        <v>0.3</v>
      </c>
      <c r="K24" s="98">
        <v>0.75</v>
      </c>
      <c r="L24" s="92" t="s">
        <v>328</v>
      </c>
      <c r="M24" s="92">
        <v>3</v>
      </c>
    </row>
    <row r="25" spans="1:13" ht="11.25" customHeight="1">
      <c r="A25" s="87"/>
      <c r="B25" s="90" t="s">
        <v>390</v>
      </c>
      <c r="C25" s="99">
        <v>2494</v>
      </c>
      <c r="D25" s="99">
        <v>2456</v>
      </c>
      <c r="E25" s="99">
        <v>2382</v>
      </c>
      <c r="F25" s="99">
        <v>2382</v>
      </c>
      <c r="G25" s="99">
        <v>2345</v>
      </c>
      <c r="H25" s="99"/>
      <c r="I25" s="99"/>
      <c r="J25" s="99"/>
      <c r="K25" s="99"/>
      <c r="L25" s="92"/>
      <c r="M25" s="92">
        <v>2</v>
      </c>
    </row>
    <row r="26" spans="1:13" ht="11.25" customHeight="1">
      <c r="A26" s="87"/>
      <c r="B26" s="90" t="s">
        <v>391</v>
      </c>
      <c r="C26" s="97">
        <v>3.6</v>
      </c>
      <c r="D26" s="97">
        <v>3.54</v>
      </c>
      <c r="E26" s="97">
        <v>3.43</v>
      </c>
      <c r="F26" s="97">
        <v>3.43</v>
      </c>
      <c r="G26" s="97">
        <v>3.39</v>
      </c>
      <c r="H26" s="97"/>
      <c r="I26" s="97"/>
      <c r="J26" s="97"/>
      <c r="K26" s="97"/>
      <c r="L26" s="92"/>
      <c r="M26" s="92">
        <v>1</v>
      </c>
    </row>
    <row r="27" spans="1:13" ht="11.25" customHeight="1">
      <c r="A27" s="87" t="s">
        <v>353</v>
      </c>
      <c r="C27" s="92"/>
      <c r="D27" s="92"/>
      <c r="E27" s="92"/>
      <c r="F27" s="92"/>
      <c r="G27" s="92"/>
      <c r="H27" s="92"/>
      <c r="I27" s="92"/>
      <c r="J27" s="92"/>
      <c r="K27" s="92"/>
      <c r="L27" s="92"/>
      <c r="M27" s="92"/>
    </row>
    <row r="28" spans="1:13" ht="11.25" customHeight="1">
      <c r="A28" s="87"/>
      <c r="B28" s="90" t="s">
        <v>392</v>
      </c>
      <c r="C28" s="99"/>
      <c r="D28" s="99"/>
      <c r="E28" s="99"/>
      <c r="F28" s="99"/>
      <c r="G28" s="99"/>
      <c r="H28" s="99"/>
      <c r="I28" s="99"/>
      <c r="J28" s="99"/>
      <c r="K28" s="99"/>
      <c r="L28" s="92"/>
      <c r="M28" s="92"/>
    </row>
    <row r="29" spans="1:13" ht="11.25" customHeight="1">
      <c r="A29" s="87"/>
      <c r="B29" s="90" t="s">
        <v>393</v>
      </c>
      <c r="C29" s="92">
        <v>0.23</v>
      </c>
      <c r="D29" s="92">
        <v>0.23</v>
      </c>
      <c r="E29" s="92">
        <v>0.23</v>
      </c>
      <c r="F29" s="92">
        <v>0.23</v>
      </c>
      <c r="G29" s="92">
        <v>0.23</v>
      </c>
      <c r="H29" s="92"/>
      <c r="I29" s="92"/>
      <c r="J29" s="92"/>
      <c r="K29" s="92"/>
      <c r="L29" s="92" t="s">
        <v>359</v>
      </c>
      <c r="M29" s="92"/>
    </row>
    <row r="30" spans="1:13" ht="11.25" customHeight="1">
      <c r="A30" s="87"/>
      <c r="B30" s="90" t="s">
        <v>394</v>
      </c>
      <c r="C30" s="98">
        <v>-0.15</v>
      </c>
      <c r="D30" s="98">
        <v>-0.1</v>
      </c>
      <c r="E30" s="98">
        <v>-0.05</v>
      </c>
      <c r="F30" s="98">
        <v>-0.05</v>
      </c>
      <c r="G30" s="98">
        <v>-0.05</v>
      </c>
      <c r="H30" s="98">
        <v>-0.05</v>
      </c>
      <c r="I30" s="98">
        <v>-0.2</v>
      </c>
      <c r="J30" s="98">
        <v>-0.05</v>
      </c>
      <c r="K30" s="98">
        <v>-0.15</v>
      </c>
      <c r="L30" s="92"/>
      <c r="M30" s="92" t="s">
        <v>395</v>
      </c>
    </row>
    <row r="31" spans="1:13" ht="11.25" customHeight="1">
      <c r="A31" s="87"/>
      <c r="B31" s="90" t="s">
        <v>396</v>
      </c>
      <c r="C31" s="100">
        <v>0.2</v>
      </c>
      <c r="D31" s="100">
        <v>0.15</v>
      </c>
      <c r="E31" s="100">
        <v>0.1</v>
      </c>
      <c r="F31" s="100">
        <v>0.1</v>
      </c>
      <c r="G31" s="100">
        <v>0.1</v>
      </c>
      <c r="H31" s="97">
        <v>0.05</v>
      </c>
      <c r="I31" s="97">
        <v>0.3</v>
      </c>
      <c r="J31" s="97">
        <v>0.05</v>
      </c>
      <c r="K31" s="97">
        <v>0.2</v>
      </c>
      <c r="L31" s="92"/>
      <c r="M31" s="92" t="s">
        <v>395</v>
      </c>
    </row>
    <row r="32" spans="1:13" ht="11.25" customHeight="1">
      <c r="A32" s="87"/>
      <c r="B32" s="101" t="s">
        <v>397</v>
      </c>
      <c r="C32" s="102">
        <f>MROUND(C22*C23*0.3,0.05)</f>
        <v>0.2</v>
      </c>
      <c r="D32" s="102">
        <f t="shared" ref="D32:K32" si="0">MROUND(D22*D23*0.3,0.05)</f>
        <v>0.2</v>
      </c>
      <c r="E32" s="102">
        <f t="shared" si="0"/>
        <v>0.15000000000000002</v>
      </c>
      <c r="F32" s="102">
        <f t="shared" si="0"/>
        <v>0.15000000000000002</v>
      </c>
      <c r="G32" s="102">
        <f t="shared" si="0"/>
        <v>0.15000000000000002</v>
      </c>
      <c r="H32" s="102">
        <f t="shared" si="0"/>
        <v>0.1</v>
      </c>
      <c r="I32" s="102">
        <f t="shared" si="0"/>
        <v>0.30000000000000004</v>
      </c>
      <c r="J32" s="102">
        <f t="shared" si="0"/>
        <v>0.1</v>
      </c>
      <c r="K32" s="102">
        <f t="shared" si="0"/>
        <v>0.35000000000000003</v>
      </c>
      <c r="L32" s="92"/>
      <c r="M32" s="92" t="s">
        <v>395</v>
      </c>
    </row>
    <row r="33" spans="1:13" ht="11.25" customHeight="1">
      <c r="A33" s="87"/>
      <c r="B33" s="90" t="s">
        <v>398</v>
      </c>
      <c r="C33" s="93">
        <v>4.45</v>
      </c>
      <c r="D33" s="93">
        <v>4.6500000000000004</v>
      </c>
      <c r="E33" s="93">
        <v>4.7</v>
      </c>
      <c r="F33" s="93">
        <v>4.8</v>
      </c>
      <c r="G33" s="93">
        <v>4.9000000000000004</v>
      </c>
      <c r="H33" s="93">
        <v>3.65</v>
      </c>
      <c r="I33" s="93">
        <v>6.5</v>
      </c>
      <c r="J33" s="93">
        <v>4.05</v>
      </c>
      <c r="K33" s="93">
        <v>7.3</v>
      </c>
      <c r="L33" s="92"/>
      <c r="M33" s="92" t="s">
        <v>395</v>
      </c>
    </row>
    <row r="34" spans="1:13" ht="11.25" customHeight="1">
      <c r="A34" s="103"/>
      <c r="B34" s="90" t="s">
        <v>399</v>
      </c>
      <c r="C34" s="93">
        <v>2.4</v>
      </c>
      <c r="D34" s="93">
        <v>2.4500000000000002</v>
      </c>
      <c r="E34" s="93">
        <v>2.5</v>
      </c>
      <c r="F34" s="93">
        <v>2.5499999999999998</v>
      </c>
      <c r="G34" s="93">
        <v>2.6</v>
      </c>
      <c r="H34" s="93">
        <v>2</v>
      </c>
      <c r="I34" s="93">
        <v>3.4</v>
      </c>
      <c r="J34" s="93">
        <v>2.2000000000000002</v>
      </c>
      <c r="K34" s="93">
        <v>3.8</v>
      </c>
      <c r="L34" s="92"/>
      <c r="M34" s="92" t="s">
        <v>395</v>
      </c>
    </row>
    <row r="35" spans="1:13" ht="11.25" customHeight="1">
      <c r="A35" s="103"/>
      <c r="B35" s="90" t="s">
        <v>400</v>
      </c>
      <c r="C35" s="93">
        <v>2.0499999999999998</v>
      </c>
      <c r="D35" s="93">
        <v>2.1</v>
      </c>
      <c r="E35" s="93">
        <v>2.15</v>
      </c>
      <c r="F35" s="93">
        <v>2.2000000000000002</v>
      </c>
      <c r="G35" s="93">
        <v>2.2000000000000002</v>
      </c>
      <c r="H35" s="93">
        <v>1.7</v>
      </c>
      <c r="I35" s="93">
        <v>2.85</v>
      </c>
      <c r="J35" s="93">
        <v>1.9</v>
      </c>
      <c r="K35" s="93">
        <v>3.2</v>
      </c>
      <c r="L35" s="92"/>
      <c r="M35" s="92" t="s">
        <v>395</v>
      </c>
    </row>
    <row r="36" spans="1:13" ht="11.25" customHeight="1" thickBot="1">
      <c r="A36" s="85"/>
      <c r="B36" s="85"/>
      <c r="C36" s="85"/>
      <c r="D36" s="85"/>
      <c r="E36" s="85"/>
      <c r="F36" s="85"/>
      <c r="G36" s="85"/>
      <c r="H36" s="85"/>
      <c r="I36" s="85"/>
      <c r="J36" s="85"/>
      <c r="K36" s="85"/>
      <c r="L36" s="85"/>
      <c r="M36" s="85"/>
    </row>
    <row r="37" spans="1:13" ht="11.25" customHeight="1">
      <c r="A37" s="103"/>
      <c r="B37" s="104"/>
      <c r="C37" s="105"/>
      <c r="D37" s="105"/>
      <c r="E37" s="105"/>
      <c r="F37" s="105"/>
      <c r="G37" s="105"/>
      <c r="H37" s="105"/>
      <c r="I37" s="105"/>
      <c r="J37" s="105"/>
      <c r="K37" s="105"/>
    </row>
    <row r="38" spans="1:13" ht="11.25" customHeight="1">
      <c r="A38" s="87" t="s">
        <v>362</v>
      </c>
    </row>
    <row r="39" spans="1:13" s="106" customFormat="1" ht="11.25" customHeight="1">
      <c r="A39" s="88" t="s">
        <v>328</v>
      </c>
      <c r="B39" s="106" t="s">
        <v>401</v>
      </c>
    </row>
    <row r="40" spans="1:13" s="106" customFormat="1" ht="11.25" customHeight="1">
      <c r="A40" s="88" t="s">
        <v>331</v>
      </c>
      <c r="B40" s="106" t="s">
        <v>402</v>
      </c>
    </row>
    <row r="41" spans="1:13" s="106" customFormat="1" ht="11.25" customHeight="1">
      <c r="A41" s="88" t="s">
        <v>365</v>
      </c>
      <c r="B41" s="106" t="s">
        <v>403</v>
      </c>
    </row>
    <row r="42" spans="1:13" s="106" customFormat="1" ht="11.25" customHeight="1">
      <c r="A42" s="88" t="s">
        <v>337</v>
      </c>
      <c r="B42" s="90" t="s">
        <v>404</v>
      </c>
    </row>
    <row r="43" spans="1:13" s="106" customFormat="1" ht="11.25" customHeight="1">
      <c r="A43" s="88" t="s">
        <v>348</v>
      </c>
      <c r="B43" s="106" t="s">
        <v>405</v>
      </c>
    </row>
    <row r="44" spans="1:13" ht="11.25" customHeight="1">
      <c r="A44" s="88" t="s">
        <v>350</v>
      </c>
      <c r="B44" s="106" t="s">
        <v>406</v>
      </c>
    </row>
    <row r="45" spans="1:13" ht="11.25" customHeight="1">
      <c r="A45" s="88" t="s">
        <v>370</v>
      </c>
      <c r="B45" s="106" t="s">
        <v>407</v>
      </c>
    </row>
    <row r="46" spans="1:13" ht="11.25" customHeight="1">
      <c r="A46" s="88" t="s">
        <v>355</v>
      </c>
      <c r="B46" s="106" t="s">
        <v>408</v>
      </c>
    </row>
    <row r="47" spans="1:13" ht="11.25" customHeight="1">
      <c r="A47" s="88" t="s">
        <v>359</v>
      </c>
      <c r="B47" s="106" t="s">
        <v>409</v>
      </c>
    </row>
    <row r="48" spans="1:13" ht="11.25" customHeight="1">
      <c r="A48" s="106"/>
      <c r="B48" s="106"/>
    </row>
    <row r="49" spans="1:2" s="106" customFormat="1" ht="11.25" customHeight="1">
      <c r="A49" s="87" t="s">
        <v>410</v>
      </c>
      <c r="B49" s="90"/>
    </row>
    <row r="50" spans="1:2" s="106" customFormat="1" ht="11.25" customHeight="1">
      <c r="A50" s="59">
        <v>1</v>
      </c>
      <c r="B50" s="106" t="s">
        <v>411</v>
      </c>
    </row>
    <row r="51" spans="1:2" s="106" customFormat="1" ht="11.25" customHeight="1">
      <c r="A51" s="59">
        <v>2</v>
      </c>
      <c r="B51" s="106" t="s">
        <v>412</v>
      </c>
    </row>
    <row r="52" spans="1:2" s="106" customFormat="1" ht="11.25" customHeight="1">
      <c r="A52" s="59">
        <v>3</v>
      </c>
      <c r="B52" s="90" t="s">
        <v>413</v>
      </c>
    </row>
    <row r="53" spans="1:2" ht="11.25" customHeight="1">
      <c r="A53" s="59">
        <v>4</v>
      </c>
      <c r="B53" s="90" t="s">
        <v>414</v>
      </c>
    </row>
    <row r="54" spans="1:2" ht="11.25" customHeight="1">
      <c r="A54" s="87"/>
    </row>
    <row r="55" spans="1:2" ht="11.25" customHeight="1">
      <c r="A55" s="87"/>
    </row>
    <row r="56" spans="1:2" ht="11.25" customHeight="1">
      <c r="A56" s="87"/>
    </row>
    <row r="57" spans="1:2" ht="11.25" customHeight="1">
      <c r="A57" s="87"/>
    </row>
    <row r="58" spans="1:2" ht="11.25" customHeight="1">
      <c r="A58" s="87"/>
    </row>
    <row r="59" spans="1:2" ht="11.25" customHeight="1">
      <c r="A59" s="87"/>
    </row>
    <row r="60" spans="1:2" ht="11.25" customHeight="1">
      <c r="A60" s="87"/>
    </row>
    <row r="61" spans="1:2" ht="11.25" customHeight="1">
      <c r="A61" s="87"/>
    </row>
    <row r="62" spans="1:2" ht="11.25" customHeight="1">
      <c r="A62" s="87"/>
    </row>
    <row r="63" spans="1:2" ht="11.25" customHeight="1">
      <c r="A63" s="87"/>
    </row>
    <row r="64" spans="1:2" ht="11.25" customHeight="1">
      <c r="A64" s="87"/>
    </row>
    <row r="65" spans="1:1" ht="11.25" customHeight="1">
      <c r="A65" s="87"/>
    </row>
    <row r="66" spans="1:1" ht="11.25" customHeight="1">
      <c r="A66" s="87"/>
    </row>
    <row r="67" spans="1:1" ht="11.25" customHeight="1">
      <c r="A67" s="87"/>
    </row>
    <row r="68" spans="1:1" ht="11.25" customHeight="1">
      <c r="A68" s="87"/>
    </row>
    <row r="69" spans="1:1" ht="11.25" customHeight="1">
      <c r="A69" s="87"/>
    </row>
    <row r="70" spans="1:1" ht="11.25" customHeight="1">
      <c r="A70" s="87"/>
    </row>
    <row r="71" spans="1:1" ht="11.25" customHeight="1">
      <c r="A71" s="87"/>
    </row>
    <row r="72" spans="1:1" ht="11.25" customHeight="1">
      <c r="A72" s="87"/>
    </row>
    <row r="73" spans="1:1" ht="11.25" customHeight="1">
      <c r="A73" s="87"/>
    </row>
    <row r="74" spans="1:1" ht="11.25" customHeight="1">
      <c r="A74" s="87"/>
    </row>
    <row r="75" spans="1:1" ht="11.25" customHeight="1">
      <c r="A75" s="87"/>
    </row>
    <row r="76" spans="1:1" ht="11.25" customHeight="1">
      <c r="A76" s="87"/>
    </row>
    <row r="77" spans="1:1" ht="11.25" customHeight="1">
      <c r="A77" s="87"/>
    </row>
    <row r="78" spans="1:1" ht="11.25" customHeight="1">
      <c r="A78" s="87"/>
    </row>
    <row r="79" spans="1:1" ht="11.25" customHeight="1">
      <c r="A79" s="87"/>
    </row>
    <row r="80" spans="1:1" ht="11.25" customHeight="1">
      <c r="A80" s="87"/>
    </row>
    <row r="81" spans="1:1" ht="11.25" customHeight="1">
      <c r="A81" s="87"/>
    </row>
    <row r="82" spans="1:1" ht="11.25" customHeight="1">
      <c r="A82" s="87"/>
    </row>
    <row r="83" spans="1:1" ht="11.25" customHeight="1">
      <c r="A83" s="87"/>
    </row>
    <row r="84" spans="1:1" ht="11.25" customHeight="1">
      <c r="A84" s="87"/>
    </row>
    <row r="85" spans="1:1" ht="11.25" customHeight="1">
      <c r="A85" s="87"/>
    </row>
    <row r="86" spans="1:1" ht="11.25" customHeight="1">
      <c r="A86" s="87"/>
    </row>
    <row r="87" spans="1:1" ht="11.25" customHeight="1">
      <c r="A87" s="87"/>
    </row>
    <row r="88" spans="1:1" ht="11.25" customHeight="1">
      <c r="A88" s="87"/>
    </row>
    <row r="89" spans="1:1" ht="11.25" customHeight="1">
      <c r="A89" s="87"/>
    </row>
    <row r="90" spans="1:1" ht="11.25" customHeight="1">
      <c r="A90" s="87"/>
    </row>
    <row r="91" spans="1:1" ht="11.25" customHeight="1">
      <c r="A91" s="87"/>
    </row>
    <row r="92" spans="1:1" ht="11.25" customHeight="1">
      <c r="A92" s="87"/>
    </row>
    <row r="93" spans="1:1" ht="11.25" customHeight="1">
      <c r="A93" s="87"/>
    </row>
    <row r="94" spans="1:1" ht="11.25" customHeight="1">
      <c r="A94" s="87"/>
    </row>
    <row r="95" spans="1:1" ht="11.25" customHeight="1">
      <c r="A95" s="87"/>
    </row>
    <row r="96" spans="1:1" ht="11.25" customHeight="1">
      <c r="A96" s="87"/>
    </row>
    <row r="97" spans="1:1" ht="11.25" customHeight="1">
      <c r="A97" s="87"/>
    </row>
    <row r="98" spans="1:1" ht="11.25" customHeight="1">
      <c r="A98" s="87"/>
    </row>
    <row r="99" spans="1:1" ht="11.25" customHeight="1">
      <c r="A99" s="87"/>
    </row>
    <row r="100" spans="1:1" ht="11.25" customHeight="1">
      <c r="A100" s="87"/>
    </row>
    <row r="101" spans="1:1" ht="11.25" customHeight="1">
      <c r="A101" s="87"/>
    </row>
    <row r="102" spans="1:1" ht="11.25" customHeight="1">
      <c r="A102" s="87"/>
    </row>
    <row r="103" spans="1:1" ht="11.25" customHeight="1">
      <c r="A103" s="87"/>
    </row>
    <row r="104" spans="1:1" ht="11.25" customHeight="1">
      <c r="A104" s="87"/>
    </row>
    <row r="105" spans="1:1" ht="11.25" customHeight="1">
      <c r="A105" s="87"/>
    </row>
    <row r="106" spans="1:1" ht="11.25" customHeight="1">
      <c r="A106" s="87"/>
    </row>
    <row r="107" spans="1:1" ht="11.25" customHeight="1">
      <c r="A107" s="87"/>
    </row>
    <row r="108" spans="1:1" ht="11.25" customHeight="1">
      <c r="A108" s="87"/>
    </row>
    <row r="109" spans="1:1" ht="11.25" customHeight="1">
      <c r="A109" s="87"/>
    </row>
    <row r="110" spans="1:1" ht="11.25" customHeight="1">
      <c r="A110" s="87"/>
    </row>
    <row r="111" spans="1:1" ht="11.25" customHeight="1">
      <c r="A111" s="87"/>
    </row>
    <row r="112" spans="1:1" ht="11.25" customHeight="1">
      <c r="A112" s="87"/>
    </row>
    <row r="113" spans="1:1" ht="11.25" customHeight="1">
      <c r="A113" s="87"/>
    </row>
    <row r="114" spans="1:1" ht="11.25" customHeight="1">
      <c r="A114" s="87"/>
    </row>
    <row r="115" spans="1:1" ht="11.25" customHeight="1">
      <c r="A115" s="87"/>
    </row>
    <row r="116" spans="1:1" ht="11.25" customHeight="1">
      <c r="A116" s="87"/>
    </row>
    <row r="117" spans="1:1" ht="11.25" customHeight="1">
      <c r="A117" s="87"/>
    </row>
    <row r="118" spans="1:1" ht="11.25" customHeight="1">
      <c r="A118" s="87"/>
    </row>
    <row r="119" spans="1:1" ht="11.25" customHeight="1">
      <c r="A119" s="87"/>
    </row>
    <row r="120" spans="1:1" ht="11.25" customHeight="1">
      <c r="A120" s="87"/>
    </row>
    <row r="121" spans="1:1" ht="11.25" customHeight="1">
      <c r="A121" s="87"/>
    </row>
    <row r="122" spans="1:1" ht="11.25" customHeight="1">
      <c r="A122" s="87"/>
    </row>
    <row r="123" spans="1:1" ht="11.25" customHeight="1">
      <c r="A123" s="87"/>
    </row>
    <row r="124" spans="1:1" ht="11.25" customHeight="1">
      <c r="A124" s="87"/>
    </row>
    <row r="125" spans="1:1" ht="11.25" customHeight="1">
      <c r="A125" s="87"/>
    </row>
    <row r="126" spans="1:1" ht="11.25" customHeight="1">
      <c r="A126" s="87"/>
    </row>
    <row r="127" spans="1:1" ht="11.25" customHeight="1">
      <c r="A127" s="87"/>
    </row>
    <row r="128" spans="1:1" ht="11.25" customHeight="1">
      <c r="A128" s="87"/>
    </row>
    <row r="129" spans="1:1" ht="11.25" customHeight="1">
      <c r="A129" s="87"/>
    </row>
    <row r="130" spans="1:1" ht="11.25" customHeight="1">
      <c r="A130" s="87"/>
    </row>
    <row r="131" spans="1:1" ht="11.25" customHeight="1">
      <c r="A131" s="87"/>
    </row>
    <row r="132" spans="1:1" ht="11.25" customHeight="1">
      <c r="A132" s="87"/>
    </row>
    <row r="133" spans="1:1" ht="11.25" customHeight="1">
      <c r="A133" s="87"/>
    </row>
    <row r="134" spans="1:1" ht="11.25" customHeight="1">
      <c r="A134" s="87"/>
    </row>
    <row r="135" spans="1:1" ht="11.25" customHeight="1">
      <c r="A135" s="87"/>
    </row>
    <row r="136" spans="1:1" ht="11.25" customHeight="1">
      <c r="A136" s="87"/>
    </row>
    <row r="137" spans="1:1" ht="11.25" customHeight="1">
      <c r="A137" s="87"/>
    </row>
    <row r="138" spans="1:1" ht="11.25" customHeight="1">
      <c r="A138" s="87"/>
    </row>
    <row r="139" spans="1:1" ht="11.25" customHeight="1">
      <c r="A139" s="87"/>
    </row>
    <row r="140" spans="1:1" ht="11.25" customHeight="1">
      <c r="A140" s="87"/>
    </row>
    <row r="141" spans="1:1" ht="11.25" customHeight="1">
      <c r="A141" s="87"/>
    </row>
    <row r="142" spans="1:1" ht="11.25" customHeight="1">
      <c r="A142" s="87"/>
    </row>
    <row r="143" spans="1:1" ht="11.25" customHeight="1">
      <c r="A143" s="87"/>
    </row>
    <row r="144" spans="1:1" ht="11.25" customHeight="1">
      <c r="A144" s="87"/>
    </row>
    <row r="145" spans="1:1" ht="11.25" customHeight="1">
      <c r="A145" s="87"/>
    </row>
    <row r="146" spans="1:1" ht="11.25" customHeight="1">
      <c r="A146" s="87"/>
    </row>
    <row r="147" spans="1:1" ht="11.25" customHeight="1">
      <c r="A147" s="87"/>
    </row>
    <row r="148" spans="1:1" ht="11.25" customHeight="1">
      <c r="A148" s="87"/>
    </row>
    <row r="149" spans="1:1" ht="11.25" customHeight="1">
      <c r="A149" s="87"/>
    </row>
    <row r="150" spans="1:1" ht="11.25" customHeight="1">
      <c r="A150" s="87"/>
    </row>
    <row r="151" spans="1:1" ht="11.25" customHeight="1">
      <c r="A151" s="87"/>
    </row>
    <row r="152" spans="1:1" ht="11.25" customHeight="1">
      <c r="A152" s="87"/>
    </row>
    <row r="153" spans="1:1" ht="11.25" customHeight="1">
      <c r="A153" s="87"/>
    </row>
    <row r="154" spans="1:1" ht="11.25" customHeight="1">
      <c r="A154" s="87"/>
    </row>
    <row r="155" spans="1:1" ht="11.25" customHeight="1">
      <c r="A155" s="87"/>
    </row>
    <row r="156" spans="1:1" ht="11.25" customHeight="1">
      <c r="A156" s="87"/>
    </row>
    <row r="157" spans="1:1" ht="11.25" customHeight="1">
      <c r="A157" s="87"/>
    </row>
    <row r="158" spans="1:1" ht="11.25" customHeight="1">
      <c r="A158" s="87"/>
    </row>
    <row r="159" spans="1:1" ht="11.25" customHeight="1">
      <c r="A159" s="87"/>
    </row>
    <row r="160" spans="1:1" ht="11.25" customHeight="1">
      <c r="A160" s="87"/>
    </row>
    <row r="161" spans="1:1" ht="11.25" customHeight="1">
      <c r="A161" s="87"/>
    </row>
    <row r="162" spans="1:1" ht="11.25" customHeight="1">
      <c r="A162" s="87"/>
    </row>
    <row r="163" spans="1:1" ht="11.25" customHeight="1">
      <c r="A163" s="87"/>
    </row>
    <row r="164" spans="1:1" ht="11.25" customHeight="1">
      <c r="A164" s="87"/>
    </row>
    <row r="165" spans="1:1" ht="11.25" customHeight="1">
      <c r="A165" s="87"/>
    </row>
    <row r="166" spans="1:1" ht="11.25" customHeight="1">
      <c r="A166" s="87"/>
    </row>
    <row r="167" spans="1:1" ht="11.25" customHeight="1">
      <c r="A167" s="87"/>
    </row>
    <row r="168" spans="1:1" ht="11.25" customHeight="1">
      <c r="A168" s="87"/>
    </row>
    <row r="169" spans="1:1" ht="11.25" customHeight="1">
      <c r="A169" s="87"/>
    </row>
    <row r="170" spans="1:1" ht="11.25" customHeight="1">
      <c r="A170" s="87"/>
    </row>
    <row r="171" spans="1:1" ht="11.25" customHeight="1">
      <c r="A171" s="87"/>
    </row>
    <row r="172" spans="1:1" ht="11.25" customHeight="1">
      <c r="A172" s="87"/>
    </row>
    <row r="173" spans="1:1" ht="11.25" customHeight="1">
      <c r="A173" s="87"/>
    </row>
    <row r="174" spans="1:1" ht="11.25" customHeight="1">
      <c r="A174" s="87"/>
    </row>
    <row r="175" spans="1:1" ht="11.25" customHeight="1">
      <c r="A175" s="87"/>
    </row>
    <row r="176" spans="1:1" ht="11.25" customHeight="1">
      <c r="A176" s="87"/>
    </row>
    <row r="177" spans="1:1" ht="11.25" customHeight="1">
      <c r="A177" s="87"/>
    </row>
    <row r="178" spans="1:1" ht="11.25" customHeight="1">
      <c r="A178" s="87"/>
    </row>
    <row r="179" spans="1:1" ht="11.25" customHeight="1">
      <c r="A179" s="87"/>
    </row>
    <row r="180" spans="1:1" ht="11.25" customHeight="1">
      <c r="A180" s="87"/>
    </row>
    <row r="181" spans="1:1" ht="11.25" customHeight="1">
      <c r="A181" s="87"/>
    </row>
    <row r="182" spans="1:1" ht="11.25" customHeight="1">
      <c r="A182" s="87"/>
    </row>
    <row r="183" spans="1:1" ht="11.25" customHeight="1">
      <c r="A183" s="87"/>
    </row>
    <row r="184" spans="1:1" ht="11.25" customHeight="1">
      <c r="A184" s="87"/>
    </row>
    <row r="185" spans="1:1" ht="11.25" customHeight="1">
      <c r="A185" s="87"/>
    </row>
    <row r="186" spans="1:1" ht="11.25" customHeight="1">
      <c r="A186" s="87"/>
    </row>
    <row r="187" spans="1:1" ht="11.25" customHeight="1">
      <c r="A187" s="87"/>
    </row>
    <row r="188" spans="1:1" ht="11.25" customHeight="1">
      <c r="A188" s="87"/>
    </row>
    <row r="189" spans="1:1" ht="11.25" customHeight="1">
      <c r="A189" s="87"/>
    </row>
    <row r="190" spans="1:1" ht="11.25" customHeight="1">
      <c r="A190" s="87"/>
    </row>
    <row r="191" spans="1:1" ht="11.25" customHeight="1">
      <c r="A191" s="87"/>
    </row>
    <row r="192" spans="1:1" ht="11.25" customHeight="1">
      <c r="A192" s="87"/>
    </row>
  </sheetData>
  <mergeCells count="1">
    <mergeCell ref="C1:M1"/>
  </mergeCells>
  <hyperlinks>
    <hyperlink ref="C1" location="INDEX" display="High-temperature heat pumps up to 150 °C" xr:uid="{195CA6E2-8616-4E04-B019-DD82F5753BFC}"/>
  </hyperlinks>
  <pageMargins left="0.7" right="0.7" top="0.75" bottom="0.75" header="0.3" footer="0.3"/>
  <pageSetup paperSize="9"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DABE4-2D06-45EB-ACBA-FE104E27935D}">
  <dimension ref="B2:N37"/>
  <sheetViews>
    <sheetView topLeftCell="A17" zoomScale="110" workbookViewId="0">
      <selection activeCell="M24" sqref="M24"/>
    </sheetView>
  </sheetViews>
  <sheetFormatPr defaultRowHeight="15"/>
  <cols>
    <col min="10" max="11" width="12" bestFit="1" customWidth="1"/>
  </cols>
  <sheetData>
    <row r="2" spans="2:11">
      <c r="B2" t="s">
        <v>83</v>
      </c>
    </row>
    <row r="3" spans="2:11">
      <c r="J3" t="s">
        <v>105</v>
      </c>
      <c r="K3" t="s">
        <v>81</v>
      </c>
    </row>
    <row r="4" spans="2:11">
      <c r="I4">
        <v>0.7</v>
      </c>
      <c r="J4">
        <f>I10</f>
        <v>1.38</v>
      </c>
      <c r="K4" s="1">
        <f>1/J4</f>
        <v>0.7246376811594204</v>
      </c>
    </row>
    <row r="5" spans="2:11">
      <c r="I5">
        <v>0.74</v>
      </c>
    </row>
    <row r="6" spans="2:11">
      <c r="I6">
        <v>0.79</v>
      </c>
    </row>
    <row r="7" spans="2:11">
      <c r="I7">
        <v>1.42</v>
      </c>
    </row>
    <row r="8" spans="2:11">
      <c r="I8">
        <v>1.42</v>
      </c>
    </row>
    <row r="9" spans="2:11">
      <c r="I9">
        <v>1.35</v>
      </c>
    </row>
    <row r="10" spans="2:11">
      <c r="I10">
        <v>1.38</v>
      </c>
    </row>
    <row r="18" spans="2:14">
      <c r="B18" t="s">
        <v>82</v>
      </c>
    </row>
    <row r="19" spans="2:14">
      <c r="B19" t="s">
        <v>108</v>
      </c>
    </row>
    <row r="21" spans="2:14">
      <c r="I21" s="19" t="s">
        <v>84</v>
      </c>
    </row>
    <row r="23" spans="2:14">
      <c r="J23" t="s">
        <v>94</v>
      </c>
      <c r="K23" t="s">
        <v>103</v>
      </c>
      <c r="L23" t="s">
        <v>104</v>
      </c>
      <c r="M23" t="s">
        <v>139</v>
      </c>
      <c r="N23" t="s">
        <v>141</v>
      </c>
    </row>
    <row r="24" spans="2:14">
      <c r="J24" t="s">
        <v>95</v>
      </c>
      <c r="K24">
        <v>0.79</v>
      </c>
      <c r="L24">
        <f>3.516/K24</f>
        <v>4.4506329113924048</v>
      </c>
      <c r="M24">
        <f>L31*(1+B37)</f>
        <v>7.3860416666666664</v>
      </c>
      <c r="N24">
        <f>1/M24</f>
        <v>0.13539051702253688</v>
      </c>
    </row>
    <row r="25" spans="2:14">
      <c r="J25" t="s">
        <v>96</v>
      </c>
      <c r="K25">
        <v>0.79</v>
      </c>
      <c r="L25">
        <f t="shared" ref="L25:L32" si="0">3.516/K25</f>
        <v>4.4506329113924048</v>
      </c>
    </row>
    <row r="26" spans="2:14">
      <c r="J26" t="s">
        <v>97</v>
      </c>
      <c r="K26">
        <v>0.71699999999999997</v>
      </c>
      <c r="L26">
        <f t="shared" si="0"/>
        <v>4.9037656903765692</v>
      </c>
    </row>
    <row r="27" spans="2:14">
      <c r="J27" t="s">
        <v>98</v>
      </c>
      <c r="K27">
        <v>0.63900000000000001</v>
      </c>
      <c r="L27">
        <f t="shared" si="0"/>
        <v>5.5023474178403751</v>
      </c>
    </row>
    <row r="28" spans="2:14">
      <c r="J28" t="s">
        <v>99</v>
      </c>
    </row>
    <row r="29" spans="2:14">
      <c r="J29" t="s">
        <v>100</v>
      </c>
      <c r="K29">
        <v>0.70299999999999996</v>
      </c>
      <c r="L29">
        <f t="shared" si="0"/>
        <v>5.0014224751066862</v>
      </c>
    </row>
    <row r="30" spans="2:14">
      <c r="J30" t="s">
        <v>97</v>
      </c>
      <c r="K30">
        <v>0.63400000000000001</v>
      </c>
      <c r="L30">
        <f t="shared" si="0"/>
        <v>5.5457413249211358</v>
      </c>
    </row>
    <row r="31" spans="2:14">
      <c r="J31" t="s">
        <v>101</v>
      </c>
      <c r="K31">
        <v>0.57599999999999996</v>
      </c>
      <c r="L31">
        <f t="shared" si="0"/>
        <v>6.104166666666667</v>
      </c>
    </row>
    <row r="32" spans="2:14">
      <c r="J32" t="s">
        <v>102</v>
      </c>
      <c r="K32">
        <v>0.57599999999999996</v>
      </c>
      <c r="L32">
        <f t="shared" si="0"/>
        <v>6.104166666666667</v>
      </c>
    </row>
    <row r="34" spans="2:2">
      <c r="B34" t="s">
        <v>142</v>
      </c>
    </row>
    <row r="35" spans="2:2">
      <c r="B35" t="s">
        <v>140</v>
      </c>
    </row>
    <row r="36" spans="2:2">
      <c r="B36" t="s">
        <v>143</v>
      </c>
    </row>
    <row r="37" spans="2:2">
      <c r="B37">
        <f>0.21</f>
        <v>0.21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2796E-BC60-4177-9FEB-8E9F5425DFFA}">
  <dimension ref="A2:I38"/>
  <sheetViews>
    <sheetView workbookViewId="0">
      <selection activeCell="F8" sqref="F8"/>
    </sheetView>
  </sheetViews>
  <sheetFormatPr defaultRowHeight="15"/>
  <sheetData>
    <row r="2" spans="1:9">
      <c r="A2" s="22" t="s">
        <v>120</v>
      </c>
      <c r="B2" s="21"/>
      <c r="C2" s="21"/>
      <c r="D2" s="21"/>
      <c r="E2" s="21"/>
      <c r="F2" s="21"/>
      <c r="G2" s="21"/>
      <c r="H2" s="21"/>
      <c r="I2" s="21"/>
    </row>
    <row r="3" spans="1:9">
      <c r="B3" t="s">
        <v>113</v>
      </c>
      <c r="E3" t="s">
        <v>119</v>
      </c>
      <c r="G3" t="s">
        <v>481</v>
      </c>
    </row>
    <row r="4" spans="1:9">
      <c r="A4" t="s">
        <v>109</v>
      </c>
      <c r="B4">
        <v>425</v>
      </c>
      <c r="C4" t="s">
        <v>115</v>
      </c>
      <c r="E4">
        <f>AVERAGE(B4:B6)</f>
        <v>421.66666666666669</v>
      </c>
      <c r="G4">
        <f>E8/B6</f>
        <v>0.84250000000000003</v>
      </c>
    </row>
    <row r="5" spans="1:9">
      <c r="A5" t="s">
        <v>117</v>
      </c>
      <c r="B5">
        <v>440</v>
      </c>
      <c r="C5" t="s">
        <v>115</v>
      </c>
    </row>
    <row r="6" spans="1:9">
      <c r="A6" t="s">
        <v>118</v>
      </c>
      <c r="B6">
        <v>400</v>
      </c>
      <c r="C6" t="s">
        <v>115</v>
      </c>
    </row>
    <row r="7" spans="1:9">
      <c r="B7" t="s">
        <v>116</v>
      </c>
    </row>
    <row r="8" spans="1:9">
      <c r="A8" t="s">
        <v>114</v>
      </c>
      <c r="B8">
        <v>361</v>
      </c>
      <c r="C8" t="s">
        <v>115</v>
      </c>
      <c r="E8">
        <f>AVERAGE(B8:B10)</f>
        <v>337</v>
      </c>
    </row>
    <row r="9" spans="1:9">
      <c r="A9" t="s">
        <v>114</v>
      </c>
      <c r="B9">
        <v>350</v>
      </c>
      <c r="C9" t="s">
        <v>115</v>
      </c>
    </row>
    <row r="10" spans="1:9">
      <c r="A10" t="s">
        <v>117</v>
      </c>
      <c r="B10">
        <v>300</v>
      </c>
      <c r="C10" t="s">
        <v>115</v>
      </c>
    </row>
    <row r="12" spans="1:9">
      <c r="A12" s="22" t="s">
        <v>121</v>
      </c>
      <c r="B12" s="21"/>
      <c r="C12" s="21"/>
      <c r="D12" s="21"/>
      <c r="E12" s="21"/>
      <c r="F12" s="21"/>
      <c r="G12" s="21"/>
      <c r="H12" s="21"/>
      <c r="I12" s="21"/>
    </row>
    <row r="13" spans="1:9">
      <c r="B13" t="s">
        <v>129</v>
      </c>
    </row>
    <row r="14" spans="1:9">
      <c r="A14" t="s">
        <v>122</v>
      </c>
      <c r="B14" s="23">
        <v>0.504</v>
      </c>
      <c r="G14" t="s">
        <v>135</v>
      </c>
    </row>
    <row r="15" spans="1:9">
      <c r="B15" t="s">
        <v>130</v>
      </c>
      <c r="G15">
        <f>1/B16</f>
        <v>1.8148820326678765</v>
      </c>
    </row>
    <row r="16" spans="1:9">
      <c r="A16" t="s">
        <v>122</v>
      </c>
      <c r="B16" s="23">
        <v>0.55100000000000005</v>
      </c>
    </row>
    <row r="18" spans="1:9">
      <c r="A18" s="22" t="s">
        <v>124</v>
      </c>
      <c r="B18" s="22"/>
      <c r="C18" s="22"/>
      <c r="D18" s="22"/>
      <c r="E18" s="22"/>
      <c r="F18" s="22"/>
      <c r="G18" s="22"/>
      <c r="H18" s="22"/>
      <c r="I18" s="22"/>
    </row>
    <row r="19" spans="1:9">
      <c r="B19" t="s">
        <v>125</v>
      </c>
      <c r="G19" t="s">
        <v>128</v>
      </c>
    </row>
    <row r="20" spans="1:9">
      <c r="B20">
        <v>1100</v>
      </c>
      <c r="C20" t="s">
        <v>126</v>
      </c>
      <c r="G20">
        <f>B22/B22</f>
        <v>1</v>
      </c>
    </row>
    <row r="21" spans="1:9">
      <c r="B21" t="s">
        <v>127</v>
      </c>
      <c r="G21" t="s">
        <v>135</v>
      </c>
    </row>
    <row r="22" spans="1:9">
      <c r="B22">
        <v>793</v>
      </c>
      <c r="C22" t="s">
        <v>126</v>
      </c>
      <c r="G22">
        <f>1/G20</f>
        <v>1</v>
      </c>
    </row>
    <row r="24" spans="1:9">
      <c r="A24" s="109" t="s">
        <v>482</v>
      </c>
    </row>
    <row r="25" spans="1:9">
      <c r="A25" s="2" t="s">
        <v>483</v>
      </c>
    </row>
    <row r="27" spans="1:9">
      <c r="A27" s="1" t="s">
        <v>434</v>
      </c>
    </row>
    <row r="28" spans="1:9">
      <c r="A28" t="s">
        <v>484</v>
      </c>
      <c r="B28">
        <f>E4</f>
        <v>421.66666666666669</v>
      </c>
      <c r="C28" t="s">
        <v>115</v>
      </c>
    </row>
    <row r="29" spans="1:9">
      <c r="A29" t="s">
        <v>485</v>
      </c>
      <c r="B29">
        <f>B8</f>
        <v>361</v>
      </c>
      <c r="C29" t="s">
        <v>115</v>
      </c>
    </row>
    <row r="30" spans="1:9">
      <c r="A30" t="s">
        <v>486</v>
      </c>
      <c r="B30">
        <f>B10</f>
        <v>300</v>
      </c>
      <c r="C30" t="s">
        <v>115</v>
      </c>
    </row>
    <row r="32" spans="1:9">
      <c r="A32" s="1" t="s">
        <v>487</v>
      </c>
    </row>
    <row r="33" spans="1:3">
      <c r="A33" t="s">
        <v>488</v>
      </c>
    </row>
    <row r="34" spans="1:3">
      <c r="A34">
        <f>B28/B29</f>
        <v>1.1680517082179132</v>
      </c>
      <c r="B34" s="12">
        <f>B28/B29</f>
        <v>1.1680517082179132</v>
      </c>
      <c r="C34" s="108" t="s">
        <v>489</v>
      </c>
    </row>
    <row r="35" spans="1:3">
      <c r="B35" s="12"/>
      <c r="C35" s="108"/>
    </row>
    <row r="37" spans="1:3">
      <c r="A37" s="1" t="s">
        <v>490</v>
      </c>
    </row>
    <row r="38" spans="1:3">
      <c r="A38" t="s">
        <v>491</v>
      </c>
      <c r="B38" s="12">
        <f>B28/B30</f>
        <v>1.4055555555555557</v>
      </c>
      <c r="C38" s="108" t="s">
        <v>492</v>
      </c>
    </row>
  </sheetData>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F9617-11C7-43F5-9981-C4D048784240}">
  <dimension ref="A2:B13"/>
  <sheetViews>
    <sheetView zoomScale="78" workbookViewId="0">
      <selection activeCell="T49" sqref="T49"/>
    </sheetView>
  </sheetViews>
  <sheetFormatPr defaultRowHeight="15"/>
  <sheetData>
    <row r="2" spans="1:2">
      <c r="B2" t="s">
        <v>123</v>
      </c>
    </row>
    <row r="3" spans="1:2">
      <c r="A3" t="s">
        <v>131</v>
      </c>
      <c r="B3" s="11">
        <v>0.61</v>
      </c>
    </row>
    <row r="4" spans="1:2">
      <c r="B4" t="s">
        <v>132</v>
      </c>
    </row>
    <row r="5" spans="1:2">
      <c r="A5" t="s">
        <v>131</v>
      </c>
      <c r="B5" s="11">
        <v>0.7</v>
      </c>
    </row>
    <row r="7" spans="1:2">
      <c r="B7" t="s">
        <v>123</v>
      </c>
    </row>
    <row r="8" spans="1:2">
      <c r="A8" t="s">
        <v>133</v>
      </c>
      <c r="B8" s="11">
        <v>0.61</v>
      </c>
    </row>
    <row r="9" spans="1:2">
      <c r="B9" t="s">
        <v>132</v>
      </c>
    </row>
    <row r="10" spans="1:2">
      <c r="A10" t="s">
        <v>133</v>
      </c>
      <c r="B10" s="11">
        <v>0.72</v>
      </c>
    </row>
    <row r="12" spans="1:2">
      <c r="A12" t="s">
        <v>144</v>
      </c>
      <c r="B12" s="11">
        <f>AVERAGE(B10,B5)</f>
        <v>0.71</v>
      </c>
    </row>
    <row r="13" spans="1:2">
      <c r="A13" t="s">
        <v>134</v>
      </c>
      <c r="B13">
        <f>1/B12</f>
        <v>1.4084507042253522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B9AF-91BF-4AE1-AC7D-656F8CA0E617}">
  <dimension ref="A2:C26"/>
  <sheetViews>
    <sheetView zoomScale="92" workbookViewId="0">
      <selection activeCell="A20" sqref="A20"/>
    </sheetView>
  </sheetViews>
  <sheetFormatPr defaultRowHeight="15"/>
  <cols>
    <col min="1" max="1" width="12.7109375" customWidth="1"/>
    <col min="2" max="2" width="12" bestFit="1" customWidth="1"/>
  </cols>
  <sheetData>
    <row r="2" spans="1:3">
      <c r="A2" t="s">
        <v>234</v>
      </c>
    </row>
    <row r="3" spans="1:3">
      <c r="A3" t="s">
        <v>235</v>
      </c>
    </row>
    <row r="4" spans="1:3">
      <c r="A4" t="s">
        <v>236</v>
      </c>
      <c r="B4">
        <v>0.65200000000000002</v>
      </c>
      <c r="C4" s="14"/>
    </row>
    <row r="5" spans="1:3">
      <c r="A5" t="s">
        <v>237</v>
      </c>
      <c r="B5">
        <v>0.13650000000000001</v>
      </c>
      <c r="C5" s="14"/>
    </row>
    <row r="6" spans="1:3">
      <c r="A6" t="s">
        <v>238</v>
      </c>
      <c r="B6">
        <v>0.20050000000000001</v>
      </c>
      <c r="C6" s="14"/>
    </row>
    <row r="7" spans="1:3">
      <c r="A7" t="s">
        <v>239</v>
      </c>
      <c r="B7" s="17">
        <v>1.0999999999999999E-2</v>
      </c>
    </row>
    <row r="9" spans="1:3">
      <c r="A9" t="s">
        <v>240</v>
      </c>
    </row>
    <row r="10" spans="1:3">
      <c r="A10" t="s">
        <v>241</v>
      </c>
    </row>
    <row r="11" spans="1:3">
      <c r="A11" t="s">
        <v>236</v>
      </c>
      <c r="B11" s="11">
        <v>0.9</v>
      </c>
    </row>
    <row r="12" spans="1:3">
      <c r="A12" t="s">
        <v>242</v>
      </c>
      <c r="B12" s="11">
        <v>0.85</v>
      </c>
    </row>
    <row r="13" spans="1:3">
      <c r="A13" t="s">
        <v>243</v>
      </c>
      <c r="B13" s="11">
        <v>0.1</v>
      </c>
    </row>
    <row r="14" spans="1:3">
      <c r="A14" t="s">
        <v>244</v>
      </c>
      <c r="B14" s="11">
        <v>0.7</v>
      </c>
      <c r="C14" t="s">
        <v>245</v>
      </c>
    </row>
    <row r="16" spans="1:3">
      <c r="A16" t="s">
        <v>247</v>
      </c>
      <c r="B16" s="11">
        <f>B11*B4+B12*B5+B6*B14+B11*B7</f>
        <v>0.85307500000000003</v>
      </c>
    </row>
    <row r="18" spans="1:3">
      <c r="A18" t="s">
        <v>246</v>
      </c>
      <c r="B18" s="11">
        <v>0.93</v>
      </c>
      <c r="C18" t="s">
        <v>248</v>
      </c>
    </row>
    <row r="19" spans="1:3">
      <c r="A19" t="s">
        <v>256</v>
      </c>
      <c r="B19">
        <f>1/B18</f>
        <v>1.075268817204301</v>
      </c>
    </row>
    <row r="21" spans="1:3">
      <c r="A21" t="s">
        <v>252</v>
      </c>
    </row>
    <row r="22" spans="1:3">
      <c r="A22" t="s">
        <v>255</v>
      </c>
    </row>
    <row r="23" spans="1:3">
      <c r="A23" s="11">
        <v>0.4</v>
      </c>
    </row>
    <row r="25" spans="1:3">
      <c r="A25" t="s">
        <v>253</v>
      </c>
      <c r="B25" s="11">
        <f>B18*A23</f>
        <v>0.37200000000000005</v>
      </c>
    </row>
    <row r="26" spans="1:3">
      <c r="A26" t="s">
        <v>254</v>
      </c>
      <c r="B26">
        <f>1/B25</f>
        <v>2.6881720430107525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1FF5BE-8B42-4F7D-84E0-F7A55E52FE3E}">
  <dimension ref="A1:T45"/>
  <sheetViews>
    <sheetView zoomScale="75" zoomScaleNormal="85" workbookViewId="0">
      <selection activeCell="C13" sqref="C13"/>
    </sheetView>
  </sheetViews>
  <sheetFormatPr defaultRowHeight="15"/>
  <cols>
    <col min="1" max="1" width="22" bestFit="1" customWidth="1"/>
    <col min="2" max="2" width="15.85546875" bestFit="1" customWidth="1"/>
    <col min="3" max="3" width="14.42578125" bestFit="1" customWidth="1"/>
    <col min="4" max="4" width="13.140625" bestFit="1" customWidth="1"/>
    <col min="5" max="5" width="20.7109375" bestFit="1" customWidth="1"/>
  </cols>
  <sheetData>
    <row r="1" spans="1:16">
      <c r="A1" s="24" t="s">
        <v>148</v>
      </c>
      <c r="B1" s="24"/>
      <c r="C1" s="24"/>
      <c r="D1" s="24"/>
      <c r="E1" s="24"/>
      <c r="F1" s="24"/>
      <c r="G1" s="24"/>
      <c r="H1" s="24"/>
      <c r="I1" s="24"/>
      <c r="J1" s="24"/>
      <c r="K1" s="24"/>
      <c r="L1" s="24"/>
      <c r="M1" s="24"/>
      <c r="N1" s="24"/>
      <c r="O1" s="24"/>
      <c r="P1" s="24"/>
    </row>
    <row r="2" spans="1:16">
      <c r="A2" t="s">
        <v>223</v>
      </c>
    </row>
    <row r="3" spans="1:16">
      <c r="A3" s="4" t="s">
        <v>48</v>
      </c>
      <c r="B3" s="4"/>
      <c r="C3" s="4"/>
      <c r="D3" s="4"/>
      <c r="E3" s="4"/>
      <c r="F3" s="4"/>
    </row>
    <row r="4" spans="1:16">
      <c r="A4" s="25" t="s">
        <v>149</v>
      </c>
      <c r="B4" s="25" t="s">
        <v>150</v>
      </c>
      <c r="C4" t="s">
        <v>135</v>
      </c>
      <c r="D4" t="s">
        <v>151</v>
      </c>
      <c r="E4" t="s">
        <v>152</v>
      </c>
      <c r="F4" t="s">
        <v>153</v>
      </c>
      <c r="H4" t="s">
        <v>154</v>
      </c>
    </row>
    <row r="5" spans="1:16">
      <c r="A5" s="26" t="s">
        <v>155</v>
      </c>
      <c r="B5" s="27">
        <v>0.30299999999999999</v>
      </c>
      <c r="C5" s="12">
        <f>1/B5</f>
        <v>3.3003300330033003</v>
      </c>
      <c r="D5">
        <v>58.8</v>
      </c>
      <c r="E5">
        <v>2500</v>
      </c>
      <c r="F5">
        <v>19</v>
      </c>
      <c r="H5" s="2" t="s">
        <v>156</v>
      </c>
    </row>
    <row r="6" spans="1:16">
      <c r="A6" s="25" t="s">
        <v>157</v>
      </c>
      <c r="B6" s="27">
        <f>AVERAGE(0.35,0.305,0.266)</f>
        <v>0.307</v>
      </c>
      <c r="C6" s="12">
        <f>1/B6</f>
        <v>3.2573289902280131</v>
      </c>
      <c r="D6" s="28" t="s">
        <v>158</v>
      </c>
      <c r="E6">
        <v>2100</v>
      </c>
      <c r="F6">
        <v>20</v>
      </c>
    </row>
    <row r="8" spans="1:16">
      <c r="A8" s="4" t="s">
        <v>159</v>
      </c>
      <c r="B8" s="29"/>
      <c r="C8" s="29"/>
      <c r="D8" s="29"/>
      <c r="E8" s="29"/>
      <c r="F8" s="29"/>
    </row>
    <row r="9" spans="1:16">
      <c r="A9" s="25" t="s">
        <v>149</v>
      </c>
      <c r="B9" s="25" t="s">
        <v>150</v>
      </c>
      <c r="C9" t="s">
        <v>135</v>
      </c>
    </row>
    <row r="10" spans="1:16">
      <c r="A10" s="25" t="s">
        <v>160</v>
      </c>
      <c r="B10">
        <f>AVERAGE(0.836,0.885,0.905)</f>
        <v>0.87533333333333341</v>
      </c>
      <c r="C10">
        <f>1/B10</f>
        <v>1.1424219345011424</v>
      </c>
      <c r="D10" s="28" t="s">
        <v>161</v>
      </c>
      <c r="E10">
        <v>2600</v>
      </c>
      <c r="F10">
        <v>21</v>
      </c>
    </row>
    <row r="11" spans="1:16">
      <c r="A11" s="26" t="s">
        <v>162</v>
      </c>
      <c r="B11">
        <f>B10*(1-AVERAGE(0.1,0.15))</f>
        <v>0.76591666666666669</v>
      </c>
      <c r="C11">
        <f>1/B11</f>
        <v>1.3056250680013055</v>
      </c>
      <c r="D11" s="28"/>
      <c r="F11" s="28" t="s">
        <v>163</v>
      </c>
    </row>
    <row r="12" spans="1:16">
      <c r="A12" s="25" t="s">
        <v>164</v>
      </c>
      <c r="B12">
        <f>1/C12</f>
        <v>0.64890826648064182</v>
      </c>
      <c r="C12">
        <f>AVERAGE(C5:C6)*(1-AVERAGE(0.52,0.54))</f>
        <v>1.5410498704593585</v>
      </c>
      <c r="D12">
        <v>50</v>
      </c>
      <c r="F12">
        <v>23</v>
      </c>
    </row>
    <row r="13" spans="1:16">
      <c r="A13" s="25" t="s">
        <v>165</v>
      </c>
      <c r="B13">
        <f>1/C13</f>
        <v>0.72615925058548003</v>
      </c>
      <c r="C13">
        <f>AVERAGE(C5:C6)*(1-AVERAGE(0.58))</f>
        <v>1.3771083948785758</v>
      </c>
      <c r="D13" s="28"/>
      <c r="F13">
        <v>24</v>
      </c>
    </row>
    <row r="15" spans="1:16">
      <c r="A15" s="4" t="s">
        <v>166</v>
      </c>
      <c r="B15" s="4"/>
      <c r="C15" s="4"/>
      <c r="D15" s="4"/>
      <c r="E15" s="4"/>
      <c r="F15" s="4"/>
    </row>
    <row r="16" spans="1:16">
      <c r="A16" s="25" t="s">
        <v>167</v>
      </c>
      <c r="B16" s="14">
        <f>(AVERAGE(C5:C6)-AVERAGE(C11:C13))/AVERAGE(C5:C6)</f>
        <v>0.57060049240377109</v>
      </c>
    </row>
    <row r="17" spans="1:8">
      <c r="A17" s="25"/>
      <c r="B17" s="14"/>
    </row>
    <row r="18" spans="1:8">
      <c r="A18" s="5" t="s">
        <v>229</v>
      </c>
      <c r="H18" s="2"/>
    </row>
    <row r="19" spans="1:8">
      <c r="A19" s="4" t="s">
        <v>48</v>
      </c>
      <c r="B19" s="4"/>
      <c r="C19" s="4"/>
      <c r="D19" s="4"/>
      <c r="E19" s="4"/>
      <c r="F19" s="4"/>
    </row>
    <row r="20" spans="1:8">
      <c r="A20" s="25" t="s">
        <v>149</v>
      </c>
      <c r="B20" s="25" t="s">
        <v>227</v>
      </c>
      <c r="C20" t="s">
        <v>225</v>
      </c>
      <c r="D20" t="s">
        <v>226</v>
      </c>
      <c r="E20" t="s">
        <v>228</v>
      </c>
      <c r="H20" t="s">
        <v>168</v>
      </c>
    </row>
    <row r="21" spans="1:8">
      <c r="A21" s="26" t="s">
        <v>224</v>
      </c>
      <c r="B21" s="32">
        <f>-0.041</f>
        <v>-4.1000000000000002E-2</v>
      </c>
      <c r="C21" s="18">
        <v>7</v>
      </c>
      <c r="D21">
        <f>(2021-1989)/C21</f>
        <v>4.5714285714285712</v>
      </c>
      <c r="E21" s="13">
        <f>B21/D21</f>
        <v>-8.968750000000001E-3</v>
      </c>
      <c r="H21" s="2" t="s">
        <v>156</v>
      </c>
    </row>
    <row r="22" spans="1:8">
      <c r="A22" s="4" t="s">
        <v>233</v>
      </c>
      <c r="B22" s="4"/>
      <c r="C22" s="4"/>
      <c r="D22" s="4"/>
      <c r="E22" s="4"/>
      <c r="F22" s="4"/>
    </row>
    <row r="23" spans="1:8">
      <c r="E23" s="17">
        <f>E21*'BAU Efficiency Improvements'!M25/'BAU Efficiency Improvements'!M24</f>
        <v>-4.7694685902703029E-3</v>
      </c>
    </row>
    <row r="24" spans="1:8">
      <c r="A24" t="s">
        <v>230</v>
      </c>
    </row>
    <row r="25" spans="1:8">
      <c r="A25" t="s">
        <v>231</v>
      </c>
    </row>
    <row r="26" spans="1:8">
      <c r="A26" t="s">
        <v>232</v>
      </c>
    </row>
    <row r="35" spans="1:20">
      <c r="A35" t="s">
        <v>169</v>
      </c>
      <c r="D35" t="s">
        <v>170</v>
      </c>
    </row>
    <row r="36" spans="1:20">
      <c r="A36" t="s">
        <v>171</v>
      </c>
      <c r="B36" t="s">
        <v>172</v>
      </c>
      <c r="D36" t="s">
        <v>173</v>
      </c>
      <c r="E36" t="s">
        <v>174</v>
      </c>
      <c r="F36" t="s">
        <v>175</v>
      </c>
      <c r="G36" t="s">
        <v>176</v>
      </c>
      <c r="H36" t="s">
        <v>177</v>
      </c>
      <c r="I36" t="s">
        <v>178</v>
      </c>
      <c r="J36" t="s">
        <v>179</v>
      </c>
      <c r="M36" t="s">
        <v>180</v>
      </c>
      <c r="P36" t="s">
        <v>181</v>
      </c>
      <c r="S36" t="s">
        <v>182</v>
      </c>
      <c r="T36" t="s">
        <v>183</v>
      </c>
    </row>
    <row r="37" spans="1:20">
      <c r="A37" t="s">
        <v>184</v>
      </c>
      <c r="B37" t="s">
        <v>185</v>
      </c>
      <c r="C37" t="s">
        <v>186</v>
      </c>
      <c r="J37" t="s">
        <v>187</v>
      </c>
      <c r="K37" t="s">
        <v>188</v>
      </c>
      <c r="L37" t="s">
        <v>189</v>
      </c>
      <c r="M37" t="s">
        <v>187</v>
      </c>
      <c r="N37" t="s">
        <v>188</v>
      </c>
      <c r="O37" t="s">
        <v>189</v>
      </c>
      <c r="P37" t="s">
        <v>187</v>
      </c>
      <c r="Q37" t="s">
        <v>188</v>
      </c>
      <c r="R37" t="s">
        <v>189</v>
      </c>
    </row>
    <row r="38" spans="1:20">
      <c r="A38" t="s">
        <v>190</v>
      </c>
      <c r="B38" s="18">
        <f>AVERAGE(S38:S39)</f>
        <v>41.68</v>
      </c>
      <c r="C38" s="18">
        <f>AVERAGE(T38:T39)</f>
        <v>1840.7550000000001</v>
      </c>
      <c r="D38" s="18">
        <v>213</v>
      </c>
      <c r="E38" s="3">
        <v>0.38</v>
      </c>
      <c r="F38" s="18">
        <f>C38*$E$5/$E$6*2*PI()/60</f>
        <v>229.48025337534443</v>
      </c>
      <c r="G38" s="18">
        <f>C38*$E$10/$E$6</f>
        <v>2279.0300000000002</v>
      </c>
      <c r="H38" s="18">
        <f>E38*D38</f>
        <v>80.94</v>
      </c>
      <c r="I38" s="18">
        <f>150*E38</f>
        <v>57</v>
      </c>
      <c r="J38">
        <v>8</v>
      </c>
      <c r="K38">
        <v>22</v>
      </c>
      <c r="L38">
        <v>70</v>
      </c>
      <c r="M38">
        <v>8</v>
      </c>
      <c r="N38">
        <v>23</v>
      </c>
      <c r="O38">
        <v>52</v>
      </c>
      <c r="P38">
        <v>884</v>
      </c>
      <c r="Q38">
        <v>1711</v>
      </c>
      <c r="R38">
        <v>2009</v>
      </c>
      <c r="S38">
        <f>SUMPRODUCT(J38:L38,M38:O38)/SUM(J38:L38)</f>
        <v>42.1</v>
      </c>
      <c r="T38">
        <f>SUMPRODUCT(P38:R38,J38:L38)/SUM(J38:L38)</f>
        <v>1853.44</v>
      </c>
    </row>
    <row r="39" spans="1:20">
      <c r="B39" s="18"/>
      <c r="C39" s="18"/>
      <c r="D39" s="18"/>
      <c r="E39" s="3"/>
      <c r="J39">
        <v>8</v>
      </c>
      <c r="K39">
        <v>21</v>
      </c>
      <c r="L39">
        <v>71</v>
      </c>
      <c r="M39">
        <v>9</v>
      </c>
      <c r="N39">
        <v>24</v>
      </c>
      <c r="O39">
        <v>50</v>
      </c>
      <c r="P39">
        <v>955</v>
      </c>
      <c r="Q39">
        <v>1718</v>
      </c>
      <c r="R39">
        <v>1959</v>
      </c>
      <c r="S39">
        <f t="shared" ref="S39:S45" si="0">SUMPRODUCT(J39:L39,M39:O39)/SUM(J39:L39)</f>
        <v>41.26</v>
      </c>
      <c r="T39">
        <f t="shared" ref="T39:T45" si="1">SUMPRODUCT(P39:R39,J39:L39)/SUM(J39:L39)</f>
        <v>1828.07</v>
      </c>
    </row>
    <row r="40" spans="1:20">
      <c r="A40" t="s">
        <v>191</v>
      </c>
      <c r="B40" s="18">
        <f>AVERAGE(S40:S42)</f>
        <v>55.79</v>
      </c>
      <c r="C40" s="18">
        <f>AVERAGE(T40:T41)</f>
        <v>1791.8899999999999</v>
      </c>
      <c r="D40" s="18">
        <v>215</v>
      </c>
      <c r="E40" s="3">
        <v>0.48</v>
      </c>
      <c r="F40" s="18">
        <f>C40*$E$5/$E$6*2*PI()/60</f>
        <v>223.3884309540085</v>
      </c>
      <c r="G40" s="18">
        <f>C40*$E$10/$E$6</f>
        <v>2218.5304761904763</v>
      </c>
      <c r="H40" s="18">
        <f>E40*D40</f>
        <v>103.2</v>
      </c>
      <c r="I40" s="18">
        <f>150*E40</f>
        <v>72</v>
      </c>
      <c r="J40">
        <v>4</v>
      </c>
      <c r="K40">
        <v>25</v>
      </c>
      <c r="L40">
        <v>71</v>
      </c>
      <c r="M40">
        <v>13</v>
      </c>
      <c r="N40">
        <v>33</v>
      </c>
      <c r="O40">
        <v>66</v>
      </c>
      <c r="P40">
        <v>1455</v>
      </c>
      <c r="Q40">
        <v>1568</v>
      </c>
      <c r="R40">
        <v>1767</v>
      </c>
      <c r="S40">
        <f t="shared" si="0"/>
        <v>55.63</v>
      </c>
      <c r="T40">
        <f t="shared" si="1"/>
        <v>1704.77</v>
      </c>
    </row>
    <row r="41" spans="1:20">
      <c r="B41" s="18"/>
      <c r="C41" s="18"/>
      <c r="D41" s="18"/>
      <c r="E41" s="3"/>
      <c r="J41">
        <v>3</v>
      </c>
      <c r="K41">
        <v>27</v>
      </c>
      <c r="L41">
        <v>70</v>
      </c>
      <c r="M41">
        <v>13</v>
      </c>
      <c r="N41">
        <v>35</v>
      </c>
      <c r="O41">
        <v>68</v>
      </c>
      <c r="P41">
        <v>1543</v>
      </c>
      <c r="Q41">
        <v>1696</v>
      </c>
      <c r="R41">
        <v>1964</v>
      </c>
      <c r="S41">
        <f t="shared" si="0"/>
        <v>57.44</v>
      </c>
      <c r="T41">
        <f t="shared" si="1"/>
        <v>1879.01</v>
      </c>
    </row>
    <row r="42" spans="1:20">
      <c r="B42" s="18"/>
      <c r="C42" s="18"/>
      <c r="D42" s="18"/>
      <c r="E42" s="3"/>
      <c r="J42">
        <v>3</v>
      </c>
      <c r="K42">
        <v>24</v>
      </c>
      <c r="L42">
        <v>73</v>
      </c>
      <c r="M42">
        <v>13</v>
      </c>
      <c r="N42">
        <v>33</v>
      </c>
      <c r="O42">
        <v>63</v>
      </c>
      <c r="P42">
        <v>905</v>
      </c>
      <c r="Q42">
        <v>1541</v>
      </c>
      <c r="R42">
        <v>1827</v>
      </c>
      <c r="S42">
        <f t="shared" si="0"/>
        <v>54.3</v>
      </c>
      <c r="T42">
        <f t="shared" si="1"/>
        <v>1730.7</v>
      </c>
    </row>
    <row r="43" spans="1:20">
      <c r="A43" t="s">
        <v>192</v>
      </c>
      <c r="B43" s="18">
        <f>AVERAGE(S43:S45)</f>
        <v>73.423333333333332</v>
      </c>
      <c r="C43" s="18">
        <f>AVERAGE(T43:T44)</f>
        <v>1395.97</v>
      </c>
      <c r="D43" s="18">
        <v>220</v>
      </c>
      <c r="E43" s="3">
        <v>0.59</v>
      </c>
      <c r="F43" s="18">
        <f>C43*$E$5/$E$6*2*PI()/60</f>
        <v>174.0305197076089</v>
      </c>
      <c r="G43" s="18">
        <f>C43*$E$10/$E$6</f>
        <v>1728.3438095238096</v>
      </c>
      <c r="H43" s="18">
        <f>E43*D43</f>
        <v>129.79999999999998</v>
      </c>
      <c r="I43" s="18">
        <f>150*E43</f>
        <v>88.5</v>
      </c>
      <c r="J43">
        <v>41</v>
      </c>
      <c r="K43">
        <v>59</v>
      </c>
      <c r="M43">
        <v>37</v>
      </c>
      <c r="N43">
        <v>76</v>
      </c>
      <c r="P43">
        <v>904</v>
      </c>
      <c r="Q43">
        <v>1514</v>
      </c>
      <c r="S43">
        <f t="shared" si="0"/>
        <v>60.01</v>
      </c>
      <c r="T43">
        <f t="shared" si="1"/>
        <v>1263.9000000000001</v>
      </c>
    </row>
    <row r="44" spans="1:20">
      <c r="J44">
        <v>4</v>
      </c>
      <c r="K44">
        <v>96</v>
      </c>
      <c r="M44">
        <v>36</v>
      </c>
      <c r="N44">
        <v>81</v>
      </c>
      <c r="P44">
        <v>1433</v>
      </c>
      <c r="Q44">
        <v>1532</v>
      </c>
      <c r="S44">
        <f t="shared" si="0"/>
        <v>79.2</v>
      </c>
      <c r="T44">
        <f t="shared" si="1"/>
        <v>1528.04</v>
      </c>
    </row>
    <row r="45" spans="1:20">
      <c r="J45">
        <v>2</v>
      </c>
      <c r="K45">
        <v>98</v>
      </c>
      <c r="M45">
        <v>35</v>
      </c>
      <c r="N45">
        <v>82</v>
      </c>
      <c r="P45">
        <v>1492</v>
      </c>
      <c r="Q45">
        <v>1545</v>
      </c>
      <c r="S45">
        <f t="shared" si="0"/>
        <v>81.06</v>
      </c>
      <c r="T45">
        <f t="shared" si="1"/>
        <v>1543.94</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BA889-C2C3-44BD-B36B-00B461F7893B}">
  <sheetPr>
    <tabColor theme="1" tint="0.34998626667073579"/>
  </sheetPr>
  <dimension ref="A1:F17"/>
  <sheetViews>
    <sheetView zoomScaleNormal="100" workbookViewId="0">
      <selection activeCell="A10" sqref="A10"/>
    </sheetView>
  </sheetViews>
  <sheetFormatPr defaultRowHeight="15"/>
  <cols>
    <col min="1" max="1" width="21.28515625" style="25" customWidth="1"/>
    <col min="2" max="2" width="44.5703125" customWidth="1"/>
    <col min="3" max="3" width="16.5703125" style="25" customWidth="1"/>
    <col min="4" max="4" width="49.28515625" customWidth="1"/>
    <col min="5" max="5" width="58.42578125" customWidth="1"/>
    <col min="6" max="6" width="63.85546875" customWidth="1"/>
  </cols>
  <sheetData>
    <row r="1" spans="1:6" s="1" customFormat="1">
      <c r="A1" s="30" t="s">
        <v>193</v>
      </c>
      <c r="B1" s="4" t="s">
        <v>194</v>
      </c>
      <c r="C1" s="31" t="s">
        <v>195</v>
      </c>
      <c r="D1" s="4" t="s">
        <v>196</v>
      </c>
      <c r="E1" s="4" t="s">
        <v>197</v>
      </c>
      <c r="F1" s="4" t="s">
        <v>198</v>
      </c>
    </row>
    <row r="2" spans="1:6">
      <c r="A2" s="25">
        <v>19</v>
      </c>
      <c r="B2" t="s">
        <v>200</v>
      </c>
      <c r="C2" s="25">
        <v>2014</v>
      </c>
      <c r="D2" t="s">
        <v>201</v>
      </c>
      <c r="E2" s="16" t="s">
        <v>202</v>
      </c>
    </row>
    <row r="3" spans="1:6">
      <c r="A3" s="25">
        <v>20</v>
      </c>
      <c r="B3" t="s">
        <v>203</v>
      </c>
      <c r="C3" s="25">
        <v>2016</v>
      </c>
      <c r="D3" t="s">
        <v>204</v>
      </c>
      <c r="E3" s="16" t="s">
        <v>205</v>
      </c>
    </row>
    <row r="4" spans="1:6">
      <c r="A4" s="25">
        <v>21</v>
      </c>
      <c r="B4" t="s">
        <v>206</v>
      </c>
      <c r="C4" s="25">
        <v>2020</v>
      </c>
      <c r="D4" t="s">
        <v>207</v>
      </c>
      <c r="E4" s="16" t="s">
        <v>208</v>
      </c>
    </row>
    <row r="5" spans="1:6">
      <c r="A5" s="25">
        <v>22</v>
      </c>
      <c r="B5" t="s">
        <v>209</v>
      </c>
      <c r="C5" s="25">
        <v>2022</v>
      </c>
      <c r="D5" t="s">
        <v>210</v>
      </c>
      <c r="E5" s="16" t="s">
        <v>211</v>
      </c>
    </row>
    <row r="6" spans="1:6">
      <c r="A6" s="25">
        <v>23</v>
      </c>
      <c r="B6" t="s">
        <v>212</v>
      </c>
      <c r="C6" s="25">
        <v>2021</v>
      </c>
      <c r="D6" t="s">
        <v>213</v>
      </c>
      <c r="E6" s="16" t="s">
        <v>214</v>
      </c>
    </row>
    <row r="7" spans="1:6">
      <c r="A7" s="25">
        <v>24</v>
      </c>
      <c r="B7" t="s">
        <v>215</v>
      </c>
      <c r="C7" s="25">
        <v>2018</v>
      </c>
      <c r="D7" t="s">
        <v>216</v>
      </c>
      <c r="E7" s="16" t="s">
        <v>217</v>
      </c>
    </row>
    <row r="8" spans="1:6">
      <c r="A8" s="25">
        <v>25</v>
      </c>
      <c r="B8" t="s">
        <v>199</v>
      </c>
      <c r="C8" s="25">
        <v>2015</v>
      </c>
      <c r="D8" t="s">
        <v>218</v>
      </c>
      <c r="E8" s="16" t="s">
        <v>219</v>
      </c>
    </row>
    <row r="9" spans="1:6">
      <c r="A9" s="25">
        <v>26</v>
      </c>
      <c r="B9" t="s">
        <v>222</v>
      </c>
      <c r="C9" s="25">
        <v>2025</v>
      </c>
      <c r="D9" t="s">
        <v>220</v>
      </c>
      <c r="E9" s="16" t="s">
        <v>221</v>
      </c>
    </row>
    <row r="10" spans="1:6">
      <c r="A10" s="25">
        <v>27</v>
      </c>
      <c r="B10" s="15" t="s">
        <v>624</v>
      </c>
      <c r="C10" s="25">
        <v>2004</v>
      </c>
      <c r="D10" s="15" t="s">
        <v>625</v>
      </c>
      <c r="E10" s="15" t="s">
        <v>626</v>
      </c>
      <c r="F10" s="15" t="s">
        <v>627</v>
      </c>
    </row>
    <row r="11" spans="1:6">
      <c r="A11" s="25">
        <v>28</v>
      </c>
      <c r="B11" s="15" t="s">
        <v>199</v>
      </c>
      <c r="C11" s="25">
        <v>2015</v>
      </c>
      <c r="D11" s="15" t="s">
        <v>628</v>
      </c>
      <c r="E11" s="15" t="s">
        <v>629</v>
      </c>
      <c r="F11" s="15" t="s">
        <v>630</v>
      </c>
    </row>
    <row r="12" spans="1:6">
      <c r="A12" s="25">
        <v>29</v>
      </c>
      <c r="B12" s="15" t="s">
        <v>631</v>
      </c>
      <c r="C12" s="25">
        <v>2019</v>
      </c>
      <c r="D12" s="15" t="s">
        <v>632</v>
      </c>
      <c r="E12" s="15" t="s">
        <v>633</v>
      </c>
      <c r="F12" s="15" t="s">
        <v>634</v>
      </c>
    </row>
    <row r="13" spans="1:6">
      <c r="A13" s="25">
        <v>30</v>
      </c>
      <c r="B13" s="15" t="s">
        <v>635</v>
      </c>
      <c r="C13" s="25">
        <v>2009</v>
      </c>
      <c r="D13" s="15" t="s">
        <v>636</v>
      </c>
      <c r="E13" s="15" t="s">
        <v>637</v>
      </c>
      <c r="F13" s="15" t="s">
        <v>638</v>
      </c>
    </row>
    <row r="14" spans="1:6">
      <c r="A14" s="25">
        <v>31</v>
      </c>
      <c r="B14" s="15" t="s">
        <v>639</v>
      </c>
      <c r="C14" s="25">
        <v>2012</v>
      </c>
      <c r="D14" s="15" t="s">
        <v>640</v>
      </c>
      <c r="E14" s="15" t="s">
        <v>641</v>
      </c>
      <c r="F14" s="15" t="s">
        <v>642</v>
      </c>
    </row>
    <row r="15" spans="1:6">
      <c r="A15" s="25">
        <v>32</v>
      </c>
      <c r="B15" s="15" t="s">
        <v>643</v>
      </c>
      <c r="C15" s="25">
        <v>2016</v>
      </c>
      <c r="D15" s="15" t="s">
        <v>644</v>
      </c>
      <c r="E15" s="15" t="s">
        <v>645</v>
      </c>
      <c r="F15" s="15" t="s">
        <v>646</v>
      </c>
    </row>
    <row r="16" spans="1:6">
      <c r="A16" s="25">
        <v>33</v>
      </c>
      <c r="B16" s="15" t="s">
        <v>647</v>
      </c>
      <c r="C16" s="153" t="s">
        <v>648</v>
      </c>
      <c r="D16" s="15" t="s">
        <v>649</v>
      </c>
      <c r="E16" s="15" t="s">
        <v>650</v>
      </c>
      <c r="F16" s="15" t="s">
        <v>651</v>
      </c>
    </row>
    <row r="17" spans="1:6">
      <c r="A17" s="25">
        <v>34</v>
      </c>
      <c r="B17" s="15" t="s">
        <v>663</v>
      </c>
      <c r="C17" s="25">
        <v>2023</v>
      </c>
      <c r="D17" s="15" t="s">
        <v>664</v>
      </c>
      <c r="E17" s="15" t="s">
        <v>665</v>
      </c>
      <c r="F17" s="15" t="s">
        <v>666</v>
      </c>
    </row>
  </sheetData>
  <hyperlinks>
    <hyperlink ref="E2" r:id="rId1" xr:uid="{CEE54E0D-820C-4C83-AD48-EB04F0937B00}"/>
    <hyperlink ref="E3" r:id="rId2" xr:uid="{F414B4AA-25B5-4AAF-A8DC-E3CA7156B3A5}"/>
    <hyperlink ref="E4" r:id="rId3" xr:uid="{57E76D6B-8CB5-4A9D-AA0F-248DF88F03A6}"/>
    <hyperlink ref="E5" r:id="rId4" xr:uid="{75BD29B1-C55E-4763-AAF4-4EA108BAE6EE}"/>
    <hyperlink ref="E6" r:id="rId5" xr:uid="{97427FC5-9861-4614-A41D-5CD823AF48B2}"/>
    <hyperlink ref="E7" r:id="rId6" xr:uid="{18AE7998-2895-442D-9900-3B6CDA173B7F}"/>
    <hyperlink ref="E8" r:id="rId7" xr:uid="{EA573569-0785-48D8-84E2-1B88E9D408DF}"/>
    <hyperlink ref="E9" r:id="rId8" xr:uid="{5C852D94-5D32-4EE3-9361-ED2F31AA9B5F}"/>
  </hyperlinks>
  <pageMargins left="0.7" right="0.7" top="0.75" bottom="0.75" header="0.3" footer="0.3"/>
  <pageSetup orientation="portrait" r:id="rId9"/>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034B-DD24-48A7-94B9-E48556C1E312}">
  <sheetPr>
    <tabColor theme="5" tint="0.39997558519241921"/>
  </sheetPr>
  <dimension ref="A1:H162"/>
  <sheetViews>
    <sheetView topLeftCell="A120" zoomScale="93" workbookViewId="0">
      <selection activeCell="B165" sqref="B165"/>
    </sheetView>
  </sheetViews>
  <sheetFormatPr defaultColWidth="8.7109375" defaultRowHeight="15"/>
  <cols>
    <col min="1" max="1" width="39.28515625" customWidth="1"/>
    <col min="2" max="2" width="24.140625" customWidth="1"/>
    <col min="3" max="3" width="20.28515625" customWidth="1"/>
    <col min="4" max="4" width="15.7109375" customWidth="1"/>
    <col min="5" max="5" width="27" customWidth="1"/>
  </cols>
  <sheetData>
    <row r="1" spans="1:8">
      <c r="A1" s="33" t="s">
        <v>257</v>
      </c>
      <c r="B1" s="33"/>
      <c r="C1" s="33"/>
      <c r="D1" s="33"/>
      <c r="E1" s="34"/>
      <c r="F1" s="34"/>
      <c r="G1" s="34"/>
      <c r="H1" s="34"/>
    </row>
    <row r="2" spans="1:8" ht="30">
      <c r="A2" s="35" t="s">
        <v>258</v>
      </c>
      <c r="B2" s="35" t="s">
        <v>50</v>
      </c>
      <c r="C2" s="35" t="s">
        <v>259</v>
      </c>
      <c r="D2" s="36" t="s">
        <v>260</v>
      </c>
      <c r="E2" s="45" t="s">
        <v>659</v>
      </c>
      <c r="F2" s="45" t="s">
        <v>660</v>
      </c>
    </row>
    <row r="3" spans="1:8">
      <c r="A3" t="s">
        <v>261</v>
      </c>
      <c r="D3" s="12">
        <f>(E3/$E$5)*(1-F3)</f>
        <v>1.0238888888888888</v>
      </c>
      <c r="E3" s="48">
        <v>0.95</v>
      </c>
      <c r="F3" s="110">
        <v>0.03</v>
      </c>
    </row>
    <row r="4" spans="1:8">
      <c r="A4" t="s">
        <v>262</v>
      </c>
      <c r="D4" s="12">
        <f>(E4/$E$5)*(1-F4)</f>
        <v>1.0449999999999999</v>
      </c>
      <c r="E4" s="48">
        <v>0.95</v>
      </c>
      <c r="F4" s="110">
        <v>0.01</v>
      </c>
    </row>
    <row r="5" spans="1:8">
      <c r="A5" t="s">
        <v>263</v>
      </c>
      <c r="D5" s="12">
        <f>(E5/$E$5)*(1-F5)</f>
        <v>1</v>
      </c>
      <c r="E5" s="48">
        <v>0.9</v>
      </c>
      <c r="F5" s="11">
        <v>0</v>
      </c>
    </row>
    <row r="7" spans="1:8">
      <c r="A7" s="35" t="s">
        <v>264</v>
      </c>
      <c r="B7" s="37"/>
      <c r="C7" s="37"/>
      <c r="D7" s="37"/>
      <c r="E7" s="37"/>
      <c r="F7" s="37"/>
      <c r="G7" s="37"/>
      <c r="H7" s="37"/>
    </row>
    <row r="8" spans="1:8">
      <c r="A8" s="16" t="s">
        <v>265</v>
      </c>
    </row>
    <row r="10" spans="1:8">
      <c r="A10" t="s">
        <v>457</v>
      </c>
      <c r="B10" s="110">
        <v>0.99</v>
      </c>
      <c r="C10" t="s">
        <v>458</v>
      </c>
    </row>
    <row r="11" spans="1:8">
      <c r="A11" t="s">
        <v>471</v>
      </c>
      <c r="B11" s="110">
        <v>0.92</v>
      </c>
      <c r="C11" t="s">
        <v>472</v>
      </c>
    </row>
    <row r="12" spans="1:8">
      <c r="A12" t="s">
        <v>473</v>
      </c>
      <c r="B12" s="110">
        <v>0.88</v>
      </c>
      <c r="C12" t="s">
        <v>474</v>
      </c>
    </row>
    <row r="35" spans="1:5">
      <c r="A35" t="s">
        <v>266</v>
      </c>
    </row>
    <row r="36" spans="1:5">
      <c r="A36" t="s">
        <v>267</v>
      </c>
    </row>
    <row r="37" spans="1:5">
      <c r="A37" t="s">
        <v>268</v>
      </c>
    </row>
    <row r="39" spans="1:5">
      <c r="A39" t="s">
        <v>269</v>
      </c>
    </row>
    <row r="40" spans="1:5" ht="45" customHeight="1">
      <c r="A40" s="162" t="s">
        <v>270</v>
      </c>
      <c r="B40" s="162"/>
      <c r="C40" s="162"/>
      <c r="D40" s="162"/>
    </row>
    <row r="42" spans="1:5" ht="30">
      <c r="A42" s="38" t="s">
        <v>271</v>
      </c>
      <c r="B42" s="10" t="s">
        <v>272</v>
      </c>
      <c r="C42" s="10" t="s">
        <v>273</v>
      </c>
      <c r="D42" s="10" t="s">
        <v>274</v>
      </c>
      <c r="E42" s="38" t="s">
        <v>275</v>
      </c>
    </row>
    <row r="43" spans="1:5">
      <c r="A43" t="s">
        <v>276</v>
      </c>
      <c r="B43">
        <v>200</v>
      </c>
      <c r="C43">
        <v>93</v>
      </c>
      <c r="D43" s="11">
        <v>0.85</v>
      </c>
      <c r="E43" t="s">
        <v>277</v>
      </c>
    </row>
    <row r="44" spans="1:5">
      <c r="A44" t="s">
        <v>278</v>
      </c>
      <c r="B44">
        <v>300</v>
      </c>
      <c r="C44">
        <v>149</v>
      </c>
      <c r="D44" s="11">
        <v>0.83</v>
      </c>
    </row>
    <row r="45" spans="1:5">
      <c r="A45" t="s">
        <v>279</v>
      </c>
      <c r="B45">
        <v>600</v>
      </c>
      <c r="C45">
        <v>315</v>
      </c>
      <c r="D45" s="11">
        <v>0.75</v>
      </c>
    </row>
    <row r="46" spans="1:5">
      <c r="A46" t="s">
        <v>280</v>
      </c>
      <c r="B46">
        <v>1400</v>
      </c>
      <c r="C46">
        <v>760</v>
      </c>
      <c r="D46" s="11">
        <v>0.56999999999999995</v>
      </c>
    </row>
    <row r="47" spans="1:5">
      <c r="A47" t="s">
        <v>281</v>
      </c>
      <c r="B47">
        <v>2600</v>
      </c>
      <c r="C47">
        <v>1426</v>
      </c>
      <c r="D47" s="11">
        <v>0.23</v>
      </c>
    </row>
    <row r="49" spans="1:8">
      <c r="A49" s="35" t="s">
        <v>282</v>
      </c>
      <c r="B49" s="37"/>
      <c r="C49" s="37"/>
      <c r="D49" s="37"/>
    </row>
    <row r="50" spans="1:8">
      <c r="A50" s="38" t="s">
        <v>271</v>
      </c>
      <c r="B50" s="10" t="s">
        <v>283</v>
      </c>
      <c r="C50" s="10" t="s">
        <v>284</v>
      </c>
      <c r="D50" s="10" t="s">
        <v>285</v>
      </c>
    </row>
    <row r="51" spans="1:8">
      <c r="A51" t="s">
        <v>286</v>
      </c>
      <c r="B51" s="14">
        <f>D43*$D$3</f>
        <v>0.87030555555555544</v>
      </c>
      <c r="C51" s="14">
        <f>D43*$D$4</f>
        <v>0.88824999999999987</v>
      </c>
      <c r="D51" s="11">
        <f>D43</f>
        <v>0.85</v>
      </c>
    </row>
    <row r="52" spans="1:8">
      <c r="A52" t="s">
        <v>287</v>
      </c>
      <c r="B52" s="14">
        <f>D44*$D$3</f>
        <v>0.84982777777777774</v>
      </c>
      <c r="C52" s="14">
        <f>D44*$D$4</f>
        <v>0.86734999999999995</v>
      </c>
      <c r="D52" s="11">
        <f>D44</f>
        <v>0.83</v>
      </c>
    </row>
    <row r="53" spans="1:8">
      <c r="A53" t="s">
        <v>288</v>
      </c>
      <c r="B53" s="14">
        <f>D45*$D$3</f>
        <v>0.76791666666666658</v>
      </c>
      <c r="C53" s="14">
        <f>D45*$D$4</f>
        <v>0.78374999999999995</v>
      </c>
      <c r="D53" s="11">
        <f>D45</f>
        <v>0.75</v>
      </c>
    </row>
    <row r="54" spans="1:8">
      <c r="A54" t="s">
        <v>289</v>
      </c>
      <c r="B54" s="14">
        <f>D46*$D$3</f>
        <v>0.58361666666666656</v>
      </c>
      <c r="C54" s="14">
        <f>D46*$D$4</f>
        <v>0.5956499999999999</v>
      </c>
      <c r="D54" s="11">
        <f>D46</f>
        <v>0.56999999999999995</v>
      </c>
    </row>
    <row r="55" spans="1:8">
      <c r="A55" t="s">
        <v>290</v>
      </c>
      <c r="B55" s="14">
        <f>D47*$D$3</f>
        <v>0.23549444444444445</v>
      </c>
      <c r="C55" s="14">
        <f>D47*$D$4</f>
        <v>0.24034999999999998</v>
      </c>
      <c r="D55" s="11">
        <f>D47</f>
        <v>0.23</v>
      </c>
    </row>
    <row r="57" spans="1:8">
      <c r="A57" s="33" t="s">
        <v>291</v>
      </c>
      <c r="B57" s="34"/>
      <c r="C57" s="34"/>
      <c r="D57" s="34"/>
      <c r="E57" s="34"/>
      <c r="F57" s="34"/>
      <c r="G57" s="34"/>
      <c r="H57" s="34"/>
    </row>
    <row r="58" spans="1:8">
      <c r="A58" s="35" t="s">
        <v>292</v>
      </c>
      <c r="B58" s="35"/>
      <c r="C58" s="35"/>
      <c r="D58" s="35"/>
    </row>
    <row r="59" spans="1:8">
      <c r="A59" s="16" t="s">
        <v>293</v>
      </c>
    </row>
    <row r="80" spans="1:1">
      <c r="A80" t="s">
        <v>415</v>
      </c>
    </row>
    <row r="81" spans="1:5">
      <c r="A81" t="s">
        <v>416</v>
      </c>
    </row>
    <row r="82" spans="1:5">
      <c r="A82" t="s">
        <v>417</v>
      </c>
    </row>
    <row r="83" spans="1:5">
      <c r="A83" t="s">
        <v>418</v>
      </c>
    </row>
    <row r="84" spans="1:5">
      <c r="A84" t="s">
        <v>419</v>
      </c>
    </row>
    <row r="85" spans="1:5">
      <c r="A85" s="2" t="s">
        <v>420</v>
      </c>
    </row>
    <row r="87" spans="1:5">
      <c r="A87" s="39"/>
      <c r="B87" s="39"/>
      <c r="C87" s="39"/>
      <c r="D87" s="39"/>
      <c r="E87" s="39"/>
    </row>
    <row r="88" spans="1:5" ht="30">
      <c r="A88" s="40" t="s">
        <v>271</v>
      </c>
      <c r="B88" s="41" t="s">
        <v>294</v>
      </c>
      <c r="C88" s="41" t="s">
        <v>421</v>
      </c>
      <c r="D88" t="s">
        <v>422</v>
      </c>
    </row>
    <row r="89" spans="1:5">
      <c r="A89" t="s">
        <v>286</v>
      </c>
      <c r="B89" s="42">
        <v>90</v>
      </c>
      <c r="C89" s="43">
        <f>INDEX('Mickey data'!D:D,MATCH('Combustion Efficiency'!B89,'Mickey data'!A:A,0))</f>
        <v>0.97430000000000005</v>
      </c>
      <c r="D89" s="11">
        <f>INDEX('Mickey data'!E:E,MATCH('Combustion Efficiency'!B89,'Mickey data'!A:A,0))</f>
        <v>0.98550000000000004</v>
      </c>
    </row>
    <row r="90" spans="1:5">
      <c r="A90" t="s">
        <v>287</v>
      </c>
      <c r="B90" s="42">
        <v>150</v>
      </c>
      <c r="C90" s="43">
        <f>INDEX('Mickey data'!D:D,MATCH('Combustion Efficiency'!B90,'Mickey data'!A:A,0))</f>
        <v>0.96099999999999997</v>
      </c>
      <c r="D90" s="11">
        <f>INDEX('Mickey data'!E:E,MATCH('Combustion Efficiency'!B90,'Mickey data'!A:A,0))</f>
        <v>0.97599999999999998</v>
      </c>
    </row>
    <row r="91" spans="1:5">
      <c r="A91" t="s">
        <v>288</v>
      </c>
      <c r="B91" s="42">
        <v>350</v>
      </c>
      <c r="C91" s="43">
        <f>INDEX('Mickey data'!D:D,MATCH('Combustion Efficiency'!B91,'Mickey data'!A:A,0))</f>
        <v>0.91579999999999995</v>
      </c>
      <c r="D91" s="11">
        <f>INDEX('Mickey data'!E:E,MATCH('Combustion Efficiency'!B91,'Mickey data'!A:A,0))</f>
        <v>0.94410000000000005</v>
      </c>
    </row>
    <row r="92" spans="1:5">
      <c r="A92" t="s">
        <v>289</v>
      </c>
      <c r="B92" s="42">
        <v>750</v>
      </c>
      <c r="C92" s="43">
        <f>INDEX('Mickey data'!D:D,MATCH('Combustion Efficiency'!B92,'Mickey data'!A:A,0))</f>
        <v>0.82220000000000004</v>
      </c>
      <c r="D92" s="11">
        <f>INDEX('Mickey data'!E:E,MATCH('Combustion Efficiency'!B92,'Mickey data'!A:A,0))</f>
        <v>0.87890000000000001</v>
      </c>
    </row>
    <row r="93" spans="1:5">
      <c r="A93" t="s">
        <v>290</v>
      </c>
      <c r="B93" s="42">
        <v>1500</v>
      </c>
      <c r="C93" s="43">
        <f>INDEX('Mickey data'!D:D,MATCH('Combustion Efficiency'!B93,'Mickey data'!A:A,0))</f>
        <v>0.63539999999999996</v>
      </c>
      <c r="D93" s="11">
        <f>INDEX('Mickey data'!E:E,MATCH('Combustion Efficiency'!B93,'Mickey data'!A:A,0))</f>
        <v>0.752</v>
      </c>
    </row>
    <row r="94" spans="1:5">
      <c r="A94" s="44"/>
      <c r="B94" s="39"/>
      <c r="C94" s="39"/>
      <c r="D94" s="39"/>
      <c r="E94" s="39"/>
    </row>
    <row r="95" spans="1:5">
      <c r="A95" s="35" t="s">
        <v>282</v>
      </c>
      <c r="B95" s="37"/>
      <c r="C95" s="37"/>
      <c r="D95" s="37"/>
      <c r="E95" s="39"/>
    </row>
    <row r="96" spans="1:5">
      <c r="A96" s="38" t="s">
        <v>271</v>
      </c>
      <c r="B96" s="10" t="s">
        <v>283</v>
      </c>
      <c r="C96" s="10" t="s">
        <v>284</v>
      </c>
      <c r="D96" s="10" t="s">
        <v>285</v>
      </c>
    </row>
    <row r="97" spans="1:5">
      <c r="A97" t="s">
        <v>286</v>
      </c>
      <c r="B97" s="14">
        <f>$B$12</f>
        <v>0.88</v>
      </c>
      <c r="C97" s="14">
        <f>$B$11</f>
        <v>0.92</v>
      </c>
      <c r="D97" s="14">
        <f>$B$10</f>
        <v>0.99</v>
      </c>
      <c r="E97" t="s">
        <v>475</v>
      </c>
    </row>
    <row r="98" spans="1:5">
      <c r="A98" t="s">
        <v>287</v>
      </c>
      <c r="B98" s="14">
        <f>$B$12</f>
        <v>0.88</v>
      </c>
      <c r="C98" s="14">
        <f>$B$11</f>
        <v>0.92</v>
      </c>
      <c r="D98" s="14">
        <f>$B$10</f>
        <v>0.99</v>
      </c>
      <c r="E98" t="s">
        <v>475</v>
      </c>
    </row>
    <row r="99" spans="1:5">
      <c r="A99" t="s">
        <v>288</v>
      </c>
      <c r="B99" s="14">
        <f>C91*$D$3</f>
        <v>0.93767744444444434</v>
      </c>
      <c r="C99" s="14">
        <f>C91*$D$4</f>
        <v>0.95701099999999983</v>
      </c>
      <c r="D99" s="14">
        <f>C91</f>
        <v>0.91579999999999995</v>
      </c>
    </row>
    <row r="100" spans="1:5">
      <c r="A100" t="s">
        <v>289</v>
      </c>
      <c r="B100" s="14">
        <f>D92*$D$3</f>
        <v>0.89989594444444443</v>
      </c>
      <c r="C100" s="14">
        <f>D92*$D$4</f>
        <v>0.91845049999999995</v>
      </c>
      <c r="D100" s="14">
        <f>D92</f>
        <v>0.87890000000000001</v>
      </c>
      <c r="E100" t="s">
        <v>447</v>
      </c>
    </row>
    <row r="101" spans="1:5">
      <c r="A101" t="s">
        <v>290</v>
      </c>
      <c r="B101" s="14">
        <f>D93*$D$3</f>
        <v>0.76996444444444445</v>
      </c>
      <c r="C101" s="14">
        <f>D93*$D$4</f>
        <v>0.78583999999999998</v>
      </c>
      <c r="D101" s="14">
        <f>D93</f>
        <v>0.752</v>
      </c>
      <c r="E101" t="s">
        <v>448</v>
      </c>
    </row>
    <row r="103" spans="1:5">
      <c r="A103" s="45" t="s">
        <v>295</v>
      </c>
      <c r="B103" s="46"/>
      <c r="C103" s="46"/>
      <c r="D103" s="46"/>
      <c r="E103" s="46"/>
    </row>
    <row r="104" spans="1:5">
      <c r="A104" s="1" t="s">
        <v>271</v>
      </c>
      <c r="B104" s="47" t="s">
        <v>283</v>
      </c>
      <c r="C104" s="47" t="s">
        <v>284</v>
      </c>
      <c r="D104" s="47" t="s">
        <v>285</v>
      </c>
      <c r="E104" s="47" t="s">
        <v>296</v>
      </c>
    </row>
    <row r="105" spans="1:5">
      <c r="A105" t="s">
        <v>286</v>
      </c>
      <c r="B105" s="11">
        <f>$E105*B97+(1-$E105)*B51</f>
        <v>0.88</v>
      </c>
      <c r="C105" s="11">
        <f>$E105*C97+(1-$E105)*C51</f>
        <v>0.92</v>
      </c>
      <c r="D105" s="11">
        <f>$E105*D97+(1-$E105)*D51</f>
        <v>0.99</v>
      </c>
      <c r="E105" s="48">
        <v>1</v>
      </c>
    </row>
    <row r="106" spans="1:5">
      <c r="A106" t="s">
        <v>287</v>
      </c>
      <c r="B106" s="11">
        <f t="shared" ref="B106:D106" si="0">$E106*B98+(1-$E106)*B52</f>
        <v>0.88</v>
      </c>
      <c r="C106" s="11">
        <f t="shared" si="0"/>
        <v>0.92</v>
      </c>
      <c r="D106" s="11">
        <f t="shared" si="0"/>
        <v>0.99</v>
      </c>
      <c r="E106" s="48">
        <v>1</v>
      </c>
    </row>
    <row r="107" spans="1:5">
      <c r="A107" t="s">
        <v>288</v>
      </c>
      <c r="B107" s="11">
        <f>$B$134*$B$131+(1-$B$134)*($E107*B99+(1-$E107)*B53)*$B$138</f>
        <v>0.87244835274380961</v>
      </c>
      <c r="C107" s="11">
        <f>$B$134*$B$132+(1-$B$134)*($E107*C99+(1-$E107)*C53)*$B$138</f>
        <v>0.87496128269729012</v>
      </c>
      <c r="D107" s="11">
        <f>$B$134*$B$133+(1-$B$134)*($E107*D99+(1-$E107)*D53)*$B$138</f>
        <v>0.83906602411223941</v>
      </c>
      <c r="E107" s="48">
        <v>1</v>
      </c>
    </row>
    <row r="108" spans="1:5">
      <c r="A108" t="s">
        <v>289</v>
      </c>
      <c r="B108" s="11">
        <f>($E108*B100+(1-$E108)*B54)*$B$139</f>
        <v>0.86903224500180132</v>
      </c>
      <c r="C108" s="11">
        <f>($E108*C100+(1-$E108)*C54)*$B$139</f>
        <v>0.88695043562039511</v>
      </c>
      <c r="D108" s="11">
        <f>($E108*D100+(1-$E108)*D54)*$B$139</f>
        <v>0.84875639772286626</v>
      </c>
      <c r="E108" s="48">
        <v>1</v>
      </c>
    </row>
    <row r="109" spans="1:5">
      <c r="A109" t="s">
        <v>290</v>
      </c>
      <c r="B109" s="23">
        <f>$B$148*($E109*B101+(1-$E109)*B55)+(1-$B$148)*$B$150</f>
        <v>0.6921575083920003</v>
      </c>
      <c r="C109" s="23">
        <f>$B$148*($E109*C101+(1-$E109)*C55)+(1-$B$148)*$B$150</f>
        <v>0.70076549489836037</v>
      </c>
      <c r="D109" s="23">
        <f>$B$148*($E109*D101+(1-$E109)*D55)+(1-$B$148)*$B$150</f>
        <v>0.6824168920821716</v>
      </c>
      <c r="E109" s="48">
        <v>1</v>
      </c>
    </row>
    <row r="111" spans="1:5">
      <c r="A111" s="45" t="s">
        <v>423</v>
      </c>
    </row>
    <row r="112" spans="1:5">
      <c r="A112" t="s">
        <v>424</v>
      </c>
    </row>
    <row r="113" spans="1:8">
      <c r="A113" t="s">
        <v>465</v>
      </c>
    </row>
    <row r="116" spans="1:8">
      <c r="A116" s="109" t="s">
        <v>463</v>
      </c>
    </row>
    <row r="117" spans="1:8">
      <c r="A117" s="2" t="s">
        <v>464</v>
      </c>
    </row>
    <row r="119" spans="1:8">
      <c r="A119" s="53" t="s">
        <v>425</v>
      </c>
      <c r="B119" s="107" t="s">
        <v>426</v>
      </c>
      <c r="C119" s="107" t="s">
        <v>427</v>
      </c>
      <c r="D119" s="107" t="s">
        <v>428</v>
      </c>
      <c r="E119" s="107" t="s">
        <v>429</v>
      </c>
      <c r="G119" s="107" t="s">
        <v>459</v>
      </c>
    </row>
    <row r="120" spans="1:8">
      <c r="A120" t="s">
        <v>286</v>
      </c>
      <c r="B120" s="18">
        <f>B89</f>
        <v>90</v>
      </c>
      <c r="C120" s="12">
        <f t="shared" ref="C120:D124" si="1">1/C89</f>
        <v>1.0263779123473262</v>
      </c>
      <c r="D120" s="12">
        <f t="shared" si="1"/>
        <v>1.0147133434804667</v>
      </c>
      <c r="E120" s="12">
        <f>1/C89</f>
        <v>1.0263779123473262</v>
      </c>
      <c r="F120" t="s">
        <v>430</v>
      </c>
      <c r="G120" s="12">
        <f>1/$B$10</f>
        <v>1.0101010101010102</v>
      </c>
      <c r="H120" t="s">
        <v>460</v>
      </c>
    </row>
    <row r="121" spans="1:8">
      <c r="A121" t="s">
        <v>287</v>
      </c>
      <c r="B121" s="18">
        <f>B90</f>
        <v>150</v>
      </c>
      <c r="C121" s="12">
        <f t="shared" si="1"/>
        <v>1.0405827263267431</v>
      </c>
      <c r="D121" s="12">
        <f t="shared" si="1"/>
        <v>1.0245901639344261</v>
      </c>
      <c r="E121" s="12">
        <f>1/C90</f>
        <v>1.0405827263267431</v>
      </c>
      <c r="F121" t="s">
        <v>431</v>
      </c>
      <c r="G121" s="12">
        <f>1/$B$10</f>
        <v>1.0101010101010102</v>
      </c>
      <c r="H121" t="s">
        <v>460</v>
      </c>
    </row>
    <row r="122" spans="1:8">
      <c r="A122" t="s">
        <v>288</v>
      </c>
      <c r="B122" s="18">
        <f>B91</f>
        <v>350</v>
      </c>
      <c r="C122" s="12">
        <f t="shared" si="1"/>
        <v>1.0919414719371043</v>
      </c>
      <c r="D122" s="12">
        <f t="shared" si="1"/>
        <v>1.0592098294672174</v>
      </c>
      <c r="E122" s="12">
        <f>1/C91</f>
        <v>1.0919414719371043</v>
      </c>
      <c r="F122" t="s">
        <v>431</v>
      </c>
      <c r="G122" s="12">
        <f>1/C91</f>
        <v>1.0919414719371043</v>
      </c>
      <c r="H122" t="s">
        <v>461</v>
      </c>
    </row>
    <row r="123" spans="1:8">
      <c r="A123" t="s">
        <v>289</v>
      </c>
      <c r="B123" s="18">
        <f>B92</f>
        <v>750</v>
      </c>
      <c r="C123" s="12">
        <f t="shared" si="1"/>
        <v>1.216249087813184</v>
      </c>
      <c r="D123" s="12">
        <f t="shared" si="1"/>
        <v>1.1377858686995108</v>
      </c>
      <c r="E123" s="12">
        <f>1/D92</f>
        <v>1.1377858686995108</v>
      </c>
      <c r="F123" t="s">
        <v>432</v>
      </c>
      <c r="G123" s="12">
        <f>1/D92</f>
        <v>1.1377858686995108</v>
      </c>
      <c r="H123" t="s">
        <v>462</v>
      </c>
    </row>
    <row r="124" spans="1:8">
      <c r="A124" t="s">
        <v>290</v>
      </c>
      <c r="B124" s="18">
        <f>B93</f>
        <v>1500</v>
      </c>
      <c r="C124" s="12">
        <f t="shared" si="1"/>
        <v>1.5738117721120555</v>
      </c>
      <c r="D124" s="12">
        <f t="shared" si="1"/>
        <v>1.3297872340425532</v>
      </c>
      <c r="E124" s="12">
        <f>1/D93</f>
        <v>1.3297872340425532</v>
      </c>
      <c r="F124" t="s">
        <v>433</v>
      </c>
      <c r="G124" s="12">
        <f>1/D93</f>
        <v>1.3297872340425532</v>
      </c>
      <c r="H124" t="s">
        <v>462</v>
      </c>
    </row>
    <row r="127" spans="1:8">
      <c r="A127" s="146" t="s">
        <v>592</v>
      </c>
    </row>
    <row r="128" spans="1:8">
      <c r="A128" s="147" t="s">
        <v>593</v>
      </c>
      <c r="B128" s="107" t="s">
        <v>594</v>
      </c>
      <c r="C128" s="147" t="s">
        <v>595</v>
      </c>
    </row>
    <row r="129" spans="1:4">
      <c r="A129" s="15" t="s">
        <v>596</v>
      </c>
      <c r="B129" s="110">
        <v>0.05</v>
      </c>
    </row>
    <row r="130" spans="1:4">
      <c r="A130" s="15" t="s">
        <v>597</v>
      </c>
      <c r="B130" s="110">
        <v>0.90300000000000002</v>
      </c>
      <c r="C130" s="110">
        <v>0.89200000000000002</v>
      </c>
      <c r="D130" s="110">
        <v>0.85699999999999998</v>
      </c>
    </row>
    <row r="131" spans="1:4">
      <c r="A131" s="15" t="s">
        <v>598</v>
      </c>
      <c r="B131" s="23">
        <f>B130*(1-$B$129)</f>
        <v>0.85785</v>
      </c>
    </row>
    <row r="132" spans="1:4">
      <c r="A132" s="15" t="s">
        <v>599</v>
      </c>
      <c r="B132" s="23">
        <f>C130*(1-$B$129)</f>
        <v>0.84739999999999993</v>
      </c>
    </row>
    <row r="133" spans="1:4">
      <c r="A133" s="15" t="s">
        <v>600</v>
      </c>
      <c r="B133" s="23">
        <f>D130*(1-$B$129)</f>
        <v>0.81414999999999993</v>
      </c>
    </row>
    <row r="134" spans="1:4">
      <c r="A134" s="15" t="s">
        <v>601</v>
      </c>
      <c r="B134" s="110">
        <v>0.55000000000000004</v>
      </c>
    </row>
    <row r="135" spans="1:4">
      <c r="A135" s="15" t="s">
        <v>602</v>
      </c>
      <c r="B135" s="113">
        <f>'indst heat consumption'!K6+'indst heat consumption'!K12+'indst heat consumption'!K13+'indst heat consumption'!K14</f>
        <v>0.54517414527712316</v>
      </c>
    </row>
    <row r="136" spans="1:4">
      <c r="A136" s="15" t="s">
        <v>499</v>
      </c>
      <c r="B136" s="113">
        <f>'indst heat consumption'!L6+'indst heat consumption'!L12+'indst heat consumption'!L13+'indst heat consumption'!L14</f>
        <v>0.6913273176764082</v>
      </c>
    </row>
    <row r="137" spans="1:4">
      <c r="A137" s="15" t="s">
        <v>603</v>
      </c>
      <c r="B137" s="113">
        <f>'Electric Process Heat'!D7/'Heat pumps'!H25</f>
        <v>0.88888888888888895</v>
      </c>
    </row>
    <row r="138" spans="1:4">
      <c r="A138" s="15" t="s">
        <v>604</v>
      </c>
      <c r="B138" s="23">
        <f>B135+(1-B135)*$B$137</f>
        <v>0.94946379391968039</v>
      </c>
    </row>
    <row r="139" spans="1:4">
      <c r="A139" s="15" t="s">
        <v>605</v>
      </c>
      <c r="B139" s="23">
        <f>B136+(1-B136)*$B$137</f>
        <v>0.96570303529737878</v>
      </c>
    </row>
    <row r="140" spans="1:4">
      <c r="A140" s="148" t="s">
        <v>606</v>
      </c>
    </row>
    <row r="142" spans="1:4">
      <c r="A142" s="146" t="s">
        <v>670</v>
      </c>
    </row>
    <row r="143" spans="1:4">
      <c r="A143" s="150" t="s">
        <v>671</v>
      </c>
      <c r="B143" s="150" t="s">
        <v>493</v>
      </c>
      <c r="C143" s="150" t="s">
        <v>672</v>
      </c>
      <c r="D143" s="150" t="s">
        <v>673</v>
      </c>
    </row>
    <row r="144" spans="1:4">
      <c r="A144" s="15" t="s">
        <v>669</v>
      </c>
      <c r="B144" s="113">
        <f>'indst heat consumption'!M15</f>
        <v>0.11556765031642216</v>
      </c>
      <c r="C144" s="48">
        <v>1</v>
      </c>
      <c r="D144" s="15" t="s">
        <v>674</v>
      </c>
    </row>
    <row r="145" spans="1:4">
      <c r="A145" s="15" t="s">
        <v>675</v>
      </c>
      <c r="B145" s="113">
        <f>'indst heat consumption'!M19+'indst heat consumption'!M18</f>
        <v>0.19482294719709087</v>
      </c>
      <c r="C145" s="48">
        <v>1</v>
      </c>
      <c r="D145" s="15" t="s">
        <v>676</v>
      </c>
    </row>
    <row r="146" spans="1:4">
      <c r="A146" s="15" t="s">
        <v>667</v>
      </c>
      <c r="B146" s="113">
        <f>'indst heat consumption'!M17</f>
        <v>0.38669340703059241</v>
      </c>
      <c r="C146" s="110">
        <v>0.55000000000000004</v>
      </c>
      <c r="D146" s="15" t="s">
        <v>677</v>
      </c>
    </row>
    <row r="147" spans="1:4">
      <c r="A147" s="15" t="s">
        <v>668</v>
      </c>
      <c r="B147" s="113">
        <f>'indst heat consumption'!M16</f>
        <v>0.26760827687001398</v>
      </c>
      <c r="C147" s="48">
        <v>0</v>
      </c>
      <c r="D147" s="15" t="s">
        <v>678</v>
      </c>
    </row>
    <row r="148" spans="1:4">
      <c r="A148" s="150" t="s">
        <v>679</v>
      </c>
      <c r="B148" s="157">
        <f>SUMPRODUCT(B144:B147,C144:C147)/SUM(B144:B147)</f>
        <v>0.54221639527744547</v>
      </c>
    </row>
    <row r="149" spans="1:4">
      <c r="A149" s="150" t="s">
        <v>685</v>
      </c>
    </row>
    <row r="150" spans="1:4">
      <c r="A150" s="15" t="s">
        <v>680</v>
      </c>
      <c r="B150" s="120">
        <v>0.6</v>
      </c>
    </row>
    <row r="151" spans="1:4">
      <c r="A151" s="15" t="s">
        <v>686</v>
      </c>
      <c r="B151" s="23">
        <f>D109</f>
        <v>0.6824168920821716</v>
      </c>
    </row>
    <row r="152" spans="1:4">
      <c r="A152" s="15" t="s">
        <v>687</v>
      </c>
      <c r="B152" s="12">
        <f>1/B151</f>
        <v>1.4653799042823039</v>
      </c>
    </row>
    <row r="153" spans="1:4">
      <c r="A153" s="15" t="s">
        <v>688</v>
      </c>
      <c r="B153" s="149">
        <v>1.3297872340425501</v>
      </c>
    </row>
    <row r="154" spans="1:4">
      <c r="A154" s="154" t="s">
        <v>689</v>
      </c>
    </row>
    <row r="155" spans="1:4">
      <c r="A155" s="154" t="s">
        <v>681</v>
      </c>
    </row>
    <row r="157" spans="1:4">
      <c r="A157" s="146" t="s">
        <v>690</v>
      </c>
    </row>
    <row r="158" spans="1:4">
      <c r="A158" s="15" t="s">
        <v>693</v>
      </c>
      <c r="B158" s="111">
        <v>0</v>
      </c>
    </row>
    <row r="159" spans="1:4">
      <c r="A159" s="15" t="s">
        <v>691</v>
      </c>
      <c r="B159" s="23">
        <f>B147</f>
        <v>0.26760827687001398</v>
      </c>
    </row>
    <row r="160" spans="1:4">
      <c r="A160" s="150" t="s">
        <v>694</v>
      </c>
      <c r="B160" s="157">
        <f>B158+B159</f>
        <v>0.26760827687001398</v>
      </c>
    </row>
    <row r="161" spans="1:2">
      <c r="A161" s="15" t="s">
        <v>695</v>
      </c>
      <c r="B161" s="23">
        <f>1-B160</f>
        <v>0.73239172312998602</v>
      </c>
    </row>
    <row r="162" spans="1:2">
      <c r="A162" s="158" t="s">
        <v>696</v>
      </c>
    </row>
  </sheetData>
  <mergeCells count="1">
    <mergeCell ref="A40:D40"/>
  </mergeCells>
  <hyperlinks>
    <hyperlink ref="A8" r:id="rId1" xr:uid="{54BC1DB9-86E9-44A4-A697-1E6FE7B363DB}"/>
    <hyperlink ref="A59" r:id="rId2" xr:uid="{717D6E21-72E3-43B0-A57D-F0B86FF2B8BE}"/>
  </hyperlinks>
  <pageMargins left="0.7" right="0.7" top="0.75" bottom="0.75" header="0.3" footer="0.3"/>
  <drawing r:id="rId3"/>
  <legacy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539EB-4244-403E-A7FA-D20C313BDD90}">
  <dimension ref="A1:H152"/>
  <sheetViews>
    <sheetView zoomScale="49" zoomScaleNormal="55" workbookViewId="0">
      <selection activeCell="F17" sqref="F17"/>
    </sheetView>
  </sheetViews>
  <sheetFormatPr defaultRowHeight="15"/>
  <cols>
    <col min="1" max="6" width="25.42578125" customWidth="1"/>
    <col min="8" max="8" width="71.140625" style="5" customWidth="1"/>
  </cols>
  <sheetData>
    <row r="1" spans="1:8" ht="30">
      <c r="A1" s="49" t="s">
        <v>297</v>
      </c>
      <c r="B1" s="49" t="s">
        <v>298</v>
      </c>
      <c r="C1" s="49" t="s">
        <v>299</v>
      </c>
      <c r="D1" s="49" t="s">
        <v>300</v>
      </c>
      <c r="E1" s="49" t="s">
        <v>301</v>
      </c>
      <c r="F1" s="49" t="s">
        <v>302</v>
      </c>
      <c r="H1" s="50" t="s">
        <v>0</v>
      </c>
    </row>
    <row r="2" spans="1:8">
      <c r="A2">
        <v>0</v>
      </c>
      <c r="B2" s="17">
        <v>0.99950000000000006</v>
      </c>
      <c r="C2" s="17">
        <v>0.99460000000000004</v>
      </c>
      <c r="D2" s="17">
        <v>0.99419999999999997</v>
      </c>
      <c r="E2" s="17">
        <v>0.99970000000000003</v>
      </c>
      <c r="F2" s="17">
        <v>0.99950000000000006</v>
      </c>
      <c r="H2" s="5" t="s">
        <v>303</v>
      </c>
    </row>
    <row r="3" spans="1:8">
      <c r="A3">
        <v>10</v>
      </c>
      <c r="B3" s="17">
        <v>0.99550000000000005</v>
      </c>
      <c r="C3" s="17">
        <v>0.99180000000000001</v>
      </c>
      <c r="D3" s="17">
        <v>0.99199999999999999</v>
      </c>
      <c r="E3" s="17">
        <v>0.99809999999999999</v>
      </c>
      <c r="F3" s="17">
        <v>0.99870000000000003</v>
      </c>
      <c r="H3" s="5">
        <v>2017</v>
      </c>
    </row>
    <row r="4" spans="1:8">
      <c r="A4">
        <v>20</v>
      </c>
      <c r="B4" s="17">
        <v>0.99139999999999995</v>
      </c>
      <c r="C4" s="17">
        <v>0.98899999999999999</v>
      </c>
      <c r="D4" s="17">
        <v>0.98980000000000001</v>
      </c>
      <c r="E4" s="17">
        <v>0.99660000000000004</v>
      </c>
      <c r="F4" s="17">
        <v>0.99780000000000002</v>
      </c>
      <c r="H4" s="5" t="s">
        <v>304</v>
      </c>
    </row>
    <row r="5" spans="1:8">
      <c r="A5">
        <v>30</v>
      </c>
      <c r="B5" s="17">
        <v>0.98729999999999996</v>
      </c>
      <c r="C5" s="17">
        <v>0.98619999999999997</v>
      </c>
      <c r="D5" s="17">
        <v>0.98760000000000003</v>
      </c>
      <c r="E5" s="17">
        <v>0.995</v>
      </c>
      <c r="F5" s="17">
        <v>0.997</v>
      </c>
      <c r="H5" s="51" t="s">
        <v>305</v>
      </c>
    </row>
    <row r="6" spans="1:8">
      <c r="A6">
        <v>40</v>
      </c>
      <c r="B6" s="17">
        <v>0.98329999999999995</v>
      </c>
      <c r="C6" s="17">
        <v>0.98340000000000005</v>
      </c>
      <c r="D6" s="17">
        <v>0.98540000000000005</v>
      </c>
      <c r="E6" s="17">
        <v>0.99339999999999995</v>
      </c>
      <c r="F6" s="17">
        <v>0.99619999999999997</v>
      </c>
    </row>
    <row r="7" spans="1:8">
      <c r="A7">
        <v>50</v>
      </c>
      <c r="B7" s="17">
        <v>0.97919999999999996</v>
      </c>
      <c r="C7" s="17">
        <v>0.98060000000000003</v>
      </c>
      <c r="D7" s="17">
        <v>0.98319999999999996</v>
      </c>
      <c r="E7" s="17">
        <v>0.99180000000000001</v>
      </c>
      <c r="F7" s="17">
        <v>0.99529999999999996</v>
      </c>
    </row>
    <row r="8" spans="1:8">
      <c r="A8">
        <v>60</v>
      </c>
      <c r="B8" s="17">
        <v>0.97509999999999997</v>
      </c>
      <c r="C8" s="17">
        <v>0.9778</v>
      </c>
      <c r="D8" s="17">
        <v>0.98099999999999998</v>
      </c>
      <c r="E8" s="17">
        <v>0.99029999999999996</v>
      </c>
      <c r="F8" s="17">
        <v>0.99450000000000005</v>
      </c>
      <c r="H8"/>
    </row>
    <row r="9" spans="1:8">
      <c r="A9">
        <v>70</v>
      </c>
      <c r="B9" s="17">
        <v>0.97089999999999999</v>
      </c>
      <c r="C9" s="17">
        <v>0.97489999999999999</v>
      </c>
      <c r="D9" s="17">
        <v>0.9788</v>
      </c>
      <c r="E9" s="17">
        <v>0.98870000000000002</v>
      </c>
      <c r="F9" s="17">
        <v>0.99370000000000003</v>
      </c>
    </row>
    <row r="10" spans="1:8">
      <c r="A10">
        <v>80</v>
      </c>
      <c r="B10" s="17">
        <v>0.96679999999999999</v>
      </c>
      <c r="C10" s="17">
        <v>0.97209999999999996</v>
      </c>
      <c r="D10" s="17">
        <v>0.97660000000000002</v>
      </c>
      <c r="E10" s="17">
        <v>0.98709999999999998</v>
      </c>
      <c r="F10" s="17">
        <v>0.99280000000000002</v>
      </c>
    </row>
    <row r="11" spans="1:8">
      <c r="A11">
        <v>90</v>
      </c>
      <c r="B11" s="17">
        <v>0.96260000000000001</v>
      </c>
      <c r="C11" s="17">
        <v>0.96930000000000005</v>
      </c>
      <c r="D11" s="17">
        <v>0.97430000000000005</v>
      </c>
      <c r="E11" s="17">
        <v>0.98550000000000004</v>
      </c>
      <c r="F11" s="17">
        <v>0.99199999999999999</v>
      </c>
    </row>
    <row r="12" spans="1:8">
      <c r="A12">
        <v>100</v>
      </c>
      <c r="B12" s="17">
        <v>0.95840000000000003</v>
      </c>
      <c r="C12" s="17">
        <v>0.96640000000000004</v>
      </c>
      <c r="D12" s="17">
        <v>0.97209999999999996</v>
      </c>
      <c r="E12" s="17">
        <v>0.9839</v>
      </c>
      <c r="F12" s="17">
        <v>0.99109999999999998</v>
      </c>
    </row>
    <row r="13" spans="1:8">
      <c r="A13">
        <v>110</v>
      </c>
      <c r="B13" s="17">
        <v>0.95420000000000005</v>
      </c>
      <c r="C13" s="17">
        <v>0.96360000000000001</v>
      </c>
      <c r="D13" s="17">
        <v>0.96989999999999998</v>
      </c>
      <c r="E13" s="17">
        <v>0.98240000000000005</v>
      </c>
      <c r="F13" s="17">
        <v>0.99029999999999996</v>
      </c>
    </row>
    <row r="14" spans="1:8">
      <c r="A14">
        <v>120</v>
      </c>
      <c r="B14" s="17">
        <v>0.95</v>
      </c>
      <c r="C14" s="17">
        <v>0.9607</v>
      </c>
      <c r="D14" s="17">
        <v>0.9677</v>
      </c>
      <c r="E14" s="17">
        <v>0.98080000000000001</v>
      </c>
      <c r="F14" s="17">
        <v>0.98950000000000005</v>
      </c>
    </row>
    <row r="15" spans="1:8">
      <c r="A15">
        <v>130</v>
      </c>
      <c r="B15" s="17">
        <v>0.94579999999999997</v>
      </c>
      <c r="C15" s="17">
        <v>0.95779999999999998</v>
      </c>
      <c r="D15" s="17">
        <v>0.96540000000000004</v>
      </c>
      <c r="E15" s="17">
        <v>0.97919999999999996</v>
      </c>
      <c r="F15" s="17">
        <v>0.98860000000000003</v>
      </c>
    </row>
    <row r="16" spans="1:8">
      <c r="A16">
        <v>140</v>
      </c>
      <c r="B16" s="17">
        <v>0.9415</v>
      </c>
      <c r="C16" s="17">
        <v>0.95499999999999996</v>
      </c>
      <c r="D16" s="17">
        <v>0.96319999999999995</v>
      </c>
      <c r="E16" s="17">
        <v>0.97760000000000002</v>
      </c>
      <c r="F16" s="17">
        <v>0.98780000000000001</v>
      </c>
    </row>
    <row r="17" spans="1:6" customFormat="1">
      <c r="A17">
        <v>150</v>
      </c>
      <c r="B17" s="17">
        <v>0.93730000000000002</v>
      </c>
      <c r="C17" s="17">
        <v>0.95209999999999995</v>
      </c>
      <c r="D17" s="17">
        <v>0.96099999999999997</v>
      </c>
      <c r="E17" s="17">
        <v>0.97599999999999998</v>
      </c>
      <c r="F17" s="17">
        <v>0.9869</v>
      </c>
    </row>
    <row r="18" spans="1:6" customFormat="1">
      <c r="A18">
        <v>160</v>
      </c>
      <c r="B18" s="17">
        <v>0.93300000000000005</v>
      </c>
      <c r="C18" s="17">
        <v>0.94920000000000004</v>
      </c>
      <c r="D18" s="17">
        <v>0.9587</v>
      </c>
      <c r="E18" s="17">
        <v>0.97440000000000004</v>
      </c>
      <c r="F18" s="17">
        <v>0.98609999999999998</v>
      </c>
    </row>
    <row r="19" spans="1:6" customFormat="1">
      <c r="A19">
        <v>170</v>
      </c>
      <c r="B19" s="17">
        <v>0.92869999999999997</v>
      </c>
      <c r="C19" s="17">
        <v>0.94630000000000003</v>
      </c>
      <c r="D19" s="17">
        <v>0.95650000000000002</v>
      </c>
      <c r="E19" s="17">
        <v>0.97289999999999999</v>
      </c>
      <c r="F19" s="17">
        <v>0.98519999999999996</v>
      </c>
    </row>
    <row r="20" spans="1:6" customFormat="1">
      <c r="A20">
        <v>180</v>
      </c>
      <c r="B20" s="17">
        <v>0.9244</v>
      </c>
      <c r="C20" s="17">
        <v>0.94340000000000002</v>
      </c>
      <c r="D20" s="17">
        <v>0.95430000000000004</v>
      </c>
      <c r="E20" s="17">
        <v>0.97130000000000005</v>
      </c>
      <c r="F20" s="17">
        <v>0.98440000000000005</v>
      </c>
    </row>
    <row r="21" spans="1:6" customFormat="1">
      <c r="A21">
        <v>190</v>
      </c>
      <c r="B21" s="17">
        <v>0.92010000000000003</v>
      </c>
      <c r="C21" s="17">
        <v>0.9405</v>
      </c>
      <c r="D21" s="17">
        <v>0.95199999999999996</v>
      </c>
      <c r="E21" s="17">
        <v>0.96970000000000001</v>
      </c>
      <c r="F21" s="17">
        <v>0.98360000000000003</v>
      </c>
    </row>
    <row r="22" spans="1:6" customFormat="1">
      <c r="A22">
        <v>200</v>
      </c>
      <c r="B22" s="17">
        <v>0.91569999999999996</v>
      </c>
      <c r="C22" s="17">
        <v>0.93759999999999999</v>
      </c>
      <c r="D22" s="17">
        <v>0.94979999999999998</v>
      </c>
      <c r="E22" s="17">
        <v>0.96809999999999996</v>
      </c>
      <c r="F22" s="17">
        <v>0.98270000000000002</v>
      </c>
    </row>
    <row r="23" spans="1:6" customFormat="1">
      <c r="A23">
        <v>210</v>
      </c>
      <c r="B23" s="17">
        <v>0.91139999999999999</v>
      </c>
      <c r="C23" s="17">
        <v>0.93469999999999998</v>
      </c>
      <c r="D23" s="17">
        <v>0.94750000000000001</v>
      </c>
      <c r="E23" s="17">
        <v>0.96650000000000003</v>
      </c>
      <c r="F23" s="17">
        <v>0.9819</v>
      </c>
    </row>
    <row r="24" spans="1:6" customFormat="1">
      <c r="A24">
        <v>220</v>
      </c>
      <c r="B24" s="17">
        <v>0.90700000000000003</v>
      </c>
      <c r="C24" s="17">
        <v>0.93169999999999997</v>
      </c>
      <c r="D24" s="17">
        <v>0.94530000000000003</v>
      </c>
      <c r="E24" s="17">
        <v>0.96489999999999998</v>
      </c>
      <c r="F24" s="17">
        <v>0.98099999999999998</v>
      </c>
    </row>
    <row r="25" spans="1:6" customFormat="1">
      <c r="A25">
        <v>230</v>
      </c>
      <c r="B25" s="17">
        <v>0.90259999999999996</v>
      </c>
      <c r="C25" s="17">
        <v>0.92879999999999996</v>
      </c>
      <c r="D25" s="17">
        <v>0.94299999999999995</v>
      </c>
      <c r="E25" s="17">
        <v>0.96330000000000005</v>
      </c>
      <c r="F25" s="17">
        <v>0.98019999999999996</v>
      </c>
    </row>
    <row r="26" spans="1:6" customFormat="1">
      <c r="A26">
        <v>240</v>
      </c>
      <c r="B26" s="17">
        <v>0.8982</v>
      </c>
      <c r="C26" s="17">
        <v>0.92589999999999995</v>
      </c>
      <c r="D26" s="17">
        <v>0.94079999999999997</v>
      </c>
      <c r="E26" s="17">
        <v>0.9617</v>
      </c>
      <c r="F26" s="17">
        <v>0.97929999999999995</v>
      </c>
    </row>
    <row r="27" spans="1:6" customFormat="1">
      <c r="A27">
        <v>250</v>
      </c>
      <c r="B27" s="17">
        <v>0.89380000000000004</v>
      </c>
      <c r="C27" s="17">
        <v>0.92290000000000005</v>
      </c>
      <c r="D27" s="17">
        <v>0.9385</v>
      </c>
      <c r="E27" s="17">
        <v>0.96009999999999995</v>
      </c>
      <c r="F27" s="17">
        <v>0.97850000000000004</v>
      </c>
    </row>
    <row r="28" spans="1:6" customFormat="1">
      <c r="A28">
        <v>260</v>
      </c>
      <c r="B28" s="17">
        <v>0.88929999999999998</v>
      </c>
      <c r="C28" s="17">
        <v>0.92</v>
      </c>
      <c r="D28" s="17">
        <v>0.93620000000000003</v>
      </c>
      <c r="E28" s="17">
        <v>0.95850000000000002</v>
      </c>
      <c r="F28" s="17">
        <v>0.97760000000000002</v>
      </c>
    </row>
    <row r="29" spans="1:6" customFormat="1">
      <c r="A29">
        <v>270</v>
      </c>
      <c r="B29" s="17">
        <v>0.88490000000000002</v>
      </c>
      <c r="C29" s="17">
        <v>0.91700000000000004</v>
      </c>
      <c r="D29" s="17">
        <v>0.93400000000000005</v>
      </c>
      <c r="E29" s="17">
        <v>0.95689999999999997</v>
      </c>
      <c r="F29" s="17">
        <v>0.9768</v>
      </c>
    </row>
    <row r="30" spans="1:6" customFormat="1">
      <c r="A30">
        <v>280</v>
      </c>
      <c r="B30" s="17">
        <v>0.88039999999999996</v>
      </c>
      <c r="C30" s="17">
        <v>0.91410000000000002</v>
      </c>
      <c r="D30" s="17">
        <v>0.93169999999999997</v>
      </c>
      <c r="E30" s="17">
        <v>0.95530000000000004</v>
      </c>
      <c r="F30" s="17">
        <v>0.97589999999999999</v>
      </c>
    </row>
    <row r="31" spans="1:6" customFormat="1">
      <c r="A31">
        <v>290</v>
      </c>
      <c r="B31" s="17">
        <v>0.87590000000000001</v>
      </c>
      <c r="C31" s="17">
        <v>0.91110000000000002</v>
      </c>
      <c r="D31" s="17">
        <v>0.9294</v>
      </c>
      <c r="E31" s="17">
        <v>0.95369999999999999</v>
      </c>
      <c r="F31" s="17">
        <v>0.97509999999999997</v>
      </c>
    </row>
    <row r="32" spans="1:6" customFormat="1">
      <c r="A32">
        <v>300</v>
      </c>
      <c r="B32" s="17">
        <v>0.87139999999999995</v>
      </c>
      <c r="C32" s="17">
        <v>0.90810000000000002</v>
      </c>
      <c r="D32" s="17">
        <v>0.92720000000000002</v>
      </c>
      <c r="E32" s="17">
        <v>0.95209999999999995</v>
      </c>
      <c r="F32" s="17">
        <v>0.97419999999999995</v>
      </c>
    </row>
    <row r="33" spans="1:6" customFormat="1">
      <c r="A33">
        <v>310</v>
      </c>
      <c r="B33" s="17">
        <v>0.8669</v>
      </c>
      <c r="C33" s="17">
        <v>0.9052</v>
      </c>
      <c r="D33" s="17">
        <v>0.92490000000000006</v>
      </c>
      <c r="E33" s="17">
        <v>0.95050000000000001</v>
      </c>
      <c r="F33" s="17">
        <v>0.97330000000000005</v>
      </c>
    </row>
    <row r="34" spans="1:6" customFormat="1">
      <c r="A34">
        <v>320</v>
      </c>
      <c r="B34" s="17">
        <v>0.86229999999999996</v>
      </c>
      <c r="C34" s="17">
        <v>0.9022</v>
      </c>
      <c r="D34" s="17">
        <v>0.92259999999999998</v>
      </c>
      <c r="E34" s="17">
        <v>0.94889999999999997</v>
      </c>
      <c r="F34" s="17">
        <v>0.97250000000000003</v>
      </c>
    </row>
    <row r="35" spans="1:6" customFormat="1">
      <c r="A35">
        <v>330</v>
      </c>
      <c r="B35" s="17">
        <v>0.85780000000000001</v>
      </c>
      <c r="C35" s="17">
        <v>0.8992</v>
      </c>
      <c r="D35" s="17">
        <v>0.92030000000000001</v>
      </c>
      <c r="E35" s="17">
        <v>0.94730000000000003</v>
      </c>
      <c r="F35" s="17">
        <v>0.97160000000000002</v>
      </c>
    </row>
    <row r="36" spans="1:6" customFormat="1">
      <c r="A36">
        <v>340</v>
      </c>
      <c r="B36" s="17">
        <v>0.85319999999999996</v>
      </c>
      <c r="C36" s="17">
        <v>0.8962</v>
      </c>
      <c r="D36" s="17">
        <v>0.91810000000000003</v>
      </c>
      <c r="E36" s="17">
        <v>0.94569999999999999</v>
      </c>
      <c r="F36" s="17">
        <v>0.9708</v>
      </c>
    </row>
    <row r="37" spans="1:6" customFormat="1">
      <c r="A37">
        <v>350</v>
      </c>
      <c r="B37" s="17">
        <v>0.84860000000000002</v>
      </c>
      <c r="C37" s="17">
        <v>0.89319999999999999</v>
      </c>
      <c r="D37" s="17">
        <v>0.91579999999999995</v>
      </c>
      <c r="E37" s="17">
        <v>0.94410000000000005</v>
      </c>
      <c r="F37" s="17">
        <v>0.96989999999999998</v>
      </c>
    </row>
    <row r="38" spans="1:6" customFormat="1">
      <c r="A38">
        <v>360</v>
      </c>
      <c r="B38" s="17">
        <v>0.84399999999999997</v>
      </c>
      <c r="C38" s="17">
        <v>0.89019999999999999</v>
      </c>
      <c r="D38" s="17">
        <v>0.91349999999999998</v>
      </c>
      <c r="E38" s="17">
        <v>0.9425</v>
      </c>
      <c r="F38" s="17">
        <v>0.96909999999999996</v>
      </c>
    </row>
    <row r="39" spans="1:6" customFormat="1">
      <c r="A39">
        <v>370</v>
      </c>
      <c r="B39" s="17">
        <v>0.83940000000000003</v>
      </c>
      <c r="C39" s="17">
        <v>0.8871</v>
      </c>
      <c r="D39" s="17">
        <v>0.91120000000000001</v>
      </c>
      <c r="E39" s="17">
        <v>0.94089999999999996</v>
      </c>
      <c r="F39" s="17">
        <v>0.96819999999999995</v>
      </c>
    </row>
    <row r="40" spans="1:6" customFormat="1">
      <c r="A40">
        <v>380</v>
      </c>
      <c r="B40" s="17">
        <v>0.83479999999999999</v>
      </c>
      <c r="C40" s="17">
        <v>0.8841</v>
      </c>
      <c r="D40" s="17">
        <v>0.90890000000000004</v>
      </c>
      <c r="E40" s="17">
        <v>0.93930000000000002</v>
      </c>
      <c r="F40" s="17">
        <v>0.96730000000000005</v>
      </c>
    </row>
    <row r="41" spans="1:6" customFormat="1">
      <c r="A41">
        <v>390</v>
      </c>
      <c r="B41" s="17">
        <v>0.83009999999999995</v>
      </c>
      <c r="C41" s="17">
        <v>0.88109999999999999</v>
      </c>
      <c r="D41" s="17">
        <v>0.90659999999999996</v>
      </c>
      <c r="E41" s="17">
        <v>0.93759999999999999</v>
      </c>
      <c r="F41" s="17">
        <v>0.96650000000000003</v>
      </c>
    </row>
    <row r="42" spans="1:6" customFormat="1">
      <c r="A42">
        <v>400</v>
      </c>
      <c r="B42" s="17">
        <v>0.82540000000000002</v>
      </c>
      <c r="C42" s="17">
        <v>0.87809999999999999</v>
      </c>
      <c r="D42" s="17">
        <v>0.90429999999999999</v>
      </c>
      <c r="E42" s="17">
        <v>0.93600000000000005</v>
      </c>
      <c r="F42" s="17">
        <v>0.96560000000000001</v>
      </c>
    </row>
    <row r="43" spans="1:6" customFormat="1">
      <c r="A43">
        <v>410</v>
      </c>
      <c r="B43" s="17">
        <v>0.82069999999999999</v>
      </c>
      <c r="C43" s="17">
        <v>0.875</v>
      </c>
      <c r="D43" s="17">
        <v>0.90200000000000002</v>
      </c>
      <c r="E43" s="17">
        <v>0.93440000000000001</v>
      </c>
      <c r="F43" s="17">
        <v>0.96479999999999999</v>
      </c>
    </row>
    <row r="44" spans="1:6" customFormat="1">
      <c r="A44">
        <v>420</v>
      </c>
      <c r="B44" s="17">
        <v>0.81599999999999995</v>
      </c>
      <c r="C44" s="17">
        <v>0.872</v>
      </c>
      <c r="D44" s="17">
        <v>0.89970000000000006</v>
      </c>
      <c r="E44" s="17">
        <v>0.93279999999999996</v>
      </c>
      <c r="F44" s="17">
        <v>0.96389999999999998</v>
      </c>
    </row>
    <row r="45" spans="1:6" customFormat="1">
      <c r="A45">
        <v>430</v>
      </c>
      <c r="B45" s="17">
        <v>0.81130000000000002</v>
      </c>
      <c r="C45" s="17">
        <v>0.86890000000000001</v>
      </c>
      <c r="D45" s="17">
        <v>0.89739999999999998</v>
      </c>
      <c r="E45" s="17">
        <v>0.93120000000000003</v>
      </c>
      <c r="F45" s="17">
        <v>0.96299999999999997</v>
      </c>
    </row>
    <row r="46" spans="1:6" customFormat="1">
      <c r="A46">
        <v>440</v>
      </c>
      <c r="B46" s="17">
        <v>0.80659999999999998</v>
      </c>
      <c r="C46" s="17">
        <v>0.86580000000000001</v>
      </c>
      <c r="D46" s="17">
        <v>0.89510000000000001</v>
      </c>
      <c r="E46" s="17">
        <v>0.92959999999999998</v>
      </c>
      <c r="F46" s="17">
        <v>0.96220000000000006</v>
      </c>
    </row>
    <row r="47" spans="1:6" customFormat="1">
      <c r="A47">
        <v>450</v>
      </c>
      <c r="B47" s="17">
        <v>0.80179999999999996</v>
      </c>
      <c r="C47" s="17">
        <v>0.86280000000000001</v>
      </c>
      <c r="D47" s="17">
        <v>0.89280000000000004</v>
      </c>
      <c r="E47" s="17">
        <v>0.92800000000000005</v>
      </c>
      <c r="F47" s="17">
        <v>0.96130000000000004</v>
      </c>
    </row>
    <row r="48" spans="1:6" customFormat="1">
      <c r="A48">
        <v>460</v>
      </c>
      <c r="B48" s="17">
        <v>0.79710000000000003</v>
      </c>
      <c r="C48" s="17">
        <v>0.85970000000000002</v>
      </c>
      <c r="D48" s="17">
        <v>0.89039999999999997</v>
      </c>
      <c r="E48" s="17">
        <v>0.92630000000000001</v>
      </c>
      <c r="F48" s="17">
        <v>0.96040000000000003</v>
      </c>
    </row>
    <row r="49" spans="1:6" customFormat="1">
      <c r="A49">
        <v>470</v>
      </c>
      <c r="B49" s="17">
        <v>0.7923</v>
      </c>
      <c r="C49" s="17">
        <v>0.85660000000000003</v>
      </c>
      <c r="D49" s="17">
        <v>0.8881</v>
      </c>
      <c r="E49" s="17">
        <v>0.92469999999999997</v>
      </c>
      <c r="F49" s="17">
        <v>0.95960000000000001</v>
      </c>
    </row>
    <row r="50" spans="1:6" customFormat="1">
      <c r="A50">
        <v>480</v>
      </c>
      <c r="B50" s="17">
        <v>0.78749999999999998</v>
      </c>
      <c r="C50" s="17">
        <v>0.85350000000000004</v>
      </c>
      <c r="D50" s="17">
        <v>0.88580000000000003</v>
      </c>
      <c r="E50" s="17">
        <v>0.92310000000000003</v>
      </c>
      <c r="F50" s="17">
        <v>0.9587</v>
      </c>
    </row>
    <row r="51" spans="1:6" customFormat="1">
      <c r="A51">
        <v>490</v>
      </c>
      <c r="B51" s="17">
        <v>0.78269999999999995</v>
      </c>
      <c r="C51" s="17">
        <v>0.85040000000000004</v>
      </c>
      <c r="D51" s="17">
        <v>0.88349999999999995</v>
      </c>
      <c r="E51" s="17">
        <v>0.92149999999999999</v>
      </c>
      <c r="F51" s="17">
        <v>0.95779999999999998</v>
      </c>
    </row>
    <row r="52" spans="1:6" customFormat="1">
      <c r="A52">
        <v>500</v>
      </c>
      <c r="B52" s="17">
        <v>0.77780000000000005</v>
      </c>
      <c r="C52" s="17">
        <v>0.84730000000000005</v>
      </c>
      <c r="D52" s="17">
        <v>0.88119999999999998</v>
      </c>
      <c r="E52" s="17">
        <v>0.91979999999999995</v>
      </c>
      <c r="F52" s="17">
        <v>0.95699999999999996</v>
      </c>
    </row>
    <row r="53" spans="1:6" customFormat="1">
      <c r="A53">
        <v>510</v>
      </c>
      <c r="B53" s="17">
        <v>0.77300000000000002</v>
      </c>
      <c r="C53" s="17">
        <v>0.84419999999999995</v>
      </c>
      <c r="D53" s="17">
        <v>0.87880000000000003</v>
      </c>
      <c r="E53" s="17">
        <v>0.91820000000000002</v>
      </c>
      <c r="F53" s="17">
        <v>0.95609999999999995</v>
      </c>
    </row>
    <row r="54" spans="1:6" customFormat="1">
      <c r="A54">
        <v>520</v>
      </c>
      <c r="B54" s="17">
        <v>0.7681</v>
      </c>
      <c r="C54" s="17">
        <v>0.84109999999999996</v>
      </c>
      <c r="D54" s="17">
        <v>0.87649999999999995</v>
      </c>
      <c r="E54" s="17">
        <v>0.91659999999999997</v>
      </c>
      <c r="F54" s="17">
        <v>0.95520000000000005</v>
      </c>
    </row>
    <row r="55" spans="1:6" customFormat="1">
      <c r="A55">
        <v>530</v>
      </c>
      <c r="B55" s="17">
        <v>0.76319999999999999</v>
      </c>
      <c r="C55" s="17">
        <v>0.83799999999999997</v>
      </c>
      <c r="D55" s="17">
        <v>0.87419999999999998</v>
      </c>
      <c r="E55" s="17">
        <v>0.91500000000000004</v>
      </c>
      <c r="F55" s="17">
        <v>0.95440000000000003</v>
      </c>
    </row>
    <row r="56" spans="1:6" customFormat="1">
      <c r="A56">
        <v>540</v>
      </c>
      <c r="B56" s="17">
        <v>0.75839999999999996</v>
      </c>
      <c r="C56" s="17">
        <v>0.83489999999999998</v>
      </c>
      <c r="D56" s="17">
        <v>0.87180000000000002</v>
      </c>
      <c r="E56" s="17">
        <v>0.9133</v>
      </c>
      <c r="F56" s="17">
        <v>0.95350000000000001</v>
      </c>
    </row>
    <row r="57" spans="1:6" customFormat="1">
      <c r="A57">
        <v>550</v>
      </c>
      <c r="B57" s="17">
        <v>0.75339999999999996</v>
      </c>
      <c r="C57" s="17">
        <v>0.83179999999999998</v>
      </c>
      <c r="D57" s="17">
        <v>0.86950000000000005</v>
      </c>
      <c r="E57" s="17">
        <v>0.91169999999999995</v>
      </c>
      <c r="F57" s="17">
        <v>0.9526</v>
      </c>
    </row>
    <row r="58" spans="1:6" customFormat="1">
      <c r="A58">
        <v>560</v>
      </c>
      <c r="B58" s="17">
        <v>0.74850000000000005</v>
      </c>
      <c r="C58" s="17">
        <v>0.8286</v>
      </c>
      <c r="D58" s="17">
        <v>0.86719999999999997</v>
      </c>
      <c r="E58" s="17">
        <v>0.91010000000000002</v>
      </c>
      <c r="F58" s="17">
        <v>0.95169999999999999</v>
      </c>
    </row>
    <row r="59" spans="1:6" customFormat="1">
      <c r="A59">
        <v>570</v>
      </c>
      <c r="B59" s="17">
        <v>0.74360000000000004</v>
      </c>
      <c r="C59" s="17">
        <v>0.82550000000000001</v>
      </c>
      <c r="D59" s="17">
        <v>0.86480000000000001</v>
      </c>
      <c r="E59" s="17">
        <v>0.90839999999999999</v>
      </c>
      <c r="F59" s="17">
        <v>0.95089999999999997</v>
      </c>
    </row>
    <row r="60" spans="1:6" customFormat="1">
      <c r="A60">
        <v>580</v>
      </c>
      <c r="B60" s="17">
        <v>0.73860000000000003</v>
      </c>
      <c r="C60" s="17">
        <v>0.82230000000000003</v>
      </c>
      <c r="D60" s="17">
        <v>0.86250000000000004</v>
      </c>
      <c r="E60" s="17">
        <v>0.90680000000000005</v>
      </c>
      <c r="F60" s="17">
        <v>0.95</v>
      </c>
    </row>
    <row r="61" spans="1:6" customFormat="1">
      <c r="A61">
        <v>590</v>
      </c>
      <c r="B61" s="17">
        <v>0.73360000000000003</v>
      </c>
      <c r="C61" s="17">
        <v>0.81920000000000004</v>
      </c>
      <c r="D61" s="17">
        <v>0.86009999999999998</v>
      </c>
      <c r="E61" s="17">
        <v>0.9052</v>
      </c>
      <c r="F61" s="17">
        <v>0.94910000000000005</v>
      </c>
    </row>
    <row r="62" spans="1:6" customFormat="1">
      <c r="A62">
        <v>600</v>
      </c>
      <c r="B62" s="17">
        <v>0.72860000000000003</v>
      </c>
      <c r="C62" s="17">
        <v>0.81599999999999995</v>
      </c>
      <c r="D62" s="17">
        <v>0.85780000000000001</v>
      </c>
      <c r="E62" s="17">
        <v>0.90349999999999997</v>
      </c>
      <c r="F62" s="17">
        <v>0.94820000000000004</v>
      </c>
    </row>
    <row r="63" spans="1:6" customFormat="1">
      <c r="A63">
        <v>610</v>
      </c>
      <c r="B63" s="17">
        <v>0.72360000000000002</v>
      </c>
      <c r="C63" s="17">
        <v>0.81279999999999997</v>
      </c>
      <c r="D63" s="17">
        <v>0.85540000000000005</v>
      </c>
      <c r="E63" s="17">
        <v>0.90190000000000003</v>
      </c>
      <c r="F63" s="17">
        <v>0.94740000000000002</v>
      </c>
    </row>
    <row r="64" spans="1:6" customFormat="1">
      <c r="A64">
        <v>620</v>
      </c>
      <c r="B64" s="17">
        <v>0.71860000000000002</v>
      </c>
      <c r="C64" s="17">
        <v>0.80969999999999998</v>
      </c>
      <c r="D64" s="17">
        <v>0.85309999999999997</v>
      </c>
      <c r="E64" s="17">
        <v>0.90029999999999999</v>
      </c>
      <c r="F64" s="17">
        <v>0.94650000000000001</v>
      </c>
    </row>
    <row r="65" spans="1:6" customFormat="1">
      <c r="A65">
        <v>630</v>
      </c>
      <c r="B65" s="17">
        <v>0.71350000000000002</v>
      </c>
      <c r="C65" s="17">
        <v>0.80649999999999999</v>
      </c>
      <c r="D65" s="17">
        <v>0.85070000000000001</v>
      </c>
      <c r="E65" s="17">
        <v>0.89859999999999995</v>
      </c>
      <c r="F65" s="17">
        <v>0.9456</v>
      </c>
    </row>
    <row r="66" spans="1:6" customFormat="1">
      <c r="A66">
        <v>640</v>
      </c>
      <c r="B66" s="17">
        <v>0.70850000000000002</v>
      </c>
      <c r="C66" s="17">
        <v>0.80330000000000001</v>
      </c>
      <c r="D66" s="17">
        <v>0.84830000000000005</v>
      </c>
      <c r="E66" s="17">
        <v>0.89700000000000002</v>
      </c>
      <c r="F66" s="17">
        <v>0.94469999999999998</v>
      </c>
    </row>
    <row r="67" spans="1:6" customFormat="1">
      <c r="A67">
        <v>650</v>
      </c>
      <c r="B67" s="17">
        <v>0.70340000000000003</v>
      </c>
      <c r="C67" s="17">
        <v>0.80010000000000003</v>
      </c>
      <c r="D67" s="17">
        <v>0.84599999999999997</v>
      </c>
      <c r="E67" s="17">
        <v>0.89539999999999997</v>
      </c>
      <c r="F67" s="17">
        <v>0.94379999999999997</v>
      </c>
    </row>
    <row r="68" spans="1:6" customFormat="1">
      <c r="A68">
        <v>660</v>
      </c>
      <c r="B68" s="17">
        <v>0.69830000000000003</v>
      </c>
      <c r="C68" s="17">
        <v>0.79690000000000005</v>
      </c>
      <c r="D68" s="17">
        <v>0.84360000000000002</v>
      </c>
      <c r="E68" s="17">
        <v>0.89370000000000005</v>
      </c>
      <c r="F68" s="17">
        <v>0.94299999999999995</v>
      </c>
    </row>
    <row r="69" spans="1:6" customFormat="1">
      <c r="A69">
        <v>670</v>
      </c>
      <c r="B69" s="17">
        <v>0.69320000000000004</v>
      </c>
      <c r="C69" s="17">
        <v>0.79369999999999996</v>
      </c>
      <c r="D69" s="17">
        <v>0.84119999999999995</v>
      </c>
      <c r="E69" s="17">
        <v>0.8921</v>
      </c>
      <c r="F69" s="17">
        <v>0.94210000000000005</v>
      </c>
    </row>
    <row r="70" spans="1:6" customFormat="1">
      <c r="A70">
        <v>680</v>
      </c>
      <c r="B70" s="17">
        <v>0.68810000000000004</v>
      </c>
      <c r="C70" s="17">
        <v>0.79049999999999998</v>
      </c>
      <c r="D70" s="17">
        <v>0.83889999999999998</v>
      </c>
      <c r="E70" s="17">
        <v>0.89039999999999997</v>
      </c>
      <c r="F70" s="17">
        <v>0.94120000000000004</v>
      </c>
    </row>
    <row r="71" spans="1:6" customFormat="1">
      <c r="A71">
        <v>690</v>
      </c>
      <c r="B71" s="17">
        <v>0.68289999999999995</v>
      </c>
      <c r="C71" s="17">
        <v>0.7873</v>
      </c>
      <c r="D71" s="17">
        <v>0.83650000000000002</v>
      </c>
      <c r="E71" s="17">
        <v>0.88880000000000003</v>
      </c>
      <c r="F71" s="17">
        <v>0.94030000000000002</v>
      </c>
    </row>
    <row r="72" spans="1:6" customFormat="1">
      <c r="A72">
        <v>700</v>
      </c>
      <c r="B72" s="17">
        <v>0.67779999999999996</v>
      </c>
      <c r="C72" s="17">
        <v>0.78400000000000003</v>
      </c>
      <c r="D72" s="17">
        <v>0.83409999999999995</v>
      </c>
      <c r="E72" s="17">
        <v>0.8871</v>
      </c>
      <c r="F72" s="17">
        <v>0.93940000000000001</v>
      </c>
    </row>
    <row r="73" spans="1:6" customFormat="1">
      <c r="A73">
        <v>710</v>
      </c>
      <c r="B73" s="17">
        <v>0.67259999999999998</v>
      </c>
      <c r="C73" s="17">
        <v>0.78080000000000005</v>
      </c>
      <c r="D73" s="17">
        <v>0.83169999999999999</v>
      </c>
      <c r="E73" s="17">
        <v>0.88549999999999995</v>
      </c>
      <c r="F73" s="17">
        <v>0.9385</v>
      </c>
    </row>
    <row r="74" spans="1:6" customFormat="1">
      <c r="A74">
        <v>720</v>
      </c>
      <c r="B74" s="17">
        <v>0.66739999999999999</v>
      </c>
      <c r="C74" s="17">
        <v>0.77759999999999996</v>
      </c>
      <c r="D74" s="17">
        <v>0.82930000000000004</v>
      </c>
      <c r="E74" s="17">
        <v>0.88380000000000003</v>
      </c>
      <c r="F74" s="17">
        <v>0.93769999999999998</v>
      </c>
    </row>
    <row r="75" spans="1:6" customFormat="1">
      <c r="A75">
        <v>730</v>
      </c>
      <c r="B75" s="17">
        <v>0.66220000000000001</v>
      </c>
      <c r="C75" s="17">
        <v>0.77429999999999999</v>
      </c>
      <c r="D75" s="17">
        <v>0.82699999999999996</v>
      </c>
      <c r="E75" s="17">
        <v>0.88219999999999998</v>
      </c>
      <c r="F75" s="17">
        <v>0.93679999999999997</v>
      </c>
    </row>
    <row r="76" spans="1:6" customFormat="1">
      <c r="A76">
        <v>740</v>
      </c>
      <c r="B76" s="17">
        <v>0.65700000000000003</v>
      </c>
      <c r="C76" s="17">
        <v>0.77110000000000001</v>
      </c>
      <c r="D76" s="17">
        <v>0.8246</v>
      </c>
      <c r="E76" s="17">
        <v>0.88049999999999995</v>
      </c>
      <c r="F76" s="17">
        <v>0.93589999999999995</v>
      </c>
    </row>
    <row r="77" spans="1:6" customFormat="1">
      <c r="A77">
        <v>750</v>
      </c>
      <c r="B77" s="17">
        <v>0.65169999999999995</v>
      </c>
      <c r="C77" s="17">
        <v>0.76780000000000004</v>
      </c>
      <c r="D77" s="17">
        <v>0.82220000000000004</v>
      </c>
      <c r="E77" s="17">
        <v>0.87890000000000001</v>
      </c>
      <c r="F77" s="17">
        <v>0.93500000000000005</v>
      </c>
    </row>
    <row r="78" spans="1:6" customFormat="1">
      <c r="A78">
        <v>760</v>
      </c>
      <c r="B78" s="17">
        <v>0.64649999999999996</v>
      </c>
      <c r="C78" s="17">
        <v>0.76459999999999995</v>
      </c>
      <c r="D78" s="17">
        <v>0.81979999999999997</v>
      </c>
      <c r="E78" s="17">
        <v>0.87719999999999998</v>
      </c>
      <c r="F78" s="17">
        <v>0.93410000000000004</v>
      </c>
    </row>
    <row r="79" spans="1:6" customFormat="1">
      <c r="A79">
        <v>770</v>
      </c>
      <c r="B79" s="17">
        <v>0.64119999999999999</v>
      </c>
      <c r="C79" s="17">
        <v>0.76129999999999998</v>
      </c>
      <c r="D79" s="17">
        <v>0.81740000000000002</v>
      </c>
      <c r="E79" s="17">
        <v>0.87560000000000004</v>
      </c>
      <c r="F79" s="17">
        <v>0.93320000000000003</v>
      </c>
    </row>
    <row r="80" spans="1:6" customFormat="1">
      <c r="A80">
        <v>780</v>
      </c>
      <c r="B80" s="17">
        <v>0.63590000000000002</v>
      </c>
      <c r="C80" s="17">
        <v>0.75800000000000001</v>
      </c>
      <c r="D80" s="17">
        <v>0.81499999999999995</v>
      </c>
      <c r="E80" s="17">
        <v>0.87390000000000001</v>
      </c>
      <c r="F80" s="17">
        <v>0.93230000000000002</v>
      </c>
    </row>
    <row r="81" spans="1:6" customFormat="1">
      <c r="A81">
        <v>790</v>
      </c>
      <c r="B81" s="17">
        <v>0.63060000000000005</v>
      </c>
      <c r="C81" s="17">
        <v>0.75470000000000004</v>
      </c>
      <c r="D81" s="17">
        <v>0.81259999999999999</v>
      </c>
      <c r="E81" s="17">
        <v>0.87229999999999996</v>
      </c>
      <c r="F81" s="17">
        <v>0.93140000000000001</v>
      </c>
    </row>
    <row r="82" spans="1:6" customFormat="1">
      <c r="A82">
        <v>800</v>
      </c>
      <c r="B82" s="17">
        <v>0.62529999999999997</v>
      </c>
      <c r="C82" s="17">
        <v>0.75139999999999996</v>
      </c>
      <c r="D82" s="17">
        <v>0.81020000000000003</v>
      </c>
      <c r="E82" s="17">
        <v>0.87060000000000004</v>
      </c>
      <c r="F82" s="17">
        <v>0.93059999999999998</v>
      </c>
    </row>
    <row r="83" spans="1:6" customFormat="1">
      <c r="A83">
        <v>810</v>
      </c>
      <c r="B83" s="17">
        <v>0.62</v>
      </c>
      <c r="C83" s="17">
        <v>0.74819999999999998</v>
      </c>
      <c r="D83" s="17">
        <v>0.80779999999999996</v>
      </c>
      <c r="E83" s="17">
        <v>0.86899999999999999</v>
      </c>
      <c r="F83" s="17">
        <v>0.92969999999999997</v>
      </c>
    </row>
    <row r="84" spans="1:6" customFormat="1">
      <c r="A84">
        <v>820</v>
      </c>
      <c r="B84" s="17">
        <v>0.61460000000000004</v>
      </c>
      <c r="C84" s="17">
        <v>0.74490000000000001</v>
      </c>
      <c r="D84" s="17">
        <v>0.8054</v>
      </c>
      <c r="E84" s="17">
        <v>0.86729999999999996</v>
      </c>
      <c r="F84" s="17">
        <v>0.92879999999999996</v>
      </c>
    </row>
    <row r="85" spans="1:6" customFormat="1">
      <c r="A85">
        <v>830</v>
      </c>
      <c r="B85" s="17">
        <v>0.60919999999999996</v>
      </c>
      <c r="C85" s="17">
        <v>0.74150000000000005</v>
      </c>
      <c r="D85" s="17">
        <v>0.80300000000000005</v>
      </c>
      <c r="E85" s="17">
        <v>0.86560000000000004</v>
      </c>
      <c r="F85" s="17">
        <v>0.92789999999999995</v>
      </c>
    </row>
    <row r="86" spans="1:6" customFormat="1">
      <c r="A86">
        <v>840</v>
      </c>
      <c r="B86" s="17">
        <v>0.60389999999999999</v>
      </c>
      <c r="C86" s="17">
        <v>0.73819999999999997</v>
      </c>
      <c r="D86" s="17">
        <v>0.80049999999999999</v>
      </c>
      <c r="E86" s="17">
        <v>0.86399999999999999</v>
      </c>
      <c r="F86" s="17">
        <v>0.92700000000000005</v>
      </c>
    </row>
    <row r="87" spans="1:6" customFormat="1">
      <c r="A87">
        <v>850</v>
      </c>
      <c r="B87" s="17">
        <v>0.59850000000000003</v>
      </c>
      <c r="C87" s="17">
        <v>0.7349</v>
      </c>
      <c r="D87" s="17">
        <v>0.79810000000000003</v>
      </c>
      <c r="E87" s="17">
        <v>0.86229999999999996</v>
      </c>
      <c r="F87" s="17">
        <v>0.92610000000000003</v>
      </c>
    </row>
    <row r="88" spans="1:6" customFormat="1">
      <c r="A88">
        <v>860</v>
      </c>
      <c r="B88" s="17">
        <v>0.59299999999999997</v>
      </c>
      <c r="C88" s="17">
        <v>0.73160000000000003</v>
      </c>
      <c r="D88" s="17">
        <v>0.79569999999999996</v>
      </c>
      <c r="E88" s="17">
        <v>0.86070000000000002</v>
      </c>
      <c r="F88" s="17">
        <v>0.92520000000000002</v>
      </c>
    </row>
    <row r="89" spans="1:6" customFormat="1">
      <c r="A89">
        <v>870</v>
      </c>
      <c r="B89" s="17">
        <v>0.58760000000000001</v>
      </c>
      <c r="C89" s="17">
        <v>0.72829999999999995</v>
      </c>
      <c r="D89" s="17">
        <v>0.79330000000000001</v>
      </c>
      <c r="E89" s="17">
        <v>0.85899999999999999</v>
      </c>
      <c r="F89" s="17">
        <v>0.92430000000000001</v>
      </c>
    </row>
    <row r="90" spans="1:6" customFormat="1">
      <c r="A90">
        <v>880</v>
      </c>
      <c r="B90" s="17">
        <v>0.58220000000000005</v>
      </c>
      <c r="C90" s="17">
        <v>0.72489999999999999</v>
      </c>
      <c r="D90" s="17">
        <v>0.79090000000000005</v>
      </c>
      <c r="E90" s="17">
        <v>0.85729999999999995</v>
      </c>
      <c r="F90" s="17">
        <v>0.9234</v>
      </c>
    </row>
    <row r="91" spans="1:6" customFormat="1">
      <c r="A91">
        <v>890</v>
      </c>
      <c r="B91" s="17">
        <v>0.57669999999999999</v>
      </c>
      <c r="C91" s="17">
        <v>0.72160000000000002</v>
      </c>
      <c r="D91" s="17">
        <v>0.78839999999999999</v>
      </c>
      <c r="E91" s="17">
        <v>0.85570000000000002</v>
      </c>
      <c r="F91" s="17">
        <v>0.92249999999999999</v>
      </c>
    </row>
    <row r="92" spans="1:6" customFormat="1">
      <c r="A92">
        <v>900</v>
      </c>
      <c r="B92" s="17">
        <v>0.57120000000000004</v>
      </c>
      <c r="C92" s="17">
        <v>0.71819999999999995</v>
      </c>
      <c r="D92" s="17">
        <v>0.78600000000000003</v>
      </c>
      <c r="E92" s="17">
        <v>0.85399999999999998</v>
      </c>
      <c r="F92" s="17">
        <v>0.92159999999999997</v>
      </c>
    </row>
    <row r="93" spans="1:6" customFormat="1">
      <c r="A93">
        <v>910</v>
      </c>
      <c r="B93" s="17">
        <v>0.56569999999999998</v>
      </c>
      <c r="C93" s="17">
        <v>0.71489999999999998</v>
      </c>
      <c r="D93" s="17">
        <v>0.78359999999999996</v>
      </c>
      <c r="E93" s="17">
        <v>0.85229999999999995</v>
      </c>
      <c r="F93" s="17">
        <v>0.92069999999999996</v>
      </c>
    </row>
    <row r="94" spans="1:6" customFormat="1">
      <c r="A94">
        <v>920</v>
      </c>
      <c r="B94" s="17">
        <v>0.56020000000000003</v>
      </c>
      <c r="C94" s="17">
        <v>0.71150000000000002</v>
      </c>
      <c r="D94" s="17">
        <v>0.78110000000000002</v>
      </c>
      <c r="E94" s="17">
        <v>0.85070000000000001</v>
      </c>
      <c r="F94" s="17">
        <v>0.91979999999999995</v>
      </c>
    </row>
    <row r="95" spans="1:6" customFormat="1">
      <c r="A95">
        <v>930</v>
      </c>
      <c r="B95" s="17">
        <v>0.55469999999999997</v>
      </c>
      <c r="C95" s="17">
        <v>0.70809999999999995</v>
      </c>
      <c r="D95" s="17">
        <v>0.77869999999999995</v>
      </c>
      <c r="E95" s="17">
        <v>0.84899999999999998</v>
      </c>
      <c r="F95" s="17">
        <v>0.91890000000000005</v>
      </c>
    </row>
    <row r="96" spans="1:6" customFormat="1">
      <c r="A96">
        <v>940</v>
      </c>
      <c r="B96" s="17">
        <v>0.54910000000000003</v>
      </c>
      <c r="C96" s="17">
        <v>0.70479999999999998</v>
      </c>
      <c r="D96" s="17">
        <v>0.77629999999999999</v>
      </c>
      <c r="E96" s="17">
        <v>0.84730000000000005</v>
      </c>
      <c r="F96" s="17">
        <v>0.91800000000000004</v>
      </c>
    </row>
    <row r="97" spans="1:6" customFormat="1">
      <c r="A97">
        <v>950</v>
      </c>
      <c r="B97" s="17">
        <v>0.54349999999999998</v>
      </c>
      <c r="C97" s="17">
        <v>0.70140000000000002</v>
      </c>
      <c r="D97" s="17">
        <v>0.77380000000000004</v>
      </c>
      <c r="E97" s="17">
        <v>0.84570000000000001</v>
      </c>
      <c r="F97" s="17">
        <v>0.91710000000000003</v>
      </c>
    </row>
    <row r="98" spans="1:6" customFormat="1">
      <c r="A98">
        <v>960</v>
      </c>
      <c r="B98" s="17">
        <v>0.53800000000000003</v>
      </c>
      <c r="C98" s="17">
        <v>0.69799999999999995</v>
      </c>
      <c r="D98" s="17">
        <v>0.77139999999999997</v>
      </c>
      <c r="E98" s="17">
        <v>0.84399999999999997</v>
      </c>
      <c r="F98" s="17">
        <v>0.91620000000000001</v>
      </c>
    </row>
    <row r="99" spans="1:6" customFormat="1">
      <c r="A99">
        <v>970</v>
      </c>
      <c r="B99" s="17">
        <v>0.53239999999999998</v>
      </c>
      <c r="C99" s="17">
        <v>0.6946</v>
      </c>
      <c r="D99" s="17">
        <v>0.76890000000000003</v>
      </c>
      <c r="E99" s="17">
        <v>0.84230000000000005</v>
      </c>
      <c r="F99" s="17">
        <v>0.9153</v>
      </c>
    </row>
    <row r="100" spans="1:6" customFormat="1">
      <c r="A100">
        <v>980</v>
      </c>
      <c r="B100" s="17">
        <v>0.52669999999999995</v>
      </c>
      <c r="C100" s="17">
        <v>0.69120000000000004</v>
      </c>
      <c r="D100" s="17">
        <v>0.76649999999999996</v>
      </c>
      <c r="E100" s="17">
        <v>0.84060000000000001</v>
      </c>
      <c r="F100" s="17">
        <v>0.91439999999999999</v>
      </c>
    </row>
    <row r="101" spans="1:6" customFormat="1">
      <c r="A101">
        <v>990</v>
      </c>
      <c r="B101" s="17">
        <v>0.52110000000000001</v>
      </c>
      <c r="C101" s="17">
        <v>0.68779999999999997</v>
      </c>
      <c r="D101" s="17">
        <v>0.76400000000000001</v>
      </c>
      <c r="E101" s="17">
        <v>0.83889999999999998</v>
      </c>
      <c r="F101" s="17">
        <v>0.91349999999999998</v>
      </c>
    </row>
    <row r="102" spans="1:6" customFormat="1">
      <c r="A102">
        <v>1000</v>
      </c>
      <c r="B102" s="17">
        <v>0.51549999999999996</v>
      </c>
      <c r="C102" s="17">
        <v>0.68440000000000001</v>
      </c>
      <c r="D102" s="17">
        <v>0.76160000000000005</v>
      </c>
      <c r="E102" s="17">
        <v>0.83730000000000004</v>
      </c>
      <c r="F102" s="17">
        <v>0.91259999999999997</v>
      </c>
    </row>
    <row r="103" spans="1:6" customFormat="1">
      <c r="A103">
        <v>1010</v>
      </c>
      <c r="B103" s="17">
        <v>0.50980000000000003</v>
      </c>
      <c r="C103" s="17">
        <v>0.68100000000000005</v>
      </c>
      <c r="D103" s="17">
        <v>0.7591</v>
      </c>
      <c r="E103" s="17">
        <v>0.83560000000000001</v>
      </c>
      <c r="F103" s="17">
        <v>0.91169999999999995</v>
      </c>
    </row>
    <row r="104" spans="1:6" customFormat="1">
      <c r="A104">
        <v>1020</v>
      </c>
      <c r="B104" s="17">
        <v>0.50409999999999999</v>
      </c>
      <c r="C104" s="17">
        <v>0.67749999999999999</v>
      </c>
      <c r="D104" s="17">
        <v>0.75660000000000005</v>
      </c>
      <c r="E104" s="17">
        <v>0.83389999999999997</v>
      </c>
      <c r="F104" s="17">
        <v>0.91080000000000005</v>
      </c>
    </row>
    <row r="105" spans="1:6" customFormat="1">
      <c r="A105">
        <v>1030</v>
      </c>
      <c r="B105" s="17">
        <v>0.49840000000000001</v>
      </c>
      <c r="C105" s="17">
        <v>0.67410000000000003</v>
      </c>
      <c r="D105" s="17">
        <v>0.75419999999999998</v>
      </c>
      <c r="E105" s="17">
        <v>0.83220000000000005</v>
      </c>
      <c r="F105" s="17">
        <v>0.90990000000000004</v>
      </c>
    </row>
    <row r="106" spans="1:6" customFormat="1">
      <c r="A106">
        <v>1040</v>
      </c>
      <c r="B106" s="17">
        <v>0.49270000000000003</v>
      </c>
      <c r="C106" s="17">
        <v>0.67069999999999996</v>
      </c>
      <c r="D106" s="17">
        <v>0.75170000000000003</v>
      </c>
      <c r="E106" s="17">
        <v>0.83050000000000002</v>
      </c>
      <c r="F106" s="17">
        <v>0.90890000000000004</v>
      </c>
    </row>
    <row r="107" spans="1:6" customFormat="1">
      <c r="A107">
        <v>1050</v>
      </c>
      <c r="B107" s="17">
        <v>0.48699999999999999</v>
      </c>
      <c r="C107" s="17">
        <v>0.66720000000000002</v>
      </c>
      <c r="D107" s="17">
        <v>0.74919999999999998</v>
      </c>
      <c r="E107" s="17">
        <v>0.82889999999999997</v>
      </c>
      <c r="F107" s="17">
        <v>0.90800000000000003</v>
      </c>
    </row>
    <row r="108" spans="1:6" customFormat="1">
      <c r="A108">
        <v>1060</v>
      </c>
      <c r="B108" s="17">
        <v>0.48120000000000002</v>
      </c>
      <c r="C108" s="17">
        <v>0.66379999999999995</v>
      </c>
      <c r="D108" s="17">
        <v>0.74680000000000002</v>
      </c>
      <c r="E108" s="17">
        <v>0.82720000000000005</v>
      </c>
      <c r="F108" s="17">
        <v>0.90710000000000002</v>
      </c>
    </row>
    <row r="109" spans="1:6" customFormat="1">
      <c r="A109">
        <v>1070</v>
      </c>
      <c r="B109" s="17">
        <v>0.47549999999999998</v>
      </c>
      <c r="C109" s="17">
        <v>0.6603</v>
      </c>
      <c r="D109" s="17">
        <v>0.74429999999999996</v>
      </c>
      <c r="E109" s="17">
        <v>0.82550000000000001</v>
      </c>
      <c r="F109" s="17">
        <v>0.90620000000000001</v>
      </c>
    </row>
    <row r="110" spans="1:6" customFormat="1">
      <c r="A110">
        <v>1080</v>
      </c>
      <c r="B110" s="17">
        <v>0.46970000000000001</v>
      </c>
      <c r="C110" s="17">
        <v>0.65680000000000005</v>
      </c>
      <c r="D110" s="17">
        <v>0.74180000000000001</v>
      </c>
      <c r="E110" s="17">
        <v>0.82379999999999998</v>
      </c>
      <c r="F110" s="17">
        <v>0.90529999999999999</v>
      </c>
    </row>
    <row r="111" spans="1:6" customFormat="1">
      <c r="A111">
        <v>1090</v>
      </c>
      <c r="B111" s="17">
        <v>0.46389999999999998</v>
      </c>
      <c r="C111" s="17">
        <v>0.65339999999999998</v>
      </c>
      <c r="D111" s="17">
        <v>0.73929999999999996</v>
      </c>
      <c r="E111" s="17">
        <v>0.82210000000000005</v>
      </c>
      <c r="F111" s="17">
        <v>0.90439999999999998</v>
      </c>
    </row>
    <row r="112" spans="1:6" customFormat="1">
      <c r="A112">
        <v>1100</v>
      </c>
      <c r="B112" s="17">
        <v>0.45810000000000001</v>
      </c>
      <c r="C112" s="17">
        <v>0.64990000000000003</v>
      </c>
      <c r="D112" s="17">
        <v>0.7369</v>
      </c>
      <c r="E112" s="17">
        <v>0.82040000000000002</v>
      </c>
      <c r="F112" s="17">
        <v>0.90349999999999997</v>
      </c>
    </row>
    <row r="113" spans="1:6" customFormat="1">
      <c r="A113">
        <v>1110</v>
      </c>
      <c r="B113" s="17">
        <v>0.45229999999999998</v>
      </c>
      <c r="C113" s="17">
        <v>0.64639999999999997</v>
      </c>
      <c r="D113" s="17">
        <v>0.73440000000000005</v>
      </c>
      <c r="E113" s="17">
        <v>0.81869999999999998</v>
      </c>
      <c r="F113" s="17">
        <v>0.90259999999999996</v>
      </c>
    </row>
    <row r="114" spans="1:6" customFormat="1">
      <c r="A114">
        <v>1120</v>
      </c>
      <c r="B114" s="17">
        <v>0.44640000000000002</v>
      </c>
      <c r="C114" s="17">
        <v>0.64290000000000003</v>
      </c>
      <c r="D114" s="17">
        <v>0.7319</v>
      </c>
      <c r="E114" s="17">
        <v>0.81699999999999995</v>
      </c>
      <c r="F114" s="17">
        <v>0.90159999999999996</v>
      </c>
    </row>
    <row r="115" spans="1:6" customFormat="1">
      <c r="A115">
        <v>1130</v>
      </c>
      <c r="B115" s="17">
        <v>0.44059999999999999</v>
      </c>
      <c r="C115" s="17">
        <v>0.63939999999999997</v>
      </c>
      <c r="D115" s="17">
        <v>0.72940000000000005</v>
      </c>
      <c r="E115" s="17">
        <v>0.81540000000000001</v>
      </c>
      <c r="F115" s="17">
        <v>0.90069999999999995</v>
      </c>
    </row>
    <row r="116" spans="1:6" customFormat="1">
      <c r="A116">
        <v>1140</v>
      </c>
      <c r="B116" s="17">
        <v>0.43469999999999998</v>
      </c>
      <c r="C116" s="17">
        <v>0.63590000000000002</v>
      </c>
      <c r="D116" s="17">
        <v>0.72689999999999999</v>
      </c>
      <c r="E116" s="17">
        <v>0.81369999999999998</v>
      </c>
      <c r="F116" s="17">
        <v>0.89980000000000004</v>
      </c>
    </row>
    <row r="117" spans="1:6" customFormat="1">
      <c r="A117">
        <v>1150</v>
      </c>
      <c r="B117" s="17">
        <v>0.42880000000000001</v>
      </c>
      <c r="C117" s="17">
        <v>0.63239999999999996</v>
      </c>
      <c r="D117" s="17">
        <v>0.72440000000000004</v>
      </c>
      <c r="E117" s="17">
        <v>0.81200000000000006</v>
      </c>
      <c r="F117" s="17">
        <v>0.89890000000000003</v>
      </c>
    </row>
    <row r="118" spans="1:6" customFormat="1">
      <c r="A118">
        <v>1160</v>
      </c>
      <c r="B118" s="17">
        <v>0.4229</v>
      </c>
      <c r="C118" s="17">
        <v>0.62890000000000001</v>
      </c>
      <c r="D118" s="17">
        <v>0.72189999999999999</v>
      </c>
      <c r="E118" s="17">
        <v>0.81030000000000002</v>
      </c>
      <c r="F118" s="17">
        <v>0.89800000000000002</v>
      </c>
    </row>
    <row r="119" spans="1:6" customFormat="1">
      <c r="A119">
        <v>1170</v>
      </c>
      <c r="B119" s="17">
        <v>0.41699999999999998</v>
      </c>
      <c r="C119" s="17">
        <v>0.62539999999999996</v>
      </c>
      <c r="D119" s="17">
        <v>0.71940000000000004</v>
      </c>
      <c r="E119" s="17">
        <v>0.80859999999999999</v>
      </c>
      <c r="F119" s="17">
        <v>0.89710000000000001</v>
      </c>
    </row>
    <row r="120" spans="1:6" customFormat="1">
      <c r="A120">
        <v>1180</v>
      </c>
      <c r="B120" s="17">
        <v>0.41099999999999998</v>
      </c>
      <c r="C120" s="17">
        <v>0.62190000000000001</v>
      </c>
      <c r="D120" s="17">
        <v>0.71689999999999998</v>
      </c>
      <c r="E120" s="17">
        <v>0.80689999999999995</v>
      </c>
      <c r="F120" s="17">
        <v>0.89610000000000001</v>
      </c>
    </row>
    <row r="121" spans="1:6" customFormat="1">
      <c r="A121">
        <v>1190</v>
      </c>
      <c r="B121" s="17">
        <v>0.40510000000000002</v>
      </c>
      <c r="C121" s="17">
        <v>0.61829999999999996</v>
      </c>
      <c r="D121" s="17">
        <v>0.71440000000000003</v>
      </c>
      <c r="E121" s="17">
        <v>0.80520000000000003</v>
      </c>
      <c r="F121" s="17">
        <v>0.8952</v>
      </c>
    </row>
    <row r="122" spans="1:6" customFormat="1">
      <c r="A122">
        <v>1200</v>
      </c>
      <c r="B122" s="17">
        <v>0.39910000000000001</v>
      </c>
      <c r="C122" s="17">
        <v>0.61480000000000001</v>
      </c>
      <c r="D122" s="17">
        <v>0.71189999999999998</v>
      </c>
      <c r="E122" s="17">
        <v>0.80349999999999999</v>
      </c>
      <c r="F122" s="17">
        <v>0.89429999999999998</v>
      </c>
    </row>
    <row r="123" spans="1:6" customFormat="1">
      <c r="A123">
        <v>1210</v>
      </c>
      <c r="B123" s="17">
        <v>0.3931</v>
      </c>
      <c r="C123" s="17">
        <v>0.61119999999999997</v>
      </c>
      <c r="D123" s="17">
        <v>0.70940000000000003</v>
      </c>
      <c r="E123" s="17">
        <v>0.80179999999999996</v>
      </c>
      <c r="F123" s="17">
        <v>0.89339999999999997</v>
      </c>
    </row>
    <row r="124" spans="1:6" customFormat="1">
      <c r="A124">
        <v>1220</v>
      </c>
      <c r="B124" s="17">
        <v>0.3871</v>
      </c>
      <c r="C124" s="17">
        <v>0.60770000000000002</v>
      </c>
      <c r="D124" s="17">
        <v>0.70689999999999997</v>
      </c>
      <c r="E124" s="17">
        <v>0.80010000000000003</v>
      </c>
      <c r="F124" s="17">
        <v>0.89249999999999996</v>
      </c>
    </row>
    <row r="125" spans="1:6" customFormat="1">
      <c r="A125">
        <v>1230</v>
      </c>
      <c r="B125" s="17">
        <v>0.38109999999999999</v>
      </c>
      <c r="C125" s="17">
        <v>0.60409999999999997</v>
      </c>
      <c r="D125" s="17">
        <v>0.70430000000000004</v>
      </c>
      <c r="E125" s="17">
        <v>0.7984</v>
      </c>
      <c r="F125" s="17">
        <v>0.89149999999999996</v>
      </c>
    </row>
    <row r="126" spans="1:6" customFormat="1">
      <c r="A126">
        <v>1240</v>
      </c>
      <c r="B126" s="17">
        <v>0.37509999999999999</v>
      </c>
      <c r="C126" s="17">
        <v>0.60060000000000002</v>
      </c>
      <c r="D126" s="17">
        <v>0.70179999999999998</v>
      </c>
      <c r="E126" s="17">
        <v>0.79669999999999996</v>
      </c>
      <c r="F126" s="17">
        <v>0.89059999999999995</v>
      </c>
    </row>
    <row r="127" spans="1:6" customFormat="1">
      <c r="A127">
        <v>1250</v>
      </c>
      <c r="B127" s="17">
        <v>0.36899999999999999</v>
      </c>
      <c r="C127" s="17">
        <v>0.59699999999999998</v>
      </c>
      <c r="D127" s="17">
        <v>0.69930000000000003</v>
      </c>
      <c r="E127" s="17">
        <v>0.79500000000000004</v>
      </c>
      <c r="F127" s="17">
        <v>0.88970000000000005</v>
      </c>
    </row>
    <row r="128" spans="1:6" customFormat="1">
      <c r="A128">
        <v>1260</v>
      </c>
      <c r="B128" s="17">
        <v>0.3629</v>
      </c>
      <c r="C128" s="17">
        <v>0.59340000000000004</v>
      </c>
      <c r="D128" s="17">
        <v>0.69679999999999997</v>
      </c>
      <c r="E128" s="17">
        <v>0.79330000000000001</v>
      </c>
      <c r="F128" s="17">
        <v>0.88880000000000003</v>
      </c>
    </row>
    <row r="129" spans="1:6" customFormat="1">
      <c r="A129">
        <v>1270</v>
      </c>
      <c r="B129" s="17">
        <v>0.3569</v>
      </c>
      <c r="C129" s="17">
        <v>0.58979999999999999</v>
      </c>
      <c r="D129" s="17">
        <v>0.69420000000000004</v>
      </c>
      <c r="E129" s="17">
        <v>0.79159999999999997</v>
      </c>
      <c r="F129" s="17">
        <v>0.88780000000000003</v>
      </c>
    </row>
    <row r="130" spans="1:6" customFormat="1">
      <c r="A130">
        <v>1280</v>
      </c>
      <c r="B130" s="17">
        <v>0.3508</v>
      </c>
      <c r="C130" s="17">
        <v>0.58620000000000005</v>
      </c>
      <c r="D130" s="17">
        <v>0.69169999999999998</v>
      </c>
      <c r="E130" s="17">
        <v>0.78979999999999995</v>
      </c>
      <c r="F130" s="17">
        <v>0.88690000000000002</v>
      </c>
    </row>
    <row r="131" spans="1:6" customFormat="1">
      <c r="A131">
        <v>1290</v>
      </c>
      <c r="B131" s="17">
        <v>0.34460000000000002</v>
      </c>
      <c r="C131" s="17">
        <v>0.58260000000000001</v>
      </c>
      <c r="D131" s="17">
        <v>0.68920000000000003</v>
      </c>
      <c r="E131" s="17">
        <v>0.78810000000000002</v>
      </c>
      <c r="F131" s="17">
        <v>0.88600000000000001</v>
      </c>
    </row>
    <row r="132" spans="1:6" customFormat="1">
      <c r="A132">
        <v>1300</v>
      </c>
      <c r="B132" s="17">
        <v>0.33850000000000002</v>
      </c>
      <c r="C132" s="17">
        <v>0.57899999999999996</v>
      </c>
      <c r="D132" s="17">
        <v>0.68659999999999999</v>
      </c>
      <c r="E132" s="17">
        <v>0.78639999999999999</v>
      </c>
      <c r="F132" s="17">
        <v>0.8851</v>
      </c>
    </row>
    <row r="133" spans="1:6" customFormat="1">
      <c r="A133">
        <v>1310</v>
      </c>
      <c r="B133" s="17">
        <v>0.33239999999999997</v>
      </c>
      <c r="C133" s="17">
        <v>0.57540000000000002</v>
      </c>
      <c r="D133" s="17">
        <v>0.68410000000000004</v>
      </c>
      <c r="E133" s="17">
        <v>0.78469999999999995</v>
      </c>
      <c r="F133" s="17">
        <v>0.8841</v>
      </c>
    </row>
    <row r="134" spans="1:6" customFormat="1">
      <c r="A134">
        <v>1320</v>
      </c>
      <c r="B134" s="17">
        <v>0.32619999999999999</v>
      </c>
      <c r="C134" s="17">
        <v>0.57179999999999997</v>
      </c>
      <c r="D134" s="17">
        <v>0.68159999999999998</v>
      </c>
      <c r="E134" s="17">
        <v>0.78300000000000003</v>
      </c>
      <c r="F134" s="17">
        <v>0.88319999999999999</v>
      </c>
    </row>
    <row r="135" spans="1:6" customFormat="1">
      <c r="A135">
        <v>1330</v>
      </c>
      <c r="B135" s="17">
        <v>0.32</v>
      </c>
      <c r="C135" s="17">
        <v>0.56820000000000004</v>
      </c>
      <c r="D135" s="17">
        <v>0.67900000000000005</v>
      </c>
      <c r="E135" s="17">
        <v>0.78129999999999999</v>
      </c>
      <c r="F135" s="17">
        <v>0.88229999999999997</v>
      </c>
    </row>
    <row r="136" spans="1:6" customFormat="1">
      <c r="A136">
        <v>1340</v>
      </c>
      <c r="B136" s="17">
        <v>0.31380000000000002</v>
      </c>
      <c r="C136" s="17">
        <v>0.56459999999999999</v>
      </c>
      <c r="D136" s="17">
        <v>0.67649999999999999</v>
      </c>
      <c r="E136" s="17">
        <v>0.77959999999999996</v>
      </c>
      <c r="F136" s="17">
        <v>0.88129999999999997</v>
      </c>
    </row>
    <row r="137" spans="1:6" customFormat="1">
      <c r="A137">
        <v>1350</v>
      </c>
      <c r="B137" s="17">
        <v>0.30759999999999998</v>
      </c>
      <c r="C137" s="17">
        <v>0.56089999999999995</v>
      </c>
      <c r="D137" s="17">
        <v>0.67390000000000005</v>
      </c>
      <c r="E137" s="17">
        <v>0.77790000000000004</v>
      </c>
      <c r="F137" s="17">
        <v>0.88039999999999996</v>
      </c>
    </row>
    <row r="138" spans="1:6" customFormat="1">
      <c r="A138">
        <v>1360</v>
      </c>
      <c r="B138" s="17">
        <v>0.3014</v>
      </c>
      <c r="C138" s="17">
        <v>0.55730000000000002</v>
      </c>
      <c r="D138" s="17">
        <v>0.6714</v>
      </c>
      <c r="E138" s="17">
        <v>0.77610000000000001</v>
      </c>
      <c r="F138" s="17">
        <v>0.87949999999999995</v>
      </c>
    </row>
    <row r="139" spans="1:6" customFormat="1">
      <c r="A139">
        <v>1370</v>
      </c>
      <c r="B139" s="17">
        <v>0.29509999999999997</v>
      </c>
      <c r="C139" s="17">
        <v>0.55369999999999997</v>
      </c>
      <c r="D139" s="17">
        <v>0.66879999999999995</v>
      </c>
      <c r="E139" s="17">
        <v>0.77439999999999998</v>
      </c>
      <c r="F139" s="17">
        <v>0.87849999999999995</v>
      </c>
    </row>
    <row r="140" spans="1:6" customFormat="1">
      <c r="A140">
        <v>1380</v>
      </c>
      <c r="B140" s="17">
        <v>0.2888</v>
      </c>
      <c r="C140" s="17">
        <v>0.55000000000000004</v>
      </c>
      <c r="D140" s="17">
        <v>0.6663</v>
      </c>
      <c r="E140" s="17">
        <v>0.77270000000000005</v>
      </c>
      <c r="F140" s="17">
        <v>0.87760000000000005</v>
      </c>
    </row>
    <row r="141" spans="1:6" customFormat="1">
      <c r="A141">
        <v>1390</v>
      </c>
      <c r="B141" s="17">
        <v>0.28260000000000002</v>
      </c>
      <c r="C141" s="17">
        <v>0.54630000000000001</v>
      </c>
      <c r="D141" s="17">
        <v>0.66369999999999996</v>
      </c>
      <c r="E141" s="17">
        <v>0.77100000000000002</v>
      </c>
      <c r="F141" s="17">
        <v>0.87670000000000003</v>
      </c>
    </row>
    <row r="142" spans="1:6" customFormat="1">
      <c r="A142">
        <v>1400</v>
      </c>
      <c r="B142" s="17">
        <v>0.27629999999999999</v>
      </c>
      <c r="C142" s="17">
        <v>0.54269999999999996</v>
      </c>
      <c r="D142" s="17">
        <v>0.66110000000000002</v>
      </c>
      <c r="E142" s="17">
        <v>0.76929999999999998</v>
      </c>
      <c r="F142" s="17">
        <v>0.87570000000000003</v>
      </c>
    </row>
    <row r="143" spans="1:6" customFormat="1">
      <c r="A143">
        <v>1410</v>
      </c>
      <c r="B143" s="17">
        <v>0.26989999999999997</v>
      </c>
      <c r="C143" s="17">
        <v>0.53900000000000003</v>
      </c>
      <c r="D143" s="17">
        <v>0.65859999999999996</v>
      </c>
      <c r="E143" s="17">
        <v>0.76749999999999996</v>
      </c>
      <c r="F143" s="17">
        <v>0.87480000000000002</v>
      </c>
    </row>
    <row r="144" spans="1:6" customFormat="1">
      <c r="A144">
        <v>1420</v>
      </c>
      <c r="B144" s="17">
        <v>0.2636</v>
      </c>
      <c r="C144" s="17">
        <v>0.5353</v>
      </c>
      <c r="D144" s="17">
        <v>0.65600000000000003</v>
      </c>
      <c r="E144" s="17">
        <v>0.76580000000000004</v>
      </c>
      <c r="F144" s="17">
        <v>0.87390000000000001</v>
      </c>
    </row>
    <row r="145" spans="1:6" customFormat="1">
      <c r="A145">
        <v>1430</v>
      </c>
      <c r="B145" s="17">
        <v>0.25729999999999997</v>
      </c>
      <c r="C145" s="17">
        <v>0.53159999999999996</v>
      </c>
      <c r="D145" s="17">
        <v>0.65339999999999998</v>
      </c>
      <c r="E145" s="17">
        <v>0.7641</v>
      </c>
      <c r="F145" s="17">
        <v>0.87290000000000001</v>
      </c>
    </row>
    <row r="146" spans="1:6" customFormat="1">
      <c r="A146">
        <v>1440</v>
      </c>
      <c r="B146" s="17">
        <v>0.25090000000000001</v>
      </c>
      <c r="C146" s="17">
        <v>0.52800000000000002</v>
      </c>
      <c r="D146" s="17">
        <v>0.65090000000000003</v>
      </c>
      <c r="E146" s="17">
        <v>0.76239999999999997</v>
      </c>
      <c r="F146" s="17">
        <v>0.872</v>
      </c>
    </row>
    <row r="147" spans="1:6" customFormat="1">
      <c r="A147">
        <v>1450</v>
      </c>
      <c r="B147" s="17">
        <v>0.2445</v>
      </c>
      <c r="C147" s="17">
        <v>0.52429999999999999</v>
      </c>
      <c r="D147" s="17">
        <v>0.64829999999999999</v>
      </c>
      <c r="E147" s="17">
        <v>0.76060000000000005</v>
      </c>
      <c r="F147" s="17">
        <v>0.871</v>
      </c>
    </row>
    <row r="148" spans="1:6" customFormat="1">
      <c r="A148">
        <v>1460</v>
      </c>
      <c r="B148" s="17">
        <v>0.23810000000000001</v>
      </c>
      <c r="C148" s="17">
        <v>0.52059999999999995</v>
      </c>
      <c r="D148" s="17">
        <v>0.64570000000000005</v>
      </c>
      <c r="E148" s="17">
        <v>0.75890000000000002</v>
      </c>
      <c r="F148" s="17">
        <v>0.87009999999999998</v>
      </c>
    </row>
    <row r="149" spans="1:6" customFormat="1">
      <c r="A149">
        <v>1470</v>
      </c>
      <c r="B149" s="17">
        <v>0.23169999999999999</v>
      </c>
      <c r="C149" s="17">
        <v>0.51680000000000004</v>
      </c>
      <c r="D149" s="17">
        <v>0.6431</v>
      </c>
      <c r="E149" s="17">
        <v>0.75719999999999998</v>
      </c>
      <c r="F149" s="17">
        <v>0.86919999999999997</v>
      </c>
    </row>
    <row r="150" spans="1:6" customFormat="1">
      <c r="A150">
        <v>1480</v>
      </c>
      <c r="B150" s="17">
        <v>0.2253</v>
      </c>
      <c r="C150" s="17">
        <v>0.5131</v>
      </c>
      <c r="D150" s="17">
        <v>0.64059999999999995</v>
      </c>
      <c r="E150" s="17">
        <v>0.75539999999999996</v>
      </c>
      <c r="F150" s="17">
        <v>0.86819999999999997</v>
      </c>
    </row>
    <row r="151" spans="1:6" customFormat="1">
      <c r="A151">
        <v>1490</v>
      </c>
      <c r="B151" s="17">
        <v>0.21879999999999999</v>
      </c>
      <c r="C151" s="17">
        <v>0.50939999999999996</v>
      </c>
      <c r="D151" s="17">
        <v>0.63800000000000001</v>
      </c>
      <c r="E151" s="17">
        <v>0.75370000000000004</v>
      </c>
      <c r="F151" s="17">
        <v>0.86729999999999996</v>
      </c>
    </row>
    <row r="152" spans="1:6" customFormat="1">
      <c r="A152">
        <v>1500</v>
      </c>
      <c r="B152" s="17">
        <v>0.21240000000000001</v>
      </c>
      <c r="C152" s="17">
        <v>0.50570000000000004</v>
      </c>
      <c r="D152" s="17">
        <v>0.63539999999999996</v>
      </c>
      <c r="E152" s="17">
        <v>0.752</v>
      </c>
      <c r="F152" s="17">
        <v>0.86629999999999996</v>
      </c>
    </row>
  </sheetData>
  <hyperlinks>
    <hyperlink ref="H5" r:id="rId1" xr:uid="{939C4B6A-BF32-47DC-9342-A3B50E0C5AA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5BCB7-B0F6-4E3B-8F08-5A1471634CD0}">
  <sheetPr>
    <tabColor theme="3" tint="0.249977111117893"/>
  </sheetPr>
  <dimension ref="A1:L24"/>
  <sheetViews>
    <sheetView tabSelected="1" zoomScale="78" zoomScaleNormal="70" workbookViewId="0">
      <selection activeCell="B24" sqref="B24:F24"/>
    </sheetView>
  </sheetViews>
  <sheetFormatPr defaultRowHeight="15"/>
  <cols>
    <col min="1" max="1" width="45" bestFit="1" customWidth="1"/>
    <col min="2" max="12" width="14.85546875" customWidth="1"/>
  </cols>
  <sheetData>
    <row r="1" spans="1:12">
      <c r="A1" s="2" t="s">
        <v>1</v>
      </c>
      <c r="B1" t="s">
        <v>286</v>
      </c>
      <c r="C1" t="s">
        <v>287</v>
      </c>
      <c r="D1" t="s">
        <v>288</v>
      </c>
      <c r="E1" t="s">
        <v>289</v>
      </c>
      <c r="F1" t="s">
        <v>308</v>
      </c>
      <c r="G1" t="s">
        <v>14</v>
      </c>
      <c r="H1" t="s">
        <v>15</v>
      </c>
      <c r="I1" t="s">
        <v>16</v>
      </c>
      <c r="J1" t="s">
        <v>249</v>
      </c>
      <c r="K1" t="s">
        <v>250</v>
      </c>
      <c r="L1" t="s">
        <v>251</v>
      </c>
    </row>
    <row r="2" spans="1:12">
      <c r="A2" t="s">
        <v>4</v>
      </c>
      <c r="B2" s="12">
        <f>'Heat pumps'!C27</f>
        <v>0.2</v>
      </c>
      <c r="C2" s="12">
        <f>'Heat pumps'!C31</f>
        <v>0.33333333333333331</v>
      </c>
      <c r="D2" s="126">
        <f>'Electric Process Heat'!C55</f>
        <v>1.103417836749331</v>
      </c>
      <c r="E2" s="126">
        <f>'Electric Process Heat'!C56</f>
        <v>1.3458950201884252</v>
      </c>
      <c r="F2" s="126">
        <f>'Electric Process Heat'!C57</f>
        <v>1.4285714285714286</v>
      </c>
      <c r="G2" s="12">
        <f>Cooling!N24</f>
        <v>0.13539051702253688</v>
      </c>
      <c r="H2" s="12">
        <f>'Machine Drive'!K31</f>
        <v>1.0406198307030701</v>
      </c>
      <c r="I2" s="12">
        <f>Electrochemical!B13</f>
        <v>1.4084507042253522</v>
      </c>
      <c r="J2" s="12">
        <f>B2</f>
        <v>0.2</v>
      </c>
      <c r="K2" s="12">
        <f>Lighting!B19</f>
        <v>1.075268817204301</v>
      </c>
      <c r="L2" s="12">
        <f>AVERAGE(Other!C11:C13)*(1+Other!E23)^(2050-2021)</f>
        <v>1.2256526492446329</v>
      </c>
    </row>
    <row r="3" spans="1:12">
      <c r="A3" t="s">
        <v>5</v>
      </c>
      <c r="B3" s="12">
        <f>1/'Combustion Efficiency'!B105</f>
        <v>1.1363636363636365</v>
      </c>
      <c r="C3" s="12">
        <f>1/'Combustion Efficiency'!B106</f>
        <v>1.1363636363636365</v>
      </c>
      <c r="D3" s="12">
        <f>1/'Combustion Efficiency'!B107</f>
        <v>1.1461996539451835</v>
      </c>
      <c r="E3" s="12">
        <f>1/'Combustion Efficiency'!B108</f>
        <v>1.150705288269168</v>
      </c>
      <c r="F3" s="12">
        <f>1/'Combustion Efficiency'!B109</f>
        <v>1.4447578591225141</v>
      </c>
      <c r="G3" s="12">
        <f>Cooling!$K$4</f>
        <v>0.7246376811594204</v>
      </c>
      <c r="H3" s="12">
        <f>'Machine Drive'!$J$36</f>
        <v>2.1414913957934991</v>
      </c>
      <c r="I3" s="12">
        <f>I2</f>
        <v>1.4084507042253522</v>
      </c>
      <c r="J3" s="12">
        <f>B3</f>
        <v>1.1363636363636365</v>
      </c>
      <c r="K3" s="12">
        <f>Lighting!$B$26</f>
        <v>2.6881720430107525</v>
      </c>
      <c r="L3" s="12">
        <f>AVERAGE(Other!C5:C6)*(1+Other!E21)^(2050-2021)</f>
        <v>2.5249452352579165</v>
      </c>
    </row>
    <row r="4" spans="1:12">
      <c r="A4" t="s">
        <v>6</v>
      </c>
      <c r="B4" s="12">
        <f>1/'Combustion Efficiency'!D105</f>
        <v>1.0101010101010102</v>
      </c>
      <c r="C4" s="12">
        <f>1/'Combustion Efficiency'!D106</f>
        <v>1.0101010101010102</v>
      </c>
      <c r="D4" s="12">
        <f>1/'Combustion Efficiency'!D107</f>
        <v>1.1918013258349178</v>
      </c>
      <c r="E4" s="12">
        <f>1/'Combustion Efficiency'!D108</f>
        <v>1.1781943590444868</v>
      </c>
      <c r="F4" s="12">
        <f>1/'Combustion Efficiency'!D109</f>
        <v>1.4653799042823039</v>
      </c>
      <c r="G4" s="12">
        <f>Cooling!$K$4</f>
        <v>0.7246376811594204</v>
      </c>
      <c r="H4" s="12">
        <f>'Machine Drive'!$J$36</f>
        <v>2.1414913957934991</v>
      </c>
      <c r="I4" s="12">
        <f t="shared" ref="I4:I11" si="0">I3</f>
        <v>1.4084507042253522</v>
      </c>
      <c r="J4" s="12">
        <f t="shared" ref="J4:J11" si="1">B4</f>
        <v>1.0101010101010102</v>
      </c>
      <c r="K4" s="12">
        <f>Lighting!$B$26</f>
        <v>2.6881720430107525</v>
      </c>
      <c r="L4" s="12">
        <f t="shared" ref="L4:L11" si="2">$L$3</f>
        <v>2.5249452352579165</v>
      </c>
    </row>
    <row r="5" spans="1:12">
      <c r="A5" t="s">
        <v>7</v>
      </c>
      <c r="B5" s="12">
        <f>1/'Combustion Efficiency'!B105</f>
        <v>1.1363636363636365</v>
      </c>
      <c r="C5" s="12">
        <f>1/'Combustion Efficiency'!B106</f>
        <v>1.1363636363636365</v>
      </c>
      <c r="D5" s="12">
        <f>1/'Combustion Efficiency'!B107</f>
        <v>1.1461996539451835</v>
      </c>
      <c r="E5" s="12">
        <f>1/'Combustion Efficiency'!B108</f>
        <v>1.150705288269168</v>
      </c>
      <c r="F5" s="12">
        <f>1/'Combustion Efficiency'!B109</f>
        <v>1.4447578591225141</v>
      </c>
      <c r="G5" s="12">
        <f>Cooling!$K$4</f>
        <v>0.7246376811594204</v>
      </c>
      <c r="H5" s="12">
        <f>'Machine Drive'!$J$36</f>
        <v>2.1414913957934991</v>
      </c>
      <c r="I5" s="12">
        <f t="shared" si="0"/>
        <v>1.4084507042253522</v>
      </c>
      <c r="J5" s="12">
        <f t="shared" si="1"/>
        <v>1.1363636363636365</v>
      </c>
      <c r="K5" s="12">
        <f>Lighting!$B$26</f>
        <v>2.6881720430107525</v>
      </c>
      <c r="L5" s="12">
        <f t="shared" si="2"/>
        <v>2.5249452352579165</v>
      </c>
    </row>
    <row r="6" spans="1:12">
      <c r="A6" t="s">
        <v>8</v>
      </c>
      <c r="B6" s="12">
        <f>1/'Combustion Efficiency'!C105</f>
        <v>1.0869565217391304</v>
      </c>
      <c r="C6" s="12">
        <f>1/'Combustion Efficiency'!C106</f>
        <v>1.0869565217391304</v>
      </c>
      <c r="D6" s="12">
        <f>1/'Combustion Efficiency'!C107</f>
        <v>1.1429077146330937</v>
      </c>
      <c r="E6" s="12">
        <f>1/'Combustion Efficiency'!C108</f>
        <v>1.1274587167889829</v>
      </c>
      <c r="F6" s="12">
        <f>1/'Combustion Efficiency'!C109</f>
        <v>1.4270109006223841</v>
      </c>
      <c r="G6" s="12">
        <f>Cooling!$K$4</f>
        <v>0.7246376811594204</v>
      </c>
      <c r="H6" s="12">
        <f>'Machine Drive'!$J$36</f>
        <v>2.1414913957934991</v>
      </c>
      <c r="I6" s="12">
        <f t="shared" si="0"/>
        <v>1.4084507042253522</v>
      </c>
      <c r="J6" s="12">
        <f t="shared" si="1"/>
        <v>1.0869565217391304</v>
      </c>
      <c r="K6" s="12">
        <f>Lighting!$B$26</f>
        <v>2.6881720430107525</v>
      </c>
      <c r="L6" s="12">
        <f t="shared" si="2"/>
        <v>2.5249452352579165</v>
      </c>
    </row>
    <row r="7" spans="1:12">
      <c r="A7" t="s">
        <v>9</v>
      </c>
      <c r="B7" s="20">
        <v>1.05</v>
      </c>
      <c r="C7" s="20">
        <f>$B$7</f>
        <v>1.05</v>
      </c>
      <c r="D7" s="12">
        <f>$B$7</f>
        <v>1.05</v>
      </c>
      <c r="E7" s="12">
        <f>$B$7</f>
        <v>1.05</v>
      </c>
      <c r="F7" s="12">
        <f>$B$7</f>
        <v>1.05</v>
      </c>
      <c r="G7" s="12">
        <f>Cooling!$K$4</f>
        <v>0.7246376811594204</v>
      </c>
      <c r="H7" s="12">
        <f>'Machine Drive'!$J$36</f>
        <v>2.1414913957934991</v>
      </c>
      <c r="I7" s="12">
        <f t="shared" si="0"/>
        <v>1.4084507042253522</v>
      </c>
      <c r="J7" s="12">
        <f t="shared" si="1"/>
        <v>1.05</v>
      </c>
      <c r="K7" s="12">
        <f>Lighting!$B$26</f>
        <v>2.6881720430107525</v>
      </c>
      <c r="L7" s="12">
        <f t="shared" si="2"/>
        <v>2.5249452352579165</v>
      </c>
    </row>
    <row r="8" spans="1:12">
      <c r="A8" t="s">
        <v>10</v>
      </c>
      <c r="B8" s="12">
        <f>1/'Combustion Efficiency'!C105</f>
        <v>1.0869565217391304</v>
      </c>
      <c r="C8" s="12">
        <f>1/'Combustion Efficiency'!C106</f>
        <v>1.0869565217391304</v>
      </c>
      <c r="D8" s="12">
        <f>1/'Combustion Efficiency'!C107</f>
        <v>1.1429077146330937</v>
      </c>
      <c r="E8" s="12">
        <f>1/'Combustion Efficiency'!C108</f>
        <v>1.1274587167889829</v>
      </c>
      <c r="F8" s="12">
        <f>1/'Combustion Efficiency'!C109</f>
        <v>1.4270109006223841</v>
      </c>
      <c r="G8" s="12">
        <f>Cooling!$K$4</f>
        <v>0.7246376811594204</v>
      </c>
      <c r="H8" s="12">
        <f>'Machine Drive'!$J$36</f>
        <v>2.1414913957934991</v>
      </c>
      <c r="I8" s="12">
        <f t="shared" si="0"/>
        <v>1.4084507042253522</v>
      </c>
      <c r="J8" s="12">
        <f t="shared" si="1"/>
        <v>1.0869565217391304</v>
      </c>
      <c r="K8" s="12">
        <f>Lighting!$B$26</f>
        <v>2.6881720430107525</v>
      </c>
      <c r="L8" s="12">
        <f t="shared" si="2"/>
        <v>2.5249452352579165</v>
      </c>
    </row>
    <row r="9" spans="1:12">
      <c r="A9" t="s">
        <v>11</v>
      </c>
      <c r="B9" s="12">
        <f>1/'Combustion Efficiency'!C105</f>
        <v>1.0869565217391304</v>
      </c>
      <c r="C9" s="12">
        <f>1/'Combustion Efficiency'!C106</f>
        <v>1.0869565217391304</v>
      </c>
      <c r="D9" s="12">
        <f>1/'Combustion Efficiency'!C107</f>
        <v>1.1429077146330937</v>
      </c>
      <c r="E9" s="12">
        <f>1/'Combustion Efficiency'!C108</f>
        <v>1.1274587167889829</v>
      </c>
      <c r="F9" s="12">
        <f>1/'Combustion Efficiency'!C109</f>
        <v>1.4270109006223841</v>
      </c>
      <c r="G9" s="12">
        <f>Cooling!$K$4</f>
        <v>0.7246376811594204</v>
      </c>
      <c r="H9" s="12">
        <f>'Machine Drive'!$J$36</f>
        <v>2.1414913957934991</v>
      </c>
      <c r="I9" s="12">
        <f t="shared" si="0"/>
        <v>1.4084507042253522</v>
      </c>
      <c r="J9" s="12">
        <f t="shared" si="1"/>
        <v>1.0869565217391304</v>
      </c>
      <c r="K9" s="12">
        <f>Lighting!$B$26</f>
        <v>2.6881720430107525</v>
      </c>
      <c r="L9" s="12">
        <f t="shared" si="2"/>
        <v>2.5249452352579165</v>
      </c>
    </row>
    <row r="10" spans="1:12">
      <c r="A10" t="s">
        <v>12</v>
      </c>
      <c r="B10" s="12">
        <f>1/'Combustion Efficiency'!D105</f>
        <v>1.0101010101010102</v>
      </c>
      <c r="C10" s="12">
        <f>1/'Combustion Efficiency'!D106</f>
        <v>1.0101010101010102</v>
      </c>
      <c r="D10" s="12">
        <f>1/'Combustion Efficiency'!D107</f>
        <v>1.1918013258349178</v>
      </c>
      <c r="E10" s="12">
        <f>1/'Combustion Efficiency'!D108</f>
        <v>1.1781943590444868</v>
      </c>
      <c r="F10" s="12">
        <f>1/'Combustion Efficiency'!D109</f>
        <v>1.4653799042823039</v>
      </c>
      <c r="G10" s="12">
        <f>Cooling!$K$4</f>
        <v>0.7246376811594204</v>
      </c>
      <c r="H10" s="12">
        <f>'Machine Drive'!$J$36</f>
        <v>2.1414913957934991</v>
      </c>
      <c r="I10" s="12">
        <f t="shared" si="0"/>
        <v>1.4084507042253522</v>
      </c>
      <c r="J10" s="12">
        <f t="shared" si="1"/>
        <v>1.0101010101010102</v>
      </c>
      <c r="K10" s="12">
        <f>Lighting!$B$26</f>
        <v>2.6881720430107525</v>
      </c>
      <c r="L10" s="12">
        <f t="shared" si="2"/>
        <v>2.5249452352579165</v>
      </c>
    </row>
    <row r="11" spans="1:12">
      <c r="A11" t="s">
        <v>13</v>
      </c>
      <c r="B11" s="12">
        <f>1/'Combustion Efficiency'!D105</f>
        <v>1.0101010101010102</v>
      </c>
      <c r="C11" s="12">
        <f>1/'Combustion Efficiency'!D106</f>
        <v>1.0101010101010102</v>
      </c>
      <c r="D11" s="12">
        <f>1/'Combustion Efficiency'!D107</f>
        <v>1.1918013258349178</v>
      </c>
      <c r="E11" s="12">
        <f>1/'Combustion Efficiency'!D108</f>
        <v>1.1781943590444868</v>
      </c>
      <c r="F11" s="12">
        <f>1/'Combustion Efficiency'!D109</f>
        <v>1.4653799042823039</v>
      </c>
      <c r="G11" s="12">
        <f>Cooling!$K$4</f>
        <v>0.7246376811594204</v>
      </c>
      <c r="H11" s="12">
        <f>'Machine Drive'!$J$36</f>
        <v>2.1414913957934991</v>
      </c>
      <c r="I11" s="12">
        <f t="shared" si="0"/>
        <v>1.4084507042253522</v>
      </c>
      <c r="J11" s="12">
        <f t="shared" si="1"/>
        <v>1.0101010101010102</v>
      </c>
      <c r="K11" s="12">
        <f>Lighting!$B$26</f>
        <v>2.6881720430107525</v>
      </c>
      <c r="L11" s="12">
        <f t="shared" si="2"/>
        <v>2.5249452352579165</v>
      </c>
    </row>
    <row r="14" spans="1:12">
      <c r="A14" s="146" t="s">
        <v>615</v>
      </c>
    </row>
    <row r="15" spans="1:12">
      <c r="A15" s="148" t="s">
        <v>616</v>
      </c>
    </row>
    <row r="16" spans="1:12">
      <c r="A16" s="147" t="s">
        <v>617</v>
      </c>
      <c r="B16" s="107" t="str">
        <f t="shared" ref="B16:F17" si="3">B1</f>
        <v>&lt;100 °C</v>
      </c>
      <c r="C16" s="107" t="str">
        <f t="shared" si="3"/>
        <v>100-200 °C</v>
      </c>
      <c r="D16" s="107" t="str">
        <f t="shared" si="3"/>
        <v>200-500 °C</v>
      </c>
      <c r="E16" s="107" t="str">
        <f t="shared" si="3"/>
        <v>500-1000 °C</v>
      </c>
      <c r="F16" s="107" t="str">
        <f t="shared" si="3"/>
        <v>&gt;1000 °C</v>
      </c>
    </row>
    <row r="17" spans="1:6">
      <c r="A17" s="15" t="s">
        <v>618</v>
      </c>
      <c r="B17" s="12">
        <f t="shared" si="3"/>
        <v>0.2</v>
      </c>
      <c r="C17" s="12">
        <f t="shared" si="3"/>
        <v>0.33333333333333331</v>
      </c>
      <c r="D17" s="12">
        <f t="shared" si="3"/>
        <v>1.103417836749331</v>
      </c>
      <c r="E17" s="12">
        <f t="shared" si="3"/>
        <v>1.3458950201884252</v>
      </c>
      <c r="F17" s="12">
        <f t="shared" si="3"/>
        <v>1.4285714285714286</v>
      </c>
    </row>
    <row r="18" spans="1:6">
      <c r="A18" s="15" t="s">
        <v>619</v>
      </c>
      <c r="B18" s="149">
        <v>0.27</v>
      </c>
      <c r="C18" s="149">
        <v>0.44800000000000001</v>
      </c>
      <c r="D18" s="149">
        <v>1.2470000000000001</v>
      </c>
      <c r="E18" s="149">
        <v>1.512</v>
      </c>
      <c r="F18" s="149">
        <v>1.754</v>
      </c>
    </row>
    <row r="19" spans="1:6">
      <c r="A19" s="15" t="s">
        <v>620</v>
      </c>
      <c r="B19" s="152" t="str">
        <f>IF(B17&lt;=B18,"PASS","FAIL")</f>
        <v>PASS</v>
      </c>
      <c r="C19" s="152" t="str">
        <f>IF(C17&lt;=C18,"PASS","FAIL")</f>
        <v>PASS</v>
      </c>
      <c r="D19" s="152" t="str">
        <f>IF(D17&lt;=D18,"PASS","FAIL")</f>
        <v>PASS</v>
      </c>
      <c r="E19" s="152" t="str">
        <f>IF(E17&lt;=E18,"PASS","FAIL")</f>
        <v>PASS</v>
      </c>
      <c r="F19" s="152" t="str">
        <f>IF(F17&lt;=F18,"PASS","FAIL")</f>
        <v>PASS</v>
      </c>
    </row>
    <row r="20" spans="1:6">
      <c r="A20" s="15" t="s">
        <v>621</v>
      </c>
      <c r="B20" s="23">
        <f>B18/B17-1</f>
        <v>0.35000000000000009</v>
      </c>
      <c r="C20" s="23">
        <f>C18/C17-1</f>
        <v>0.34400000000000008</v>
      </c>
      <c r="D20" s="23">
        <f>D18/D17-1</f>
        <v>0.13012492500000006</v>
      </c>
      <c r="E20" s="23">
        <f>E18/E17-1</f>
        <v>0.12341599999999997</v>
      </c>
      <c r="F20" s="23">
        <f>F18/F17-1</f>
        <v>0.2278</v>
      </c>
    </row>
    <row r="21" spans="1:6">
      <c r="A21" s="15" t="s">
        <v>622</v>
      </c>
      <c r="B21" s="12">
        <f>B4</f>
        <v>1.0101010101010102</v>
      </c>
      <c r="C21" s="12">
        <f>C4</f>
        <v>1.0101010101010102</v>
      </c>
      <c r="D21" s="12">
        <f>D4</f>
        <v>1.1918013258349178</v>
      </c>
      <c r="E21" s="12">
        <f>E4</f>
        <v>1.1781943590444868</v>
      </c>
      <c r="F21" s="12">
        <f>F4</f>
        <v>1.4653799042823039</v>
      </c>
    </row>
    <row r="22" spans="1:6">
      <c r="A22" s="15" t="s">
        <v>623</v>
      </c>
      <c r="B22" s="149">
        <v>1.1764705882352942</v>
      </c>
      <c r="C22" s="149">
        <v>1.2048192771084338</v>
      </c>
      <c r="D22" s="149">
        <v>1.3769693936950533</v>
      </c>
      <c r="E22" s="149">
        <v>1.7299035780390835</v>
      </c>
      <c r="F22" s="149">
        <v>2.0438738318980092</v>
      </c>
    </row>
    <row r="23" spans="1:6">
      <c r="A23" s="15" t="s">
        <v>620</v>
      </c>
      <c r="B23" s="152" t="str">
        <f>IF(B21&lt;=B22,"PASS","FAIL")</f>
        <v>PASS</v>
      </c>
      <c r="C23" s="152" t="str">
        <f>IF(C21&lt;=C22,"PASS","FAIL")</f>
        <v>PASS</v>
      </c>
      <c r="D23" s="152" t="str">
        <f>IF(D21&lt;=D22,"PASS","FAIL")</f>
        <v>PASS</v>
      </c>
      <c r="E23" s="152" t="str">
        <f>IF(E21&lt;=E22,"PASS","FAIL")</f>
        <v>PASS</v>
      </c>
      <c r="F23" s="152" t="str">
        <f>IF(F21&lt;=F22,"PASS","FAIL")</f>
        <v>PASS</v>
      </c>
    </row>
    <row r="24" spans="1:6">
      <c r="A24" s="15" t="s">
        <v>621</v>
      </c>
      <c r="B24" s="23">
        <f>B22/B21-1</f>
        <v>0.16470588235294104</v>
      </c>
      <c r="C24" s="23">
        <f>C22/C21-1</f>
        <v>0.19277108433734935</v>
      </c>
      <c r="D24" s="23">
        <f>D22/D21-1</f>
        <v>0.15536823449194914</v>
      </c>
      <c r="E24" s="23">
        <f>E22/E21-1</f>
        <v>0.46826672930434987</v>
      </c>
      <c r="F24" s="23">
        <f>F22/F21-1</f>
        <v>0.39477402817191831</v>
      </c>
    </row>
  </sheetData>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48251-A474-4F70-AE4D-D86DED29F109}">
  <dimension ref="A1:G60"/>
  <sheetViews>
    <sheetView topLeftCell="A42" workbookViewId="0">
      <selection activeCell="C60" sqref="C60"/>
    </sheetView>
  </sheetViews>
  <sheetFormatPr defaultRowHeight="15"/>
  <cols>
    <col min="1" max="1" width="54.5703125" customWidth="1"/>
    <col min="2" max="7" width="17.28515625" customWidth="1"/>
  </cols>
  <sheetData>
    <row r="1" spans="1:7" ht="18.75">
      <c r="A1" s="114" t="s">
        <v>500</v>
      </c>
      <c r="B1" s="115"/>
      <c r="C1" s="115"/>
      <c r="D1" s="115"/>
      <c r="E1" s="115"/>
      <c r="F1" s="115"/>
      <c r="G1" s="115"/>
    </row>
    <row r="2" spans="1:7">
      <c r="A2" s="116" t="s">
        <v>501</v>
      </c>
      <c r="B2" s="115"/>
      <c r="C2" s="115"/>
      <c r="D2" s="115"/>
      <c r="E2" s="115"/>
      <c r="F2" s="115"/>
      <c r="G2" s="115"/>
    </row>
    <row r="3" spans="1:7">
      <c r="A3" s="115"/>
      <c r="B3" s="115"/>
      <c r="C3" s="115"/>
      <c r="D3" s="115"/>
      <c r="E3" s="115"/>
      <c r="F3" s="115"/>
      <c r="G3" s="115"/>
    </row>
    <row r="4" spans="1:7">
      <c r="A4" s="117" t="s">
        <v>502</v>
      </c>
      <c r="B4" s="118"/>
      <c r="C4" s="118"/>
      <c r="D4" s="118"/>
      <c r="E4" s="118"/>
      <c r="F4" s="115"/>
      <c r="G4" s="115"/>
    </row>
    <row r="5" spans="1:7">
      <c r="A5" s="53" t="s">
        <v>316</v>
      </c>
      <c r="B5" s="119" t="s">
        <v>503</v>
      </c>
      <c r="C5" s="119" t="s">
        <v>504</v>
      </c>
      <c r="D5" s="119" t="s">
        <v>505</v>
      </c>
      <c r="E5" s="53" t="s">
        <v>506</v>
      </c>
      <c r="F5" s="119" t="s">
        <v>259</v>
      </c>
      <c r="G5" s="115"/>
    </row>
    <row r="6" spans="1:7">
      <c r="A6" s="115" t="s">
        <v>507</v>
      </c>
      <c r="B6" s="120">
        <v>0.97</v>
      </c>
      <c r="C6" s="111">
        <v>0.95</v>
      </c>
      <c r="D6" s="111">
        <v>0.99</v>
      </c>
      <c r="E6" s="115" t="s">
        <v>508</v>
      </c>
      <c r="F6" s="115" t="s">
        <v>509</v>
      </c>
      <c r="G6" s="115"/>
    </row>
    <row r="7" spans="1:7">
      <c r="A7" s="115" t="s">
        <v>510</v>
      </c>
      <c r="B7" s="120">
        <v>0.8</v>
      </c>
      <c r="C7" s="111">
        <v>0.7</v>
      </c>
      <c r="D7" s="111">
        <v>0.88</v>
      </c>
      <c r="E7" s="115" t="s">
        <v>511</v>
      </c>
      <c r="F7" s="115" t="s">
        <v>512</v>
      </c>
      <c r="G7" s="115"/>
    </row>
    <row r="8" spans="1:7">
      <c r="A8" s="115" t="s">
        <v>513</v>
      </c>
      <c r="B8" s="111">
        <v>0.67500000000000004</v>
      </c>
      <c r="C8" s="111">
        <v>0.59</v>
      </c>
      <c r="D8" s="111">
        <v>0.76</v>
      </c>
      <c r="E8" s="115" t="s">
        <v>514</v>
      </c>
      <c r="F8" s="115" t="s">
        <v>515</v>
      </c>
      <c r="G8" s="115"/>
    </row>
    <row r="9" spans="1:7">
      <c r="A9" s="115" t="s">
        <v>516</v>
      </c>
      <c r="B9" s="111">
        <v>0.65</v>
      </c>
      <c r="C9" s="111">
        <v>0.36</v>
      </c>
      <c r="D9" s="111">
        <v>0.7</v>
      </c>
      <c r="E9" s="115" t="s">
        <v>517</v>
      </c>
      <c r="F9" s="115" t="s">
        <v>518</v>
      </c>
      <c r="G9" s="115"/>
    </row>
    <row r="10" spans="1:7">
      <c r="A10" s="115" t="s">
        <v>519</v>
      </c>
      <c r="B10" s="111">
        <v>0.6</v>
      </c>
      <c r="C10" s="111">
        <v>0.5</v>
      </c>
      <c r="D10" s="111">
        <v>0.9</v>
      </c>
      <c r="E10" s="115" t="s">
        <v>520</v>
      </c>
      <c r="F10" s="115" t="s">
        <v>521</v>
      </c>
      <c r="G10" s="115"/>
    </row>
    <row r="11" spans="1:7">
      <c r="A11" s="115"/>
      <c r="B11" s="115"/>
      <c r="C11" s="115"/>
      <c r="D11" s="115"/>
      <c r="E11" s="115"/>
      <c r="F11" s="115"/>
      <c r="G11" s="115"/>
    </row>
    <row r="12" spans="1:7">
      <c r="A12" s="117" t="s">
        <v>522</v>
      </c>
      <c r="B12" s="118"/>
      <c r="C12" s="118"/>
      <c r="D12" s="118"/>
      <c r="E12" s="118"/>
      <c r="F12" s="118"/>
      <c r="G12" s="115"/>
    </row>
    <row r="13" spans="1:7">
      <c r="A13" s="116" t="s">
        <v>523</v>
      </c>
      <c r="B13" s="115"/>
      <c r="C13" s="115"/>
      <c r="D13" s="115"/>
      <c r="E13" s="115"/>
      <c r="F13" s="115"/>
      <c r="G13" s="115"/>
    </row>
    <row r="14" spans="1:7">
      <c r="A14" s="53" t="s">
        <v>425</v>
      </c>
      <c r="B14" s="119" t="s">
        <v>524</v>
      </c>
      <c r="C14" s="119" t="s">
        <v>525</v>
      </c>
      <c r="D14" s="119" t="s">
        <v>526</v>
      </c>
      <c r="E14" s="119" t="s">
        <v>527</v>
      </c>
      <c r="F14" s="119" t="s">
        <v>528</v>
      </c>
      <c r="G14" s="119" t="s">
        <v>529</v>
      </c>
    </row>
    <row r="15" spans="1:7">
      <c r="A15" s="115" t="s">
        <v>496</v>
      </c>
      <c r="B15" s="121">
        <f>'Combustion Efficiency'!B134</f>
        <v>0.55000000000000004</v>
      </c>
      <c r="C15" s="122">
        <f>1-B15-D15-E15-F15</f>
        <v>0.29999999999999993</v>
      </c>
      <c r="D15" s="110">
        <v>0</v>
      </c>
      <c r="E15" s="110">
        <v>0.05</v>
      </c>
      <c r="F15" s="110">
        <v>0.1</v>
      </c>
      <c r="G15" s="123">
        <f>SUM(B15:F15)</f>
        <v>1</v>
      </c>
    </row>
    <row r="16" spans="1:7">
      <c r="A16" s="115" t="s">
        <v>497</v>
      </c>
      <c r="B16" s="110">
        <v>0</v>
      </c>
      <c r="C16" s="110">
        <v>0</v>
      </c>
      <c r="D16" s="110">
        <v>0.55000000000000004</v>
      </c>
      <c r="E16" s="110">
        <v>0.4</v>
      </c>
      <c r="F16" s="110">
        <v>0.05</v>
      </c>
      <c r="G16" s="123">
        <f>SUM(B16:F16)</f>
        <v>1</v>
      </c>
    </row>
    <row r="17" spans="1:7">
      <c r="A17" s="115"/>
      <c r="B17" s="115"/>
      <c r="C17" s="115"/>
      <c r="D17" s="115"/>
      <c r="E17" s="115"/>
      <c r="F17" s="115"/>
      <c r="G17" s="115"/>
    </row>
    <row r="18" spans="1:7">
      <c r="A18" s="117" t="s">
        <v>530</v>
      </c>
      <c r="B18" s="118"/>
      <c r="C18" s="118"/>
      <c r="D18" s="118"/>
      <c r="E18" s="118"/>
      <c r="F18" s="118"/>
      <c r="G18" s="115"/>
    </row>
    <row r="19" spans="1:7">
      <c r="A19" s="53" t="s">
        <v>425</v>
      </c>
      <c r="B19" s="119" t="s">
        <v>531</v>
      </c>
      <c r="C19" s="119" t="s">
        <v>532</v>
      </c>
      <c r="D19" s="119" t="s">
        <v>533</v>
      </c>
      <c r="E19" s="119" t="s">
        <v>534</v>
      </c>
      <c r="F19" s="119" t="s">
        <v>535</v>
      </c>
      <c r="G19" s="119" t="s">
        <v>536</v>
      </c>
    </row>
    <row r="20" spans="1:7">
      <c r="A20" s="115" t="s">
        <v>496</v>
      </c>
      <c r="B20" s="156">
        <v>0.80198000000000003</v>
      </c>
      <c r="C20" s="125">
        <f>1/B20</f>
        <v>1.246913888126886</v>
      </c>
      <c r="D20" s="126">
        <f>1/'Heat pumps'!$H$25</f>
        <v>1.0101010101010102</v>
      </c>
      <c r="E20" s="124">
        <f>C20/D20-1</f>
        <v>0.23444474924561698</v>
      </c>
      <c r="F20" s="149">
        <v>1.37696939369505</v>
      </c>
      <c r="G20" s="124">
        <f>1-C20/F20</f>
        <v>9.4450542011805028E-2</v>
      </c>
    </row>
    <row r="21" spans="1:7">
      <c r="A21" s="115" t="s">
        <v>497</v>
      </c>
      <c r="B21" s="156">
        <v>0.66125</v>
      </c>
      <c r="C21" s="125">
        <f>1/B21</f>
        <v>1.5122873345935728</v>
      </c>
      <c r="D21" s="126">
        <f>1/'Heat pumps'!$H$25</f>
        <v>1.0101010101010102</v>
      </c>
      <c r="E21" s="124">
        <f>C21/D21-1</f>
        <v>0.49716446124763691</v>
      </c>
      <c r="F21" s="149">
        <v>1.7299035780390799</v>
      </c>
      <c r="G21" s="124">
        <f>1-C21/F21</f>
        <v>0.12579674740726565</v>
      </c>
    </row>
    <row r="22" spans="1:7">
      <c r="A22" s="115"/>
      <c r="B22" s="115"/>
      <c r="C22" s="115"/>
      <c r="D22" s="115"/>
      <c r="E22" s="115"/>
      <c r="F22" s="115"/>
      <c r="G22" s="115"/>
    </row>
    <row r="23" spans="1:7">
      <c r="A23" s="117" t="s">
        <v>537</v>
      </c>
      <c r="B23" s="118"/>
      <c r="C23" s="118"/>
      <c r="D23" s="118"/>
      <c r="E23" s="118"/>
      <c r="F23" s="118"/>
      <c r="G23" s="115"/>
    </row>
    <row r="24" spans="1:7">
      <c r="A24" s="116" t="s">
        <v>538</v>
      </c>
      <c r="B24" s="115"/>
      <c r="C24" s="115"/>
      <c r="D24" s="115"/>
      <c r="E24" s="115"/>
      <c r="F24" s="115"/>
      <c r="G24" s="115"/>
    </row>
    <row r="25" spans="1:7">
      <c r="A25" s="53" t="s">
        <v>425</v>
      </c>
      <c r="B25" s="119" t="s">
        <v>539</v>
      </c>
      <c r="C25" s="119" t="s">
        <v>540</v>
      </c>
      <c r="D25" s="119" t="s">
        <v>541</v>
      </c>
      <c r="E25" s="119" t="s">
        <v>542</v>
      </c>
      <c r="F25" s="115"/>
      <c r="G25" s="115"/>
    </row>
    <row r="26" spans="1:7">
      <c r="A26" s="115" t="s">
        <v>496</v>
      </c>
      <c r="B26" s="156">
        <v>0.73780000000000001</v>
      </c>
      <c r="C26" s="127">
        <f>B20</f>
        <v>0.80198000000000003</v>
      </c>
      <c r="D26" s="156">
        <v>0.86816000000000004</v>
      </c>
      <c r="E26" s="124">
        <f>1-B20</f>
        <v>0.19801999999999997</v>
      </c>
      <c r="F26" s="115"/>
      <c r="G26" s="115"/>
    </row>
    <row r="27" spans="1:7">
      <c r="A27" s="115" t="s">
        <v>497</v>
      </c>
      <c r="B27" s="156">
        <v>0.49349999999999999</v>
      </c>
      <c r="C27" s="127">
        <f>B21</f>
        <v>0.66125</v>
      </c>
      <c r="D27" s="156">
        <v>0.74299999999999999</v>
      </c>
      <c r="E27" s="124">
        <f>1-B21</f>
        <v>0.33875</v>
      </c>
      <c r="F27" s="115"/>
      <c r="G27" s="115"/>
    </row>
    <row r="28" spans="1:7">
      <c r="A28" s="115"/>
      <c r="B28" s="115"/>
      <c r="C28" s="115"/>
      <c r="D28" s="115"/>
      <c r="E28" s="115"/>
      <c r="F28" s="115"/>
      <c r="G28" s="115"/>
    </row>
    <row r="29" spans="1:7">
      <c r="A29" s="1" t="s">
        <v>543</v>
      </c>
      <c r="B29" s="115"/>
      <c r="C29" s="115"/>
      <c r="D29" s="115"/>
      <c r="E29" s="115"/>
      <c r="F29" s="115"/>
      <c r="G29" s="115"/>
    </row>
    <row r="30" spans="1:7">
      <c r="A30" s="128" t="s">
        <v>544</v>
      </c>
      <c r="B30" s="115"/>
      <c r="C30" s="115"/>
      <c r="D30" s="115"/>
      <c r="E30" s="115"/>
      <c r="F30" s="115"/>
      <c r="G30" s="115"/>
    </row>
    <row r="31" spans="1:7">
      <c r="A31" s="112" t="s">
        <v>545</v>
      </c>
      <c r="B31" s="115"/>
      <c r="C31" s="115"/>
      <c r="D31" s="115"/>
      <c r="E31" s="115"/>
      <c r="F31" s="115"/>
      <c r="G31" s="115"/>
    </row>
    <row r="32" spans="1:7">
      <c r="A32" s="115"/>
      <c r="B32" s="115"/>
      <c r="C32" s="115"/>
      <c r="D32" s="115"/>
      <c r="E32" s="115"/>
      <c r="F32" s="115"/>
      <c r="G32" s="115"/>
    </row>
    <row r="33" spans="1:7">
      <c r="A33" s="129" t="s">
        <v>546</v>
      </c>
      <c r="B33" s="115"/>
      <c r="C33" s="115"/>
      <c r="D33" s="115"/>
      <c r="E33" s="115"/>
      <c r="F33" s="115"/>
      <c r="G33" s="115"/>
    </row>
    <row r="34" spans="1:7">
      <c r="A34" s="128" t="s">
        <v>547</v>
      </c>
      <c r="B34" s="115"/>
      <c r="C34" s="115"/>
      <c r="D34" s="115"/>
      <c r="E34" s="115"/>
    </row>
    <row r="35" spans="1:7">
      <c r="A35" s="115"/>
      <c r="B35" s="115"/>
      <c r="C35" s="115"/>
      <c r="D35" s="115"/>
      <c r="E35" s="115"/>
      <c r="F35" s="115"/>
      <c r="G35" s="115"/>
    </row>
    <row r="36" spans="1:7">
      <c r="A36" s="129" t="s">
        <v>548</v>
      </c>
      <c r="B36" s="115"/>
      <c r="C36" s="115"/>
      <c r="D36" s="115"/>
      <c r="E36" s="115"/>
      <c r="F36" s="115"/>
      <c r="G36" s="115"/>
    </row>
    <row r="37" spans="1:7">
      <c r="A37" s="130" t="s">
        <v>549</v>
      </c>
      <c r="B37" s="115"/>
      <c r="C37" s="115"/>
      <c r="D37" s="115"/>
      <c r="E37" s="115"/>
      <c r="F37" s="115"/>
      <c r="G37" s="115"/>
    </row>
    <row r="38" spans="1:7">
      <c r="A38" s="115"/>
      <c r="B38" s="115"/>
      <c r="C38" s="115"/>
      <c r="D38" s="115"/>
      <c r="E38" s="115"/>
      <c r="F38" s="115"/>
      <c r="G38" s="115"/>
    </row>
    <row r="39" spans="1:7">
      <c r="A39" s="117" t="s">
        <v>550</v>
      </c>
      <c r="B39" s="118"/>
      <c r="C39" s="118"/>
      <c r="D39" s="118"/>
      <c r="E39" s="118"/>
      <c r="F39" s="118"/>
      <c r="G39" s="115"/>
    </row>
    <row r="40" spans="1:7">
      <c r="A40" s="128" t="s">
        <v>551</v>
      </c>
      <c r="B40" s="115"/>
      <c r="C40" s="115"/>
      <c r="D40" s="115"/>
      <c r="E40" s="115"/>
      <c r="F40" s="115"/>
      <c r="G40" s="115"/>
    </row>
    <row r="41" spans="1:7">
      <c r="A41" s="115" t="s">
        <v>552</v>
      </c>
      <c r="B41" s="113">
        <f>'Heat pumps'!H25</f>
        <v>0.99</v>
      </c>
      <c r="C41" s="115" t="s">
        <v>553</v>
      </c>
      <c r="D41" s="115"/>
      <c r="E41" s="115"/>
      <c r="F41" s="115"/>
      <c r="G41" s="115"/>
    </row>
    <row r="42" spans="1:7">
      <c r="A42" s="115" t="s">
        <v>554</v>
      </c>
      <c r="B42" s="124">
        <f>B41/B20-1</f>
        <v>0.23444474924561698</v>
      </c>
      <c r="C42" s="115"/>
      <c r="D42" s="115"/>
      <c r="E42" s="115"/>
      <c r="F42" s="115"/>
      <c r="G42" s="115"/>
    </row>
    <row r="43" spans="1:7">
      <c r="A43" s="115" t="s">
        <v>555</v>
      </c>
      <c r="B43" s="124">
        <f>B41/B21-1</f>
        <v>0.49716446124763713</v>
      </c>
      <c r="C43" s="115"/>
      <c r="D43" s="115"/>
      <c r="E43" s="115"/>
      <c r="F43" s="115"/>
      <c r="G43" s="115"/>
    </row>
    <row r="45" spans="1:7">
      <c r="A45" s="116" t="s">
        <v>556</v>
      </c>
    </row>
    <row r="47" spans="1:7">
      <c r="A47" s="45" t="s">
        <v>557</v>
      </c>
      <c r="B47" s="46"/>
      <c r="C47" s="46"/>
      <c r="D47" s="46"/>
    </row>
    <row r="48" spans="1:7">
      <c r="A48" t="s">
        <v>558</v>
      </c>
      <c r="B48" s="110">
        <v>0.56999999999999995</v>
      </c>
      <c r="C48" s="48">
        <v>0.5</v>
      </c>
      <c r="D48" s="48">
        <v>0.65</v>
      </c>
    </row>
    <row r="49" spans="1:6">
      <c r="A49" t="s">
        <v>559</v>
      </c>
      <c r="B49" s="12">
        <f>1/B48</f>
        <v>1.7543859649122808</v>
      </c>
    </row>
    <row r="50" spans="1:6">
      <c r="A50" s="2" t="s">
        <v>560</v>
      </c>
    </row>
    <row r="52" spans="1:6">
      <c r="A52" s="146" t="s">
        <v>607</v>
      </c>
    </row>
    <row r="53" spans="1:6">
      <c r="A53" s="148" t="s">
        <v>608</v>
      </c>
    </row>
    <row r="54" spans="1:6">
      <c r="A54" s="147" t="s">
        <v>425</v>
      </c>
      <c r="B54" s="107" t="s">
        <v>609</v>
      </c>
      <c r="C54" s="107" t="s">
        <v>532</v>
      </c>
      <c r="D54" s="107" t="s">
        <v>610</v>
      </c>
      <c r="E54" s="107" t="s">
        <v>611</v>
      </c>
      <c r="F54" s="107" t="s">
        <v>612</v>
      </c>
    </row>
    <row r="55" spans="1:6">
      <c r="A55" s="15" t="s">
        <v>288</v>
      </c>
      <c r="B55" s="23">
        <f>B15*$D$6*(1-'Combustion Efficiency'!$B$129)+C15*$D$7+D15*$D$8+E15*$D$9+F15*$D$10</f>
        <v>0.90627499999999994</v>
      </c>
      <c r="C55" s="12">
        <f>1/B55</f>
        <v>1.103417836749331</v>
      </c>
      <c r="D55" s="149">
        <v>1.2470000000000001</v>
      </c>
      <c r="E55" s="12">
        <f>1/'Combustion Efficiency'!$D$107</f>
        <v>1.1918013258349178</v>
      </c>
      <c r="F55" s="23">
        <f>1-C55/E55</f>
        <v>7.4159582784210865E-2</v>
      </c>
    </row>
    <row r="56" spans="1:6">
      <c r="A56" s="15" t="s">
        <v>289</v>
      </c>
      <c r="B56" s="23">
        <f>B16*$D$6*(1-'Combustion Efficiency'!$B$129)+C16*$D$7+D16*$D$8+E16*$D$9+F16*$D$10</f>
        <v>0.74299999999999999</v>
      </c>
      <c r="C56" s="12">
        <f>1/B56</f>
        <v>1.3458950201884252</v>
      </c>
      <c r="D56" s="149">
        <v>1.512</v>
      </c>
      <c r="E56" s="12">
        <f>1/'Combustion Efficiency'!$D$108</f>
        <v>1.1781943590444868</v>
      </c>
      <c r="F56" s="23">
        <f>1-C56/E56</f>
        <v>-0.14233700904827229</v>
      </c>
    </row>
    <row r="57" spans="1:6">
      <c r="A57" s="15" t="s">
        <v>308</v>
      </c>
      <c r="B57" s="120">
        <v>0.7</v>
      </c>
      <c r="C57" s="12">
        <f>1/B57</f>
        <v>1.4285714285714286</v>
      </c>
      <c r="D57" s="149">
        <v>1.754</v>
      </c>
      <c r="E57" s="12">
        <f>1/'Combustion Efficiency'!$D$109</f>
        <v>1.4653799042823039</v>
      </c>
      <c r="F57" s="23">
        <f>1-C57/E57</f>
        <v>2.5118725596897651E-2</v>
      </c>
    </row>
    <row r="59" spans="1:6">
      <c r="A59" s="151" t="s">
        <v>613</v>
      </c>
    </row>
    <row r="60" spans="1:6" ht="255">
      <c r="A60" s="155" t="s">
        <v>614</v>
      </c>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9435A-0012-4EDB-8BB9-B961D767F5F4}">
  <dimension ref="B1:N29"/>
  <sheetViews>
    <sheetView zoomScale="85" zoomScaleNormal="85" workbookViewId="0">
      <selection activeCell="I4" sqref="I4"/>
    </sheetView>
  </sheetViews>
  <sheetFormatPr defaultRowHeight="15"/>
  <cols>
    <col min="2" max="2" width="42.85546875" bestFit="1" customWidth="1"/>
    <col min="3" max="3" width="21.42578125" customWidth="1"/>
  </cols>
  <sheetData>
    <row r="1" spans="2:14" ht="15.75" thickBot="1"/>
    <row r="2" spans="2:14" ht="30.95" customHeight="1">
      <c r="D2" s="131" t="s">
        <v>561</v>
      </c>
      <c r="E2" s="131"/>
      <c r="F2" s="131"/>
      <c r="G2" s="131"/>
      <c r="H2" s="131"/>
      <c r="I2" s="163" t="s">
        <v>562</v>
      </c>
      <c r="J2" s="164"/>
      <c r="K2" s="164"/>
      <c r="L2" s="164"/>
      <c r="M2" s="165"/>
    </row>
    <row r="3" spans="2:14" ht="60">
      <c r="B3" t="s">
        <v>563</v>
      </c>
      <c r="C3" s="9" t="s">
        <v>564</v>
      </c>
      <c r="D3" s="132" t="s">
        <v>494</v>
      </c>
      <c r="E3" s="132" t="s">
        <v>495</v>
      </c>
      <c r="F3" s="132" t="s">
        <v>496</v>
      </c>
      <c r="G3" s="132" t="s">
        <v>497</v>
      </c>
      <c r="H3" s="133" t="s">
        <v>498</v>
      </c>
      <c r="I3" s="134" t="s">
        <v>494</v>
      </c>
      <c r="J3" s="9" t="s">
        <v>495</v>
      </c>
      <c r="K3" s="9" t="s">
        <v>496</v>
      </c>
      <c r="L3" s="9" t="s">
        <v>497</v>
      </c>
      <c r="M3" s="135" t="s">
        <v>498</v>
      </c>
      <c r="N3" s="136" t="s">
        <v>565</v>
      </c>
    </row>
    <row r="4" spans="2:14">
      <c r="B4" t="s">
        <v>566</v>
      </c>
      <c r="C4" s="137">
        <v>4.1094089371344421E-2</v>
      </c>
      <c r="D4" s="138">
        <v>1</v>
      </c>
      <c r="E4" s="138">
        <v>0</v>
      </c>
      <c r="F4" s="138">
        <v>0</v>
      </c>
      <c r="G4" s="138">
        <v>0</v>
      </c>
      <c r="H4" s="138">
        <v>0</v>
      </c>
      <c r="I4" s="139">
        <f>$C4*D4/SUMPRODUCT($C$4:$C$28,D$4:D$28)</f>
        <v>0.18630249015246081</v>
      </c>
      <c r="J4" s="140">
        <f t="shared" ref="J4:M28" si="0">$C4*E4/SUMPRODUCT($C$4:$C$28,E$4:E$28)</f>
        <v>0</v>
      </c>
      <c r="K4" s="140">
        <f t="shared" si="0"/>
        <v>0</v>
      </c>
      <c r="L4" s="140">
        <f t="shared" si="0"/>
        <v>0</v>
      </c>
      <c r="M4" s="141">
        <f t="shared" si="0"/>
        <v>0</v>
      </c>
      <c r="N4" s="48">
        <v>0.39</v>
      </c>
    </row>
    <row r="5" spans="2:14">
      <c r="B5" t="s">
        <v>567</v>
      </c>
      <c r="C5" s="137">
        <v>0</v>
      </c>
      <c r="D5" s="138">
        <v>1</v>
      </c>
      <c r="E5" s="138">
        <v>0</v>
      </c>
      <c r="F5" s="138">
        <v>0</v>
      </c>
      <c r="G5" s="138">
        <v>0</v>
      </c>
      <c r="H5" s="138">
        <v>0</v>
      </c>
      <c r="I5" s="139">
        <f t="shared" ref="I5:I28" si="1">$C5*D5/SUMPRODUCT($C$4:$C$28,D$4:D$28)</f>
        <v>0</v>
      </c>
      <c r="J5" s="140">
        <f t="shared" si="0"/>
        <v>0</v>
      </c>
      <c r="K5" s="140">
        <f t="shared" si="0"/>
        <v>0</v>
      </c>
      <c r="L5" s="140">
        <f t="shared" si="0"/>
        <v>0</v>
      </c>
      <c r="M5" s="141">
        <f t="shared" si="0"/>
        <v>0</v>
      </c>
      <c r="N5" s="48">
        <v>0.39</v>
      </c>
    </row>
    <row r="6" spans="2:14">
      <c r="B6" t="s">
        <v>568</v>
      </c>
      <c r="C6" s="137">
        <v>4.0805825486475107E-2</v>
      </c>
      <c r="D6" s="142">
        <v>7.6923076923076913E-2</v>
      </c>
      <c r="E6" s="142">
        <v>0.25213675213675213</v>
      </c>
      <c r="F6" s="142">
        <v>0.53205128205128205</v>
      </c>
      <c r="G6" s="142">
        <v>0.1388888888888889</v>
      </c>
      <c r="H6" s="142">
        <v>0</v>
      </c>
      <c r="I6" s="139">
        <f t="shared" si="1"/>
        <v>1.4230432980201132E-2</v>
      </c>
      <c r="J6" s="140">
        <f t="shared" si="0"/>
        <v>5.4733820804804316E-2</v>
      </c>
      <c r="K6" s="140">
        <f t="shared" si="0"/>
        <v>5.5371220194986928E-2</v>
      </c>
      <c r="L6" s="140">
        <f t="shared" si="0"/>
        <v>7.0215430180409155E-2</v>
      </c>
      <c r="M6" s="141">
        <f t="shared" si="0"/>
        <v>0</v>
      </c>
      <c r="N6" s="48">
        <v>0.18</v>
      </c>
    </row>
    <row r="7" spans="2:14">
      <c r="B7" t="s">
        <v>569</v>
      </c>
      <c r="C7" s="137">
        <v>2.3082653003295327E-2</v>
      </c>
      <c r="D7" s="138">
        <v>1</v>
      </c>
      <c r="E7" s="138">
        <v>0</v>
      </c>
      <c r="F7" s="138">
        <v>0</v>
      </c>
      <c r="G7" s="138">
        <v>0</v>
      </c>
      <c r="H7" s="138">
        <v>0</v>
      </c>
      <c r="I7" s="139">
        <f t="shared" si="1"/>
        <v>0.10464657569070762</v>
      </c>
      <c r="J7" s="140">
        <f t="shared" si="0"/>
        <v>0</v>
      </c>
      <c r="K7" s="140">
        <f t="shared" si="0"/>
        <v>0</v>
      </c>
      <c r="L7" s="140">
        <f t="shared" si="0"/>
        <v>0</v>
      </c>
      <c r="M7" s="141">
        <f t="shared" si="0"/>
        <v>0</v>
      </c>
      <c r="N7" s="48">
        <v>0.39</v>
      </c>
    </row>
    <row r="8" spans="2:14">
      <c r="B8" t="s">
        <v>570</v>
      </c>
      <c r="C8" s="137">
        <v>9.7591784811817753E-2</v>
      </c>
      <c r="D8" s="142">
        <v>0.23333333333333336</v>
      </c>
      <c r="E8" s="142">
        <v>0.25555555555555554</v>
      </c>
      <c r="F8" s="142">
        <v>0.51111111111111107</v>
      </c>
      <c r="G8" s="142">
        <v>0</v>
      </c>
      <c r="H8" s="142">
        <v>0</v>
      </c>
      <c r="I8" s="139">
        <f t="shared" si="1"/>
        <v>0.10323556635438472</v>
      </c>
      <c r="J8" s="140">
        <f t="shared" si="0"/>
        <v>0.13267711857986475</v>
      </c>
      <c r="K8" s="140">
        <f t="shared" si="0"/>
        <v>0.12721461707745318</v>
      </c>
      <c r="L8" s="140">
        <f t="shared" si="0"/>
        <v>0</v>
      </c>
      <c r="M8" s="141">
        <f t="shared" si="0"/>
        <v>0</v>
      </c>
      <c r="N8" s="48">
        <v>0.56000000000000005</v>
      </c>
    </row>
    <row r="9" spans="2:14">
      <c r="B9" t="s">
        <v>571</v>
      </c>
      <c r="C9" s="137">
        <v>3.2056865699710202E-3</v>
      </c>
      <c r="D9" s="142">
        <v>0.47272727272727272</v>
      </c>
      <c r="E9" s="142">
        <v>0.17575757575757572</v>
      </c>
      <c r="F9" s="142">
        <v>0.35151515151515145</v>
      </c>
      <c r="G9" s="142">
        <v>0</v>
      </c>
      <c r="H9" s="142">
        <v>0</v>
      </c>
      <c r="I9" s="139">
        <f t="shared" si="1"/>
        <v>6.8702258619523088E-3</v>
      </c>
      <c r="J9" s="140">
        <f t="shared" si="0"/>
        <v>2.9973161609006555E-3</v>
      </c>
      <c r="K9" s="140">
        <f t="shared" si="0"/>
        <v>2.8739124858180773E-3</v>
      </c>
      <c r="L9" s="140">
        <f t="shared" si="0"/>
        <v>0</v>
      </c>
      <c r="M9" s="141">
        <f t="shared" si="0"/>
        <v>0</v>
      </c>
      <c r="N9" s="48">
        <v>0.56000000000000005</v>
      </c>
    </row>
    <row r="10" spans="2:14">
      <c r="B10" t="s">
        <v>572</v>
      </c>
      <c r="C10" s="137">
        <v>5.8503779901971122E-2</v>
      </c>
      <c r="D10" s="142">
        <v>0.11764705882352942</v>
      </c>
      <c r="E10" s="142">
        <v>0.29411764705882354</v>
      </c>
      <c r="F10" s="142">
        <v>0.58823529411764708</v>
      </c>
      <c r="G10" s="142">
        <v>0</v>
      </c>
      <c r="H10" s="142">
        <v>0</v>
      </c>
      <c r="I10" s="139">
        <f t="shared" si="1"/>
        <v>3.1203571081152182E-2</v>
      </c>
      <c r="J10" s="140">
        <f t="shared" si="0"/>
        <v>9.1538217946370196E-2</v>
      </c>
      <c r="K10" s="140">
        <f t="shared" si="0"/>
        <v>8.7769462199996831E-2</v>
      </c>
      <c r="L10" s="140">
        <f t="shared" si="0"/>
        <v>0</v>
      </c>
      <c r="M10" s="141">
        <f t="shared" si="0"/>
        <v>0</v>
      </c>
      <c r="N10" s="48">
        <v>0.72</v>
      </c>
    </row>
    <row r="11" spans="2:14">
      <c r="B11" t="s">
        <v>573</v>
      </c>
      <c r="C11" s="137">
        <v>0.17093361928399475</v>
      </c>
      <c r="D11" s="142">
        <v>0.34666666666666668</v>
      </c>
      <c r="E11" s="142">
        <v>0.20444444444444443</v>
      </c>
      <c r="F11" s="142">
        <v>0.41555555555555551</v>
      </c>
      <c r="G11" s="142">
        <v>3.3333333333333333E-2</v>
      </c>
      <c r="H11" s="142">
        <v>0</v>
      </c>
      <c r="I11" s="139">
        <f t="shared" si="1"/>
        <v>0.26864506783474879</v>
      </c>
      <c r="J11" s="140">
        <f t="shared" si="0"/>
        <v>0.18590892763163602</v>
      </c>
      <c r="K11" s="140">
        <f t="shared" si="0"/>
        <v>0.18116112675115184</v>
      </c>
      <c r="L11" s="140">
        <f t="shared" si="0"/>
        <v>7.0590965680415618E-2</v>
      </c>
      <c r="M11" s="141">
        <f t="shared" si="0"/>
        <v>0</v>
      </c>
      <c r="N11" s="48">
        <v>0.72</v>
      </c>
    </row>
    <row r="12" spans="2:14">
      <c r="B12" t="s">
        <v>574</v>
      </c>
      <c r="C12" s="137">
        <v>0.10696307521803304</v>
      </c>
      <c r="D12" s="142">
        <v>7.6923076923076913E-2</v>
      </c>
      <c r="E12" s="142">
        <v>0.25213675213675213</v>
      </c>
      <c r="F12" s="142">
        <v>0.53205128205128205</v>
      </c>
      <c r="G12" s="142">
        <v>0.1388888888888889</v>
      </c>
      <c r="H12" s="142">
        <v>0</v>
      </c>
      <c r="I12" s="139">
        <f t="shared" si="1"/>
        <v>3.7301803237651317E-2</v>
      </c>
      <c r="J12" s="140">
        <f t="shared" si="0"/>
        <v>0.143472107766943</v>
      </c>
      <c r="K12" s="140">
        <f t="shared" si="0"/>
        <v>0.1451429034953281</v>
      </c>
      <c r="L12" s="140">
        <f t="shared" si="0"/>
        <v>0.1840535818186782</v>
      </c>
      <c r="M12" s="141">
        <f t="shared" si="0"/>
        <v>0</v>
      </c>
      <c r="N12" s="48">
        <v>0.18</v>
      </c>
    </row>
    <row r="13" spans="2:14">
      <c r="B13" t="s">
        <v>575</v>
      </c>
      <c r="C13" s="137">
        <v>0.24341846687979948</v>
      </c>
      <c r="D13" s="142">
        <v>7.6923076923076913E-2</v>
      </c>
      <c r="E13" s="142">
        <v>0.25213675213675213</v>
      </c>
      <c r="F13" s="142">
        <v>0.53205128205128205</v>
      </c>
      <c r="G13" s="142">
        <v>0.1388888888888889</v>
      </c>
      <c r="H13" s="142">
        <v>0</v>
      </c>
      <c r="I13" s="139">
        <f t="shared" si="1"/>
        <v>8.4888619156213499E-2</v>
      </c>
      <c r="J13" s="140">
        <f t="shared" si="0"/>
        <v>0.32650295853456163</v>
      </c>
      <c r="K13" s="140">
        <f t="shared" si="0"/>
        <v>0.33030522893342401</v>
      </c>
      <c r="L13" s="140">
        <f t="shared" si="0"/>
        <v>0.4188552041787702</v>
      </c>
      <c r="M13" s="141">
        <f t="shared" si="0"/>
        <v>0</v>
      </c>
      <c r="N13" s="48">
        <v>0.23</v>
      </c>
    </row>
    <row r="14" spans="2:14">
      <c r="B14" t="s">
        <v>576</v>
      </c>
      <c r="C14" s="137">
        <v>1.0578765680904366E-2</v>
      </c>
      <c r="D14" s="142">
        <v>7.6923076923076913E-2</v>
      </c>
      <c r="E14" s="142">
        <v>0.25213675213675213</v>
      </c>
      <c r="F14" s="142">
        <v>0.53205128205128205</v>
      </c>
      <c r="G14" s="142">
        <v>0.1388888888888889</v>
      </c>
      <c r="H14" s="142">
        <v>0</v>
      </c>
      <c r="I14" s="139">
        <f t="shared" si="1"/>
        <v>3.6891893311962842E-3</v>
      </c>
      <c r="J14" s="140">
        <f t="shared" si="0"/>
        <v>1.4189549119807549E-2</v>
      </c>
      <c r="K14" s="140">
        <f t="shared" si="0"/>
        <v>1.4354792653384097E-2</v>
      </c>
      <c r="L14" s="140">
        <f t="shared" si="0"/>
        <v>1.8203101498550592E-2</v>
      </c>
      <c r="M14" s="141">
        <f t="shared" si="0"/>
        <v>0</v>
      </c>
      <c r="N14" s="48">
        <v>0.23</v>
      </c>
    </row>
    <row r="15" spans="2:14">
      <c r="B15" t="s">
        <v>577</v>
      </c>
      <c r="C15" s="137">
        <v>1.4853014440865727E-2</v>
      </c>
      <c r="D15" s="142">
        <v>0</v>
      </c>
      <c r="E15" s="142">
        <v>0</v>
      </c>
      <c r="F15" s="142">
        <v>1.282051282051282E-2</v>
      </c>
      <c r="G15" s="142">
        <v>6.4102564102564111E-2</v>
      </c>
      <c r="H15" s="142">
        <v>0.92307692307692302</v>
      </c>
      <c r="I15" s="139">
        <f t="shared" si="1"/>
        <v>0</v>
      </c>
      <c r="J15" s="140">
        <f t="shared" si="0"/>
        <v>0</v>
      </c>
      <c r="K15" s="140">
        <f t="shared" si="0"/>
        <v>4.8565563558972607E-4</v>
      </c>
      <c r="L15" s="140">
        <f t="shared" si="0"/>
        <v>1.1795949222836982E-2</v>
      </c>
      <c r="M15" s="141">
        <f t="shared" si="0"/>
        <v>0.11556765031642216</v>
      </c>
      <c r="N15" s="48">
        <v>0.55000000000000004</v>
      </c>
    </row>
    <row r="16" spans="2:14">
      <c r="B16" t="s">
        <v>578</v>
      </c>
      <c r="C16" s="137">
        <v>4.5141623428579913E-2</v>
      </c>
      <c r="D16" s="142">
        <v>4.3956043956043953E-2</v>
      </c>
      <c r="E16" s="142">
        <v>0</v>
      </c>
      <c r="F16" s="142">
        <v>4.2124542124542121E-2</v>
      </c>
      <c r="G16" s="142">
        <v>0.21062271062271062</v>
      </c>
      <c r="H16" s="142">
        <v>0.70329670329670324</v>
      </c>
      <c r="I16" s="139">
        <f t="shared" si="1"/>
        <v>8.9957022299713297E-3</v>
      </c>
      <c r="J16" s="140">
        <f t="shared" si="0"/>
        <v>0</v>
      </c>
      <c r="K16" s="140">
        <f t="shared" si="0"/>
        <v>4.8497661613786961E-3</v>
      </c>
      <c r="L16" s="140">
        <f t="shared" si="0"/>
        <v>0.11779456715824907</v>
      </c>
      <c r="M16" s="141">
        <f t="shared" si="0"/>
        <v>0.26760827687001398</v>
      </c>
      <c r="N16" s="48">
        <v>0.39</v>
      </c>
    </row>
    <row r="17" spans="2:14">
      <c r="B17" t="s">
        <v>579</v>
      </c>
      <c r="C17" s="137">
        <v>4.7764729892568206E-2</v>
      </c>
      <c r="D17" s="142">
        <v>5.6497175141242938E-3</v>
      </c>
      <c r="E17" s="142">
        <v>3.766478342749529E-3</v>
      </c>
      <c r="F17" s="142">
        <v>1.1299435028248586E-2</v>
      </c>
      <c r="G17" s="142">
        <v>1.8832391713747645E-2</v>
      </c>
      <c r="H17" s="142">
        <v>0.96045197740112986</v>
      </c>
      <c r="I17" s="139">
        <f t="shared" si="1"/>
        <v>1.2234137535571314E-3</v>
      </c>
      <c r="J17" s="140">
        <f t="shared" si="0"/>
        <v>9.5706237828096152E-4</v>
      </c>
      <c r="K17" s="140">
        <f t="shared" si="0"/>
        <v>1.3764881835931705E-3</v>
      </c>
      <c r="L17" s="140">
        <f t="shared" si="0"/>
        <v>1.1144374415137291E-2</v>
      </c>
      <c r="M17" s="141">
        <f t="shared" si="0"/>
        <v>0.38669340703059241</v>
      </c>
      <c r="N17" s="48">
        <v>0.46</v>
      </c>
    </row>
    <row r="18" spans="2:14">
      <c r="B18" t="s">
        <v>580</v>
      </c>
      <c r="C18" s="137">
        <v>2.7782616939748844E-2</v>
      </c>
      <c r="D18" s="142">
        <v>0</v>
      </c>
      <c r="E18" s="142">
        <v>0.19791666666666666</v>
      </c>
      <c r="F18" s="142">
        <v>0.41666666666666663</v>
      </c>
      <c r="G18" s="142">
        <v>0.10416666666666669</v>
      </c>
      <c r="H18" s="142">
        <v>0.28125000000000006</v>
      </c>
      <c r="I18" s="139">
        <f t="shared" si="1"/>
        <v>0</v>
      </c>
      <c r="J18" s="140">
        <f t="shared" si="0"/>
        <v>2.925182474557142E-2</v>
      </c>
      <c r="K18" s="140">
        <f t="shared" si="0"/>
        <v>2.9523669933332271E-2</v>
      </c>
      <c r="L18" s="140">
        <f t="shared" si="0"/>
        <v>3.5854593860781478E-2</v>
      </c>
      <c r="M18" s="141">
        <f t="shared" si="0"/>
        <v>6.5864207183482529E-2</v>
      </c>
      <c r="N18" s="48">
        <v>0.45</v>
      </c>
    </row>
    <row r="19" spans="2:14">
      <c r="B19" t="s">
        <v>581</v>
      </c>
      <c r="C19" s="137">
        <v>2.660719853075947E-2</v>
      </c>
      <c r="D19" s="142">
        <v>9.9999999999999992E-2</v>
      </c>
      <c r="E19" s="142">
        <v>6.6666666666666652E-2</v>
      </c>
      <c r="F19" s="142">
        <v>0.15416666666666665</v>
      </c>
      <c r="G19" s="142">
        <v>0.10416666666666667</v>
      </c>
      <c r="H19" s="142">
        <v>0.57499999999999996</v>
      </c>
      <c r="I19" s="139">
        <f t="shared" si="1"/>
        <v>1.2062531176850882E-2</v>
      </c>
      <c r="J19" s="140">
        <f t="shared" si="0"/>
        <v>9.4363781203527543E-3</v>
      </c>
      <c r="K19" s="140">
        <f t="shared" si="0"/>
        <v>1.0461598888299622E-2</v>
      </c>
      <c r="L19" s="140">
        <f t="shared" si="0"/>
        <v>3.4337668735902258E-2</v>
      </c>
      <c r="M19" s="141">
        <f t="shared" si="0"/>
        <v>0.12895874001360833</v>
      </c>
      <c r="N19" s="48">
        <v>0.36</v>
      </c>
    </row>
    <row r="20" spans="2:14">
      <c r="B20" t="s">
        <v>582</v>
      </c>
      <c r="C20" s="137">
        <v>2.030268160981646E-3</v>
      </c>
      <c r="D20" s="142">
        <v>0.32558139534883723</v>
      </c>
      <c r="E20" s="142">
        <v>6.9767441860465115E-2</v>
      </c>
      <c r="F20" s="142">
        <v>0.1744186046511628</v>
      </c>
      <c r="G20" s="142">
        <v>0.1744186046511628</v>
      </c>
      <c r="H20" s="142">
        <v>0.2558139534883721</v>
      </c>
      <c r="I20" s="139">
        <f t="shared" si="1"/>
        <v>2.9967622051390069E-3</v>
      </c>
      <c r="J20" s="140">
        <f t="shared" si="0"/>
        <v>7.5353537806123146E-4</v>
      </c>
      <c r="K20" s="140">
        <f t="shared" si="0"/>
        <v>9.0313909813950234E-4</v>
      </c>
      <c r="L20" s="140">
        <f t="shared" si="0"/>
        <v>4.387216851659128E-3</v>
      </c>
      <c r="M20" s="141">
        <f t="shared" si="0"/>
        <v>4.3778554725017989E-3</v>
      </c>
      <c r="N20" s="48">
        <v>0.35</v>
      </c>
    </row>
    <row r="21" spans="2:14">
      <c r="B21" t="s">
        <v>583</v>
      </c>
      <c r="C21" s="137">
        <v>2.7782616939748843E-3</v>
      </c>
      <c r="D21" s="142">
        <v>0.32558139534883723</v>
      </c>
      <c r="E21" s="142">
        <v>6.9767441860465115E-2</v>
      </c>
      <c r="F21" s="142">
        <v>0.1744186046511628</v>
      </c>
      <c r="G21" s="142">
        <v>0.1744186046511628</v>
      </c>
      <c r="H21" s="142">
        <v>0.2558139534883721</v>
      </c>
      <c r="I21" s="139">
        <f t="shared" si="1"/>
        <v>4.1008324912428515E-3</v>
      </c>
      <c r="J21" s="140">
        <f t="shared" si="0"/>
        <v>1.0311536752416852E-3</v>
      </c>
      <c r="K21" s="140">
        <f t="shared" si="0"/>
        <v>1.2358745553487926E-3</v>
      </c>
      <c r="L21" s="140">
        <f t="shared" si="0"/>
        <v>6.0035599022703855E-3</v>
      </c>
      <c r="M21" s="141">
        <f t="shared" si="0"/>
        <v>5.9907495939498312E-3</v>
      </c>
      <c r="N21" s="48">
        <v>0.35</v>
      </c>
    </row>
    <row r="22" spans="2:14">
      <c r="B22" t="s">
        <v>584</v>
      </c>
      <c r="C22" s="137">
        <v>3.3125427889700541E-3</v>
      </c>
      <c r="D22" s="142">
        <v>0.32558139534883723</v>
      </c>
      <c r="E22" s="142">
        <v>6.9767441860465115E-2</v>
      </c>
      <c r="F22" s="142">
        <v>0.1744186046511628</v>
      </c>
      <c r="G22" s="142">
        <v>0.1744186046511628</v>
      </c>
      <c r="H22" s="142">
        <v>0.2558139534883721</v>
      </c>
      <c r="I22" s="139">
        <f t="shared" si="1"/>
        <v>4.8894541241741689E-3</v>
      </c>
      <c r="J22" s="140">
        <f t="shared" si="0"/>
        <v>1.2294524589420094E-3</v>
      </c>
      <c r="K22" s="140">
        <f t="shared" si="0"/>
        <v>1.4735427390697143E-3</v>
      </c>
      <c r="L22" s="140">
        <f t="shared" si="0"/>
        <v>7.1580906527069976E-3</v>
      </c>
      <c r="M22" s="141">
        <f t="shared" si="0"/>
        <v>7.1428168235555664E-3</v>
      </c>
      <c r="N22" s="48">
        <v>0.34</v>
      </c>
    </row>
    <row r="23" spans="2:14">
      <c r="B23" t="s">
        <v>585</v>
      </c>
      <c r="C23" s="137">
        <v>3.2056865699710202E-3</v>
      </c>
      <c r="D23" s="142">
        <v>0.41860465116279066</v>
      </c>
      <c r="E23" s="142">
        <v>0.13178294573643412</v>
      </c>
      <c r="F23" s="142">
        <v>0.26356589147286824</v>
      </c>
      <c r="G23" s="142">
        <v>0</v>
      </c>
      <c r="H23" s="142">
        <v>0.18604651162790697</v>
      </c>
      <c r="I23" s="139">
        <f t="shared" si="1"/>
        <v>6.0836525968987355E-3</v>
      </c>
      <c r="J23" s="140">
        <f t="shared" si="0"/>
        <v>2.2473862152703398E-3</v>
      </c>
      <c r="K23" s="140">
        <f t="shared" si="0"/>
        <v>2.1548581990696899E-3</v>
      </c>
      <c r="L23" s="140">
        <f t="shared" si="0"/>
        <v>0</v>
      </c>
      <c r="M23" s="141">
        <f t="shared" si="0"/>
        <v>5.0272024564613962E-3</v>
      </c>
      <c r="N23" s="48">
        <v>0.35</v>
      </c>
    </row>
    <row r="24" spans="2:14">
      <c r="B24" t="s">
        <v>586</v>
      </c>
      <c r="C24" s="137">
        <v>2.030268160981646E-3</v>
      </c>
      <c r="D24" s="142">
        <v>0.41860465116279066</v>
      </c>
      <c r="E24" s="142">
        <v>0.13178294573643412</v>
      </c>
      <c r="F24" s="142">
        <v>0.26356589147286824</v>
      </c>
      <c r="G24" s="142">
        <v>0</v>
      </c>
      <c r="H24" s="142">
        <v>0.18604651162790697</v>
      </c>
      <c r="I24" s="139">
        <f t="shared" si="1"/>
        <v>3.8529799780358653E-3</v>
      </c>
      <c r="J24" s="140">
        <f t="shared" si="0"/>
        <v>1.4233446030045486E-3</v>
      </c>
      <c r="K24" s="140">
        <f t="shared" si="0"/>
        <v>1.3647435260774703E-3</v>
      </c>
      <c r="L24" s="140">
        <f t="shared" si="0"/>
        <v>0</v>
      </c>
      <c r="M24" s="141">
        <f t="shared" si="0"/>
        <v>3.183894889092217E-3</v>
      </c>
      <c r="N24" s="48">
        <v>0.35</v>
      </c>
    </row>
    <row r="25" spans="2:14">
      <c r="B25" t="s">
        <v>587</v>
      </c>
      <c r="C25" s="137">
        <v>4.4452187103598152E-3</v>
      </c>
      <c r="D25" s="142">
        <v>0.32558139534883723</v>
      </c>
      <c r="E25" s="142">
        <v>6.9767441860465115E-2</v>
      </c>
      <c r="F25" s="142">
        <v>0.1744186046511628</v>
      </c>
      <c r="G25" s="142">
        <v>0.1744186046511628</v>
      </c>
      <c r="H25" s="142">
        <v>0.2558139534883721</v>
      </c>
      <c r="I25" s="139">
        <f t="shared" si="1"/>
        <v>6.5613319859885635E-3</v>
      </c>
      <c r="J25" s="140">
        <f t="shared" si="0"/>
        <v>1.6498458803866965E-3</v>
      </c>
      <c r="K25" s="140">
        <f t="shared" si="0"/>
        <v>1.9773992885580684E-3</v>
      </c>
      <c r="L25" s="140">
        <f t="shared" si="0"/>
        <v>9.6056958436326178E-3</v>
      </c>
      <c r="M25" s="141">
        <f t="shared" si="0"/>
        <v>9.5851993503197307E-3</v>
      </c>
      <c r="N25" s="48">
        <v>0.39</v>
      </c>
    </row>
    <row r="26" spans="2:14">
      <c r="B26" t="s">
        <v>588</v>
      </c>
      <c r="C26" s="137">
        <v>0</v>
      </c>
      <c r="D26" s="138">
        <v>1</v>
      </c>
      <c r="E26" s="138">
        <v>0</v>
      </c>
      <c r="F26" s="138">
        <v>0</v>
      </c>
      <c r="G26" s="138">
        <v>0</v>
      </c>
      <c r="H26" s="138">
        <v>0</v>
      </c>
      <c r="I26" s="139">
        <f t="shared" si="1"/>
        <v>0</v>
      </c>
      <c r="J26" s="140">
        <f t="shared" si="0"/>
        <v>0</v>
      </c>
      <c r="K26" s="140">
        <f t="shared" si="0"/>
        <v>0</v>
      </c>
      <c r="L26" s="140">
        <f t="shared" si="0"/>
        <v>0</v>
      </c>
      <c r="M26" s="141">
        <f t="shared" si="0"/>
        <v>0</v>
      </c>
      <c r="N26" s="48">
        <v>0.39</v>
      </c>
    </row>
    <row r="27" spans="2:14">
      <c r="B27" t="s">
        <v>589</v>
      </c>
      <c r="C27" s="137">
        <v>6.4113731399420408E-4</v>
      </c>
      <c r="D27" s="138">
        <v>1</v>
      </c>
      <c r="E27" s="138">
        <v>0</v>
      </c>
      <c r="F27" s="138">
        <v>0</v>
      </c>
      <c r="G27" s="138">
        <v>0</v>
      </c>
      <c r="H27" s="138">
        <v>0</v>
      </c>
      <c r="I27" s="139">
        <f t="shared" si="1"/>
        <v>2.9066340185182849E-3</v>
      </c>
      <c r="J27" s="140">
        <f t="shared" si="0"/>
        <v>0</v>
      </c>
      <c r="K27" s="140">
        <f t="shared" si="0"/>
        <v>0</v>
      </c>
      <c r="L27" s="140">
        <f t="shared" si="0"/>
        <v>0</v>
      </c>
      <c r="M27" s="141">
        <f t="shared" si="0"/>
        <v>0</v>
      </c>
      <c r="N27" s="48">
        <v>0.39</v>
      </c>
    </row>
    <row r="28" spans="2:14" ht="15.75" thickBot="1">
      <c r="B28" t="s">
        <v>590</v>
      </c>
      <c r="C28" s="137">
        <v>2.3229687160638002E-2</v>
      </c>
      <c r="D28" s="138">
        <v>1</v>
      </c>
      <c r="E28" s="138">
        <v>0</v>
      </c>
      <c r="F28" s="138">
        <v>0</v>
      </c>
      <c r="G28" s="138">
        <v>0</v>
      </c>
      <c r="H28" s="138">
        <v>0</v>
      </c>
      <c r="I28" s="143">
        <f t="shared" si="1"/>
        <v>0.1053131637589545</v>
      </c>
      <c r="J28" s="144">
        <f t="shared" si="0"/>
        <v>0</v>
      </c>
      <c r="K28" s="144">
        <f t="shared" si="0"/>
        <v>0</v>
      </c>
      <c r="L28" s="144">
        <f t="shared" si="0"/>
        <v>0</v>
      </c>
      <c r="M28" s="145">
        <f t="shared" si="0"/>
        <v>0</v>
      </c>
      <c r="N28" s="48">
        <v>0.39</v>
      </c>
    </row>
    <row r="29" spans="2:14">
      <c r="C29" s="2" t="s">
        <v>591</v>
      </c>
    </row>
  </sheetData>
  <mergeCells count="1">
    <mergeCell ref="I2:M2"/>
  </mergeCells>
  <conditionalFormatting sqref="I4:M28">
    <cfRule type="colorScale" priority="1">
      <colorScale>
        <cfvo type="min"/>
        <cfvo type="max"/>
        <color rgb="FFFCFCFF"/>
        <color rgb="FFF8696B"/>
      </colorScale>
    </cfRule>
    <cfRule type="colorScale" priority="2">
      <colorScale>
        <cfvo type="min"/>
        <cfvo type="percentile" val="50"/>
        <cfvo type="max"/>
        <color rgb="FFF8696B"/>
        <color rgb="FFFFEB84"/>
        <color rgb="FF63BE7B"/>
      </colorScale>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3</vt:i4>
      </vt:variant>
    </vt:vector>
  </HeadingPairs>
  <TitlesOfParts>
    <vt:vector size="20" baseType="lpstr">
      <vt:lpstr>About</vt:lpstr>
      <vt:lpstr>BAU Efficiency Improvements</vt:lpstr>
      <vt:lpstr>Machine Drive</vt:lpstr>
      <vt:lpstr>Heat pumps</vt:lpstr>
      <vt:lpstr>1.2 heat_cool hp 80 C 75 K </vt:lpstr>
      <vt:lpstr>2.b High temp. hp Up to 150</vt:lpstr>
      <vt:lpstr>Cooling</vt:lpstr>
      <vt:lpstr>High Temp</vt:lpstr>
      <vt:lpstr>Electrochemical</vt:lpstr>
      <vt:lpstr>Lighting</vt:lpstr>
      <vt:lpstr>Other</vt:lpstr>
      <vt:lpstr>References</vt:lpstr>
      <vt:lpstr>Combustion Efficiency</vt:lpstr>
      <vt:lpstr>Mickey data</vt:lpstr>
      <vt:lpstr>IEMUEF</vt:lpstr>
      <vt:lpstr>Electric Process Heat</vt:lpstr>
      <vt:lpstr>indst heat consumption</vt:lpstr>
      <vt:lpstr>heat</vt:lpstr>
      <vt:lpstr>heat1</vt:lpstr>
      <vt:lpstr>'1.2 heat_cool hp 80 C 75 K '!sheet3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Rissman</dc:creator>
  <cp:lastModifiedBy>Dan O'Brien</cp:lastModifiedBy>
  <dcterms:created xsi:type="dcterms:W3CDTF">2024-08-07T00:42:30Z</dcterms:created>
  <dcterms:modified xsi:type="dcterms:W3CDTF">2026-10-23T14:18:07Z</dcterms:modified>
</cp:coreProperties>
</file>