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Modeling\EPS\US\eps-us\InputData\indst\IECCpUAEU\"/>
    </mc:Choice>
  </mc:AlternateContent>
  <xr:revisionPtr revIDLastSave="0" documentId="13_ncr:1_{FDBC3E67-205D-4B5E-A078-77723FE107F3}" xr6:coauthVersionLast="47" xr6:coauthVersionMax="47" xr10:uidLastSave="{00000000-0000-0000-0000-000000000000}"/>
  <bookViews>
    <workbookView xWindow="30135" yWindow="960" windowWidth="21600" windowHeight="11175" firstSheet="3" activeTab="8" xr2:uid="{6A73F6BA-E2AF-4EFC-B7D0-AD586970A910}"/>
  </bookViews>
  <sheets>
    <sheet name="About" sheetId="1" r:id="rId1"/>
    <sheet name="Boilers" sheetId="3" r:id="rId2"/>
    <sheet name="Cooling" sheetId="4" r:id="rId3"/>
    <sheet name="NB Medium Temp" sheetId="9" r:id="rId4"/>
    <sheet name="NB High Temp" sheetId="7" r:id="rId5"/>
    <sheet name="Machine Drive" sheetId="5" r:id="rId6"/>
    <sheet name="Electrochemical" sheetId="6" r:id="rId7"/>
    <sheet name="Other" sheetId="10" r:id="rId8"/>
    <sheet name="IECCpUAEU" sheetId="2"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9" i="2" l="1"/>
  <c r="M9" i="2" s="1"/>
  <c r="L8" i="2"/>
  <c r="M8" i="2" s="1"/>
  <c r="L7" i="2"/>
  <c r="M7" i="2" s="1"/>
  <c r="L6" i="2"/>
  <c r="M6" i="2" s="1"/>
  <c r="L5" i="2"/>
  <c r="M5" i="2" s="1"/>
  <c r="M4" i="2"/>
  <c r="L4" i="2"/>
  <c r="L3" i="2"/>
  <c r="M3" i="2" s="1"/>
  <c r="M2" i="2"/>
  <c r="L2" i="2"/>
  <c r="W22" i="5"/>
  <c r="T22" i="5"/>
  <c r="N28" i="5"/>
  <c r="N27" i="5"/>
  <c r="N26" i="5"/>
  <c r="N25" i="5"/>
  <c r="N24" i="5"/>
  <c r="I28" i="5"/>
  <c r="I27" i="5"/>
  <c r="I26" i="5"/>
  <c r="I25" i="5"/>
  <c r="I24" i="5"/>
  <c r="F28" i="5"/>
  <c r="F27" i="5"/>
  <c r="F26" i="5"/>
  <c r="F25" i="5"/>
  <c r="F24" i="5"/>
  <c r="R18" i="5"/>
  <c r="R16" i="5"/>
  <c r="R15" i="5"/>
  <c r="R14" i="5"/>
  <c r="R13" i="5"/>
  <c r="R11" i="5"/>
  <c r="R10" i="5"/>
  <c r="R19" i="5"/>
  <c r="R17" i="5"/>
  <c r="R12" i="5"/>
  <c r="R9" i="5"/>
  <c r="F17" i="7" l="1"/>
  <c r="F18" i="7" s="1"/>
  <c r="F19" i="7" s="1"/>
  <c r="B41" i="9"/>
  <c r="B40" i="9"/>
  <c r="B33" i="9"/>
  <c r="C53" i="9"/>
  <c r="C54" i="9"/>
  <c r="C41" i="9"/>
  <c r="C40" i="9"/>
  <c r="C5" i="2"/>
  <c r="F36" i="7"/>
  <c r="F38" i="7" s="1"/>
  <c r="F40" i="7" s="1"/>
  <c r="F22" i="7"/>
  <c r="B30" i="3"/>
  <c r="B34" i="3" s="1"/>
  <c r="B36" i="3" s="1"/>
  <c r="B26" i="3"/>
  <c r="B23" i="10"/>
  <c r="B18" i="10"/>
  <c r="B24" i="10" s="1"/>
  <c r="D35" i="5"/>
  <c r="D41" i="9" l="1"/>
  <c r="D4" i="2" s="1"/>
  <c r="D40" i="9"/>
  <c r="B4" i="2" s="1"/>
  <c r="A39" i="3"/>
  <c r="D2" i="2" s="1"/>
  <c r="D37" i="5"/>
  <c r="D38" i="5" s="1"/>
  <c r="F7" i="2" s="1"/>
  <c r="D6" i="2" l="1"/>
  <c r="F7" i="7"/>
  <c r="F8" i="7" s="1"/>
  <c r="B38" i="4"/>
  <c r="E7" i="10"/>
  <c r="E8" i="10" s="1"/>
  <c r="E9" i="10" s="1"/>
  <c r="B9" i="2" s="1"/>
  <c r="E5" i="10"/>
  <c r="E3" i="10"/>
  <c r="G3" i="2" l="1"/>
  <c r="D3" i="2"/>
  <c r="K4" i="2" l="1"/>
  <c r="C4" i="2"/>
  <c r="F4" i="2"/>
  <c r="D9" i="2" l="1"/>
  <c r="J4" i="2"/>
  <c r="E4" i="2"/>
  <c r="I4" i="2"/>
  <c r="H4" i="2"/>
  <c r="F23" i="7" l="1"/>
  <c r="F41" i="7" s="1"/>
  <c r="F43" i="7" s="1"/>
  <c r="F45" i="7" s="1"/>
  <c r="F64" i="7"/>
  <c r="F65" i="7" s="1"/>
  <c r="F60" i="7"/>
  <c r="F66" i="7" s="1"/>
  <c r="F3" i="7"/>
  <c r="F9" i="7" s="1"/>
  <c r="E12" i="7"/>
  <c r="G25" i="6"/>
  <c r="G26" i="6" s="1"/>
  <c r="D7" i="6"/>
  <c r="D12" i="6"/>
  <c r="G28" i="6" s="1"/>
  <c r="G19" i="6"/>
  <c r="G20" i="6" s="1"/>
  <c r="D11" i="6"/>
  <c r="G24" i="6" s="1"/>
  <c r="D6" i="6"/>
  <c r="G18" i="6" s="1"/>
  <c r="J19" i="5"/>
  <c r="L19" i="5" s="1"/>
  <c r="J18" i="5"/>
  <c r="L18" i="5" s="1"/>
  <c r="J17" i="5"/>
  <c r="T17" i="5" s="1"/>
  <c r="J16" i="5"/>
  <c r="L16" i="5" s="1"/>
  <c r="J14" i="5"/>
  <c r="T14" i="5" s="1"/>
  <c r="W14" i="5" s="1"/>
  <c r="J13" i="5"/>
  <c r="L13" i="5" s="1"/>
  <c r="J12" i="5"/>
  <c r="T12" i="5" s="1"/>
  <c r="J11" i="5"/>
  <c r="T11" i="5" s="1"/>
  <c r="J10" i="5"/>
  <c r="T10" i="5" s="1"/>
  <c r="J9" i="5"/>
  <c r="T9" i="5" s="1"/>
  <c r="J15" i="5"/>
  <c r="L15" i="5" s="1"/>
  <c r="N19" i="5"/>
  <c r="N18" i="5"/>
  <c r="N17" i="5"/>
  <c r="N16" i="5"/>
  <c r="N15" i="5"/>
  <c r="N14" i="5"/>
  <c r="N13" i="5"/>
  <c r="N12" i="5"/>
  <c r="N11" i="5"/>
  <c r="N10" i="5"/>
  <c r="N9" i="5"/>
  <c r="B44" i="4"/>
  <c r="B42" i="4"/>
  <c r="B34" i="4"/>
  <c r="B15" i="4"/>
  <c r="B21" i="4" s="1"/>
  <c r="B14" i="4"/>
  <c r="B20" i="4" s="1"/>
  <c r="D44" i="3"/>
  <c r="D45" i="3"/>
  <c r="D43" i="3"/>
  <c r="B48" i="3"/>
  <c r="B50" i="3" s="1"/>
  <c r="F44" i="3" s="1"/>
  <c r="G44" i="3" s="1"/>
  <c r="F26" i="7" l="1"/>
  <c r="F27" i="7" s="1"/>
  <c r="F28" i="7" s="1"/>
  <c r="F29" i="7" s="1"/>
  <c r="F30" i="7" s="1"/>
  <c r="L11" i="5"/>
  <c r="L17" i="5"/>
  <c r="F67" i="7"/>
  <c r="K5" i="2" s="1"/>
  <c r="F54" i="7"/>
  <c r="F55" i="7" s="1"/>
  <c r="F56" i="7" s="1"/>
  <c r="D5" i="2" s="1"/>
  <c r="F10" i="7"/>
  <c r="B5" i="2" s="1"/>
  <c r="G22" i="6"/>
  <c r="G35" i="6" s="1"/>
  <c r="G21" i="6"/>
  <c r="G27" i="6"/>
  <c r="L14" i="5"/>
  <c r="L12" i="5"/>
  <c r="T13" i="5"/>
  <c r="W13" i="5" s="1"/>
  <c r="T16" i="5"/>
  <c r="W16" i="5" s="1"/>
  <c r="T18" i="5"/>
  <c r="W18" i="5" s="1"/>
  <c r="T15" i="5"/>
  <c r="W15" i="5" s="1"/>
  <c r="L9" i="5"/>
  <c r="L10" i="5"/>
  <c r="T19" i="5"/>
  <c r="W10" i="5"/>
  <c r="W17" i="5"/>
  <c r="W12" i="5"/>
  <c r="W11" i="5"/>
  <c r="W9" i="5"/>
  <c r="B46" i="4"/>
  <c r="B47" i="4" s="1"/>
  <c r="B49" i="4" s="1"/>
  <c r="B6" i="2" s="1"/>
  <c r="B26" i="4"/>
  <c r="B27" i="4" s="1"/>
  <c r="E6" i="2" s="1"/>
  <c r="F43" i="3"/>
  <c r="G43" i="3" s="1"/>
  <c r="C2" i="2" s="1"/>
  <c r="F45" i="3"/>
  <c r="G45" i="3" s="1"/>
  <c r="F2" i="2"/>
  <c r="C9" i="3"/>
  <c r="B9" i="3"/>
  <c r="D8" i="3"/>
  <c r="D7" i="3"/>
  <c r="D6" i="3"/>
  <c r="E5" i="2" l="1"/>
  <c r="E2" i="2"/>
  <c r="E3" i="2" s="1"/>
  <c r="C3" i="2"/>
  <c r="C9" i="2"/>
  <c r="E9" i="2" s="1"/>
  <c r="F3" i="2"/>
  <c r="F9" i="2"/>
  <c r="J2" i="2"/>
  <c r="J3" i="2" s="1"/>
  <c r="I2" i="2"/>
  <c r="I3" i="2" s="1"/>
  <c r="H2" i="2"/>
  <c r="H3" i="2" s="1"/>
  <c r="F5" i="2"/>
  <c r="H5" i="2" s="1"/>
  <c r="T21" i="5"/>
  <c r="G32" i="6"/>
  <c r="G33" i="6" s="1"/>
  <c r="W19" i="5"/>
  <c r="W21" i="5" s="1"/>
  <c r="K7" i="2"/>
  <c r="J6" i="2"/>
  <c r="F6" i="2"/>
  <c r="C6" i="2"/>
  <c r="I6" i="2"/>
  <c r="H6" i="2"/>
  <c r="A60" i="3"/>
  <c r="K2" i="2" s="1"/>
  <c r="D9" i="3"/>
  <c r="A18" i="3" s="1"/>
  <c r="B7" i="2" l="1"/>
  <c r="I5" i="2"/>
  <c r="J5" i="2"/>
  <c r="J9" i="2"/>
  <c r="I9" i="2"/>
  <c r="H9" i="2"/>
  <c r="K6" i="2"/>
  <c r="K3" i="2"/>
  <c r="K9" i="2"/>
  <c r="B8" i="2"/>
  <c r="D7" i="2"/>
  <c r="C7" i="2"/>
  <c r="H7" i="2"/>
  <c r="J7" i="2"/>
  <c r="E7" i="2"/>
  <c r="I7" i="2"/>
  <c r="B2" i="2"/>
  <c r="B3"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tc={D998E602-6977-404A-8516-5F3163F500FA}</author>
  </authors>
  <commentList>
    <comment ref="B18" authorId="0" shapeId="0" xr:uid="{D998E602-6977-404A-8516-5F3163F500FA}">
      <text>
        <t>[Threaded comment]
Your version of Excel allows you to read this threaded comment; however, any edits to it will get removed if the file is opened in a newer version of Excel. Learn more: https://go.microsoft.com/fwlink/?linkid=870924
Comment:
    Left as original database, but I think it should be (small) not large, otherwise no difference in this and the next</t>
      </text>
    </comment>
  </commentList>
</comments>
</file>

<file path=xl/sharedStrings.xml><?xml version="1.0" encoding="utf-8"?>
<sst xmlns="http://schemas.openxmlformats.org/spreadsheetml/2006/main" count="527" uniqueCount="403">
  <si>
    <t>Sources:</t>
  </si>
  <si>
    <t>electricity if</t>
  </si>
  <si>
    <t>hard coal if</t>
  </si>
  <si>
    <t>natural gas if</t>
  </si>
  <si>
    <t>biomass if</t>
  </si>
  <si>
    <t>petroleum diesel if</t>
  </si>
  <si>
    <t>heat if</t>
  </si>
  <si>
    <t>crude oil if</t>
  </si>
  <si>
    <t>heavy or residual fuel oil if</t>
  </si>
  <si>
    <t>LPG propane or butane if</t>
  </si>
  <si>
    <t>hydrogen if</t>
  </si>
  <si>
    <t>boilers</t>
  </si>
  <si>
    <t>nonboiler low temp</t>
  </si>
  <si>
    <t>nonboiler med temp</t>
  </si>
  <si>
    <t>nonboiler high temp</t>
  </si>
  <si>
    <t>cooling</t>
  </si>
  <si>
    <t>machine drive</t>
  </si>
  <si>
    <t>electrochemical</t>
  </si>
  <si>
    <t>other processes</t>
  </si>
  <si>
    <t>Annual heat delivered (MMbtu)</t>
  </si>
  <si>
    <t>Capital Cost (USD)</t>
  </si>
  <si>
    <t>$/annual BTU</t>
  </si>
  <si>
    <t>Case Study 1</t>
  </si>
  <si>
    <t>Case Study 2</t>
  </si>
  <si>
    <t>Case Study 3</t>
  </si>
  <si>
    <t>Simple average</t>
  </si>
  <si>
    <t>Therefore, we need to take into account the efficiency of heat use.</t>
  </si>
  <si>
    <t>Industrial heat pumps</t>
  </si>
  <si>
    <t>Emerson</t>
  </si>
  <si>
    <t>Industrial Heat Pumps</t>
  </si>
  <si>
    <t>https://climate.emerson.com/documents/vilter-heat-pump-white-paper-en-us-5411194.pdf</t>
  </si>
  <si>
    <t>Industrial heat pumps cost per unit heat delivered</t>
  </si>
  <si>
    <t>Industrial heat pump efficiency</t>
  </si>
  <si>
    <t>Efficiency of industrial heat pump</t>
  </si>
  <si>
    <t>COP</t>
  </si>
  <si>
    <t>Arpagaus et al.</t>
  </si>
  <si>
    <t>High temperature heat pumps: Market overview, state of the art, research status, refrigerants, and application potentials</t>
  </si>
  <si>
    <t>https://www.sciencedirect.com/science/article/pii/S0360544218305759</t>
  </si>
  <si>
    <t>Figure 8</t>
  </si>
  <si>
    <t>Cost per unit of electricity consumed annually:</t>
  </si>
  <si>
    <t>This is the cost per unit heat delivered via heat pump.  We want the cost per unit energy consumed.</t>
  </si>
  <si>
    <t>Based on Arpagaus et al. curve, assuming a temperature lift of around 55 C (e.g., industries using waste heat as the heat source, boosting 45 C to 100 C or similar)</t>
  </si>
  <si>
    <t>Natural gas boilers</t>
  </si>
  <si>
    <t>BTU</t>
  </si>
  <si>
    <t>Capital cost per BTU</t>
  </si>
  <si>
    <t>$/(BTU/yr)</t>
  </si>
  <si>
    <t>Unit:  $/(BTU/yr) - dollars of capital cost for equipment per BTU consumed annually by that equipment</t>
  </si>
  <si>
    <t>Natural gas boiler costs</t>
  </si>
  <si>
    <t>Industrial fossil fuel boilers</t>
  </si>
  <si>
    <t>coal (steam boiler)</t>
  </si>
  <si>
    <t>petroleum products (steam boiler)</t>
  </si>
  <si>
    <t>natural gas (steam boiler)</t>
  </si>
  <si>
    <t>Overnight capital cost (USD/kW)</t>
  </si>
  <si>
    <t>Reference capacity (kW)</t>
  </si>
  <si>
    <t>Conversion factor</t>
  </si>
  <si>
    <t>Annual operating hours:</t>
  </si>
  <si>
    <t>kWh</t>
  </si>
  <si>
    <t>Unit</t>
  </si>
  <si>
    <t>BTU/kWh</t>
  </si>
  <si>
    <t>Value</t>
  </si>
  <si>
    <t>Boiler cost ($)</t>
  </si>
  <si>
    <t>Three fuel type industrial boiler costs</t>
  </si>
  <si>
    <t>IRENA</t>
  </si>
  <si>
    <t>https://www.irena.org/-/media/Irena/Files/REmap/IRENA_REmap_2030_technology_cost.xlsx</t>
  </si>
  <si>
    <t>Remap Technology and Performance Assumptions (for year 2030)</t>
  </si>
  <si>
    <t>We use NREL's natural gas boiler cost rather than IRENA's cost because it is based on precise figures, while IRENA used round numbers</t>
  </si>
  <si>
    <t>for their assumptions.</t>
  </si>
  <si>
    <t>Annual heat output</t>
  </si>
  <si>
    <t>Conversion efficiency</t>
  </si>
  <si>
    <t>Annual Energy Input (BTU)</t>
  </si>
  <si>
    <t>Hydrogen boiler capital cost price ratio</t>
  </si>
  <si>
    <t>E3</t>
  </si>
  <si>
    <t>"Achieving Carbon Neutrality in California (Revised Report): 2045 Abatement Cost Estimates"</t>
  </si>
  <si>
    <t>https://ww2.arb.ca.gov/sites/default/files/2020-09/e3_cn_draft_report_supp_data_aug2020.xlsx</t>
  </si>
  <si>
    <t>Hydrogen boiler</t>
  </si>
  <si>
    <t>The ARB document suggests that a hydrogen boiler under a "conservative" scenario would cost</t>
  </si>
  <si>
    <t>50% more than a natural gas boiler.</t>
  </si>
  <si>
    <t>Cost per annual energy ($/(BTU/yr))</t>
  </si>
  <si>
    <t>For electricity in the "boilers" end use, we use industrial heat pumps rather than electric boilers because industrial heat pumps</t>
  </si>
  <si>
    <t>are more efficient and are therefore recommended over electrical boilers wherever practical.</t>
  </si>
  <si>
    <t>Green cells are known explicitly.  Orange cells are assumptions based on similar fuel types.</t>
  </si>
  <si>
    <t>Natural Gas-Fired Chillers</t>
  </si>
  <si>
    <t>Capital cost</t>
  </si>
  <si>
    <t>Operating hours</t>
  </si>
  <si>
    <t>Natural gas charges</t>
  </si>
  <si>
    <t>Electricity charges (for pumps)</t>
  </si>
  <si>
    <t>$</t>
  </si>
  <si>
    <t>hours/yr</t>
  </si>
  <si>
    <t>Natural gas rate</t>
  </si>
  <si>
    <t>$/therm</t>
  </si>
  <si>
    <t>Electricity rate</t>
  </si>
  <si>
    <t>$/kWh</t>
  </si>
  <si>
    <t>NG use</t>
  </si>
  <si>
    <t>therms</t>
  </si>
  <si>
    <t>Electricity use</t>
  </si>
  <si>
    <t>BTU/therm</t>
  </si>
  <si>
    <t>The vast majority of the energy use is natural gas.  But we don't want to disregard the</t>
  </si>
  <si>
    <t>cost of the electricity used to power the pumps.  So we sum it with natural gas.</t>
  </si>
  <si>
    <t>Energy use (over 99% natural gas)</t>
  </si>
  <si>
    <t>Cost per BTU consumed</t>
  </si>
  <si>
    <t>Natural gas-fired chillers</t>
  </si>
  <si>
    <t>EnergistX</t>
  </si>
  <si>
    <t>undated</t>
  </si>
  <si>
    <t>https://enrgistx.com/natural-gas-fired-chillers/</t>
  </si>
  <si>
    <t>500 Ton Natural Gas-Fired Absorption Chiller replacement of Aged Centrifugal Electric Chiller</t>
  </si>
  <si>
    <t>Based on a 500-ton natural gas-fired absorption chiller</t>
  </si>
  <si>
    <t>Electric Chiller</t>
  </si>
  <si>
    <t>Centrifugal chillers &gt;400 tons</t>
  </si>
  <si>
    <t>$/ton</t>
  </si>
  <si>
    <t>Low-end capital cost</t>
  </si>
  <si>
    <t>High-end capital cost</t>
  </si>
  <si>
    <t>Average capital cost</t>
  </si>
  <si>
    <t>Capacity of reference chiller</t>
  </si>
  <si>
    <t>tons</t>
  </si>
  <si>
    <t>Capital cost of electric chiller</t>
  </si>
  <si>
    <t>Energy intensity of centrifugal chiller 300 - 600 tons capacity</t>
  </si>
  <si>
    <t>kW/ton</t>
  </si>
  <si>
    <t>kW</t>
  </si>
  <si>
    <t>Assumed to be the same as the NG-fired chiller above</t>
  </si>
  <si>
    <t>Power of centrifugal chiller 300 - 600 tons capacity</t>
  </si>
  <si>
    <t>Electric chillers</t>
  </si>
  <si>
    <t>Water-Cooled Chillers</t>
  </si>
  <si>
    <t>https://www.fpl.com/content/dam/fplgp/us/en/business/save/programs/pdf/water-cooled-chillers-primer.pdf</t>
  </si>
  <si>
    <t>Florida Power &amp; Light</t>
  </si>
  <si>
    <t>Electric motor: induction, squirrel cage, 3 phase, AC, TEFC, 1800 rpm excluding starter, gearing</t>
  </si>
  <si>
    <t>Electric motor: induction, wound rotor, 3 phase, AC, open drip proof, 1800 rpm, excluding starter</t>
  </si>
  <si>
    <t>Electric motor: synchronous, AC open drip proof, 1800 rpm excluding gears</t>
  </si>
  <si>
    <t>Electric motor: synchronous, open drip proof, AC, 1200 rpm excluding gears</t>
  </si>
  <si>
    <t>Electric motor: gear reduced TEFC, 1800 rpm plus gear reducer to give fixed output rpm</t>
  </si>
  <si>
    <t>Electric motor: variable speed TEFC, 1800 rpm plus V-belt unit for speed control 2/1 to 5/1 at 3480, 520 and 30 rpm</t>
  </si>
  <si>
    <t>kW (at 1800 rpm)</t>
  </si>
  <si>
    <t>Drive: gear unit, general, single, double, triple reduction on concentric, offset or vertical right angle drives, excluding lubrication system and motor</t>
  </si>
  <si>
    <t>kW (w/ reduction ratio)</t>
  </si>
  <si>
    <t>Drive: gear unit, general, single, double, triple reduction on concentric, offset or vertical right angle drives, excluding lubrication system and motor (large)</t>
  </si>
  <si>
    <t>Drive: gear unit, medium duty, single reduction 20/1 to 50/1 excluding lubrication system and motor (large)</t>
  </si>
  <si>
    <t>Equipment Name</t>
  </si>
  <si>
    <t>Scaling Unit</t>
  </si>
  <si>
    <t>Min Scale</t>
  </si>
  <si>
    <t>Max Scale</t>
  </si>
  <si>
    <t>Min Cost</t>
  </si>
  <si>
    <t>Max Cost</t>
  </si>
  <si>
    <t>Scaling Factor</t>
  </si>
  <si>
    <t>CEPCI</t>
  </si>
  <si>
    <t>Equipment cost = minimum equipment cost * (desired equipment scale value / minimum equipment scale value)scaling factor * (current CEPCI / listed CEPCI); 2024 CPI is ~800</t>
  </si>
  <si>
    <t>Equipment CapEx cost derived from the AssessCCUS's Capital Equipment Cost Database's equation, based on data from Woods 2007 (see sources in About):</t>
  </si>
  <si>
    <t>$/BTU</t>
  </si>
  <si>
    <t>Simple Average for electric motors/drive units:</t>
  </si>
  <si>
    <t>Global CO2 Initiative at Uniiversity of Michigan</t>
  </si>
  <si>
    <t>Assess CCUS Capital Equipment Cost Database</t>
  </si>
  <si>
    <t>with additional data derived from their primary source:</t>
  </si>
  <si>
    <t>Donald R. Woods</t>
  </si>
  <si>
    <t>Appendix D of Rules of Thumb in Engineering</t>
  </si>
  <si>
    <t>Information on a diesel engine and various electric motors and drives (Rows 144-155)</t>
  </si>
  <si>
    <t>kW (scale average)</t>
  </si>
  <si>
    <t>equiv. HP</t>
  </si>
  <si>
    <t>The recent assessment did not have data disaggregated in the appropriate way to provide more recent values.</t>
  </si>
  <si>
    <t>were obtained from the U.S. Industrial Electric Motor Systems Market Opportunities Assessment (2002).</t>
  </si>
  <si>
    <t>U.S. Industrial Electric Motor Systems Market Opportunities Assessment (2002)</t>
  </si>
  <si>
    <t>Annual Operating Hrs</t>
  </si>
  <si>
    <t>The example gas diesel engine is assumed to be in operation the simple average annual operating hours (5267) of other motors/machine drives.</t>
  </si>
  <si>
    <t>To derive Annual BTU, motor operating hours are based on the equivalent horsepower (HP) bin from the U.S. Industrial Electric Motor Systems Market Opportunities Assessment (2002).  kWh are converted to mmBTU with a conversion factor of 0.003412, then multiplied by annual operating hours.</t>
  </si>
  <si>
    <t>Hydrogen Electrolyzers</t>
  </si>
  <si>
    <t>Based on DoE "Pathways to Commercial Liftoff: Clean Hydrogen" p.13 CAPEX costs</t>
  </si>
  <si>
    <t>Alkaline Water Electrolysis</t>
  </si>
  <si>
    <t>$/kW</t>
  </si>
  <si>
    <t>Proton Exchange Membrane Electrolyzer</t>
  </si>
  <si>
    <t>DOE report cites potential penetrance of PEM of 25% of the U.S. market by 2030</t>
  </si>
  <si>
    <t>U.S. Weighted CapEx/BTU/yr:</t>
  </si>
  <si>
    <t>DOE Electrolyzer Capacity Example Case (p.88):</t>
  </si>
  <si>
    <t>GW/yr</t>
  </si>
  <si>
    <t>Average size</t>
  </si>
  <si>
    <t>%</t>
  </si>
  <si>
    <t>Average total operating capacity (first 3 years)</t>
  </si>
  <si>
    <t xml:space="preserve">Yield in kWh/year: </t>
  </si>
  <si>
    <t>Yield in BTU/year</t>
  </si>
  <si>
    <t>DOE projected capex cost reduction by 2030:</t>
  </si>
  <si>
    <t>Capital expenditures  (U.S./Western markets)</t>
  </si>
  <si>
    <t>Capital expenditures (U.S./Western markets):</t>
  </si>
  <si>
    <t>Capital expenditures  (China):</t>
  </si>
  <si>
    <t>$/BTU/yr (US)</t>
  </si>
  <si>
    <t>Capex for AWE electrolyzer at 1.5 GW capacity (US):</t>
  </si>
  <si>
    <t>Capex for PEM electrolyzer at 1.5 GW capacity (US):</t>
  </si>
  <si>
    <t>$/BTU/yr (China)</t>
  </si>
  <si>
    <t>China Data with US Weighted CapEx/BTU/yr:</t>
  </si>
  <si>
    <t>Electrochemical</t>
  </si>
  <si>
    <t>Data from the DOE's Pathways to Commercial Liftoff: Clean Hydrogen , 2023, p.13, p.88</t>
  </si>
  <si>
    <t>Wang et al., 2023. "The multi-scenario projection of cost reduction in hydrogen production by proton exchange membrane (PEM) water electrolysis in the near future (2020–2060) of China." Fuel, Vol. 354</t>
  </si>
  <si>
    <t>China capex numbers provided by:</t>
  </si>
  <si>
    <t>China capex costs based on Wang et al. 2023</t>
  </si>
  <si>
    <t>Electric Arc Furnace (Electric nonboiler high temp example)</t>
  </si>
  <si>
    <t xml:space="preserve">CapEx costs: </t>
  </si>
  <si>
    <t>$/tonne</t>
  </si>
  <si>
    <t>Energy expenditure/output:</t>
  </si>
  <si>
    <t>kWh/tonne</t>
  </si>
  <si>
    <t>Annual production capacity:</t>
  </si>
  <si>
    <t>tonnes/year</t>
  </si>
  <si>
    <t>kWh/year</t>
  </si>
  <si>
    <t>Annual heat delivered/year (mmBTU):</t>
  </si>
  <si>
    <t>Annual energy expenditure/year (kWh):</t>
  </si>
  <si>
    <t>mmBTU/year</t>
  </si>
  <si>
    <t>CapEx costs per annual yield:</t>
  </si>
  <si>
    <t>$/year</t>
  </si>
  <si>
    <t>$/BTU/year</t>
  </si>
  <si>
    <t>Source</t>
  </si>
  <si>
    <t>Paeng &amp; Azimi</t>
  </si>
  <si>
    <t>Paeng &amp; Azimi 2024</t>
  </si>
  <si>
    <t>130-180 tonnes per hour essentially means</t>
  </si>
  <si>
    <t>Energy Transitions Commission</t>
  </si>
  <si>
    <t>tonnes/year.</t>
  </si>
  <si>
    <t>DIW Berlin 2024</t>
  </si>
  <si>
    <t>Natural Gas-fueled Glass Melting Furnace (NG nonboiler high temp example)</t>
  </si>
  <si>
    <t>Furnace capital cost</t>
  </si>
  <si>
    <t>₤</t>
  </si>
  <si>
    <t>Output rate</t>
  </si>
  <si>
    <t>tonnes glass/day</t>
  </si>
  <si>
    <t>Annual hours of operation (operates continuously):</t>
  </si>
  <si>
    <t>hrs/year</t>
  </si>
  <si>
    <t>Energy expenditure/output</t>
  </si>
  <si>
    <t>Nonboiler High Temp</t>
  </si>
  <si>
    <t>Capex costs per ton:</t>
  </si>
  <si>
    <t>Deutsches Institut für Wirtschaftsforschung</t>
  </si>
  <si>
    <t>"Revisiting Investment Costs for Green Steel: Capital Expenditures, Firm Level Impacts, and Policy Implications"</t>
  </si>
  <si>
    <t>https://www.diw.de/documents/publikationen/73/diw_01.c.901039.de/dp2082.pdf</t>
  </si>
  <si>
    <t>"Technoeconomic Analysis of the Electrorefining Process for Copper and Carbon Removal from Scrap Steel for Green Steelmaking"</t>
  </si>
  <si>
    <t>Industrial &amp; Chemical Engineering Research</t>
  </si>
  <si>
    <t>https://pubs.acs.org/doi/10.1021/acs.iecr.4c02665</t>
  </si>
  <si>
    <t xml:space="preserve">Annual production capacity: </t>
  </si>
  <si>
    <t>"Unlocking the first wave of breakthrough steel investments in France"</t>
  </si>
  <si>
    <t>https://www.energy-transitions.org/wp-content/uploads/2023/03/Unlocking-the-First-Wave-of-Breakthrough-Steel-Investments-in-France-March-2022.pdf</t>
  </si>
  <si>
    <t>Electric Example (EAF) References:</t>
  </si>
  <si>
    <t>Natural Gas Example (NG Glass Melting Furnace) References:</t>
  </si>
  <si>
    <t>Glass Technology Services Ltd.</t>
  </si>
  <si>
    <t>"A Study of the Balance Between Furnace Operating Parameters and Recycled Glass in Melting Furnaces."</t>
  </si>
  <si>
    <t>https:/www.glass-ts.com/site/assets/files/1015/2004_-_a_study_of_the_balance_between_furnace_operating_parameters_and_recycled_glass_in_glass_melting_furnaces.pdf</t>
  </si>
  <si>
    <t>CapEx costs:</t>
  </si>
  <si>
    <t>€/ton</t>
  </si>
  <si>
    <t>Rechberger et al. 2020</t>
  </si>
  <si>
    <t>Hydrogen-DR Plant (does not include EAF) (hydrogen high temp example)</t>
  </si>
  <si>
    <t>kWh/ton</t>
  </si>
  <si>
    <t>Vogl et al. 2018</t>
  </si>
  <si>
    <t>tons/year</t>
  </si>
  <si>
    <t>Kiln capital cost</t>
  </si>
  <si>
    <t>GJ/tonne</t>
  </si>
  <si>
    <t>Coal Example (Cement Kiln) References:</t>
  </si>
  <si>
    <t>Vattenfall &amp; Cementa (Heidelberg Cement Group)</t>
  </si>
  <si>
    <t>CemZero</t>
  </si>
  <si>
    <t>Annual hours of operation:</t>
  </si>
  <si>
    <t>hours/year</t>
  </si>
  <si>
    <t>CemZero study</t>
  </si>
  <si>
    <t>Average for rotary kiln, CemZero study</t>
  </si>
  <si>
    <t>China Ruibin Information Network article</t>
  </si>
  <si>
    <t>RMB</t>
  </si>
  <si>
    <t>tons/day</t>
  </si>
  <si>
    <t>Daily production capacity</t>
  </si>
  <si>
    <t>includes conversion factor for GJ to kWh (1:277.778)</t>
  </si>
  <si>
    <t>includes RMB to USD conversion (1:0.14)</t>
  </si>
  <si>
    <t>$/Btu/year</t>
  </si>
  <si>
    <t>Btu/year</t>
  </si>
  <si>
    <t>Annual fuel use</t>
  </si>
  <si>
    <t>Btu/hour</t>
  </si>
  <si>
    <t>Capacity</t>
  </si>
  <si>
    <t>Capital cost - mean</t>
  </si>
  <si>
    <t>Capital cost - high</t>
  </si>
  <si>
    <t>Capital cost - low</t>
  </si>
  <si>
    <t>Natural Gas-Fired Distillation Columns</t>
  </si>
  <si>
    <t>BTU/year</t>
  </si>
  <si>
    <t>China Ruibin Information Network</t>
  </si>
  <si>
    <t>"How much does it cost to build a rotary kiln with a daily output of 600 tons"</t>
  </si>
  <si>
    <t>http://www.jixiemuye.com/en/business-2/article-364.html</t>
  </si>
  <si>
    <t>DOE (EERE)</t>
  </si>
  <si>
    <t>Energy Savings Potential and RD&amp;D Opportunities for Commercial Building Appliances (2015 Update)</t>
  </si>
  <si>
    <t>https://www.energy.gov/sites/prod/files/2016/06/f32/DOE-BTO%20Comml%20Appl%20Report%20-%20Full%20Report_0.pdf</t>
  </si>
  <si>
    <t>Natural gas-fired distillation columns</t>
  </si>
  <si>
    <t>DOE (OSTI)</t>
  </si>
  <si>
    <t>Distributive Distillation Enabled by Microchannel Process Technology</t>
  </si>
  <si>
    <t>https://www.osti.gov/servlets/purl/1077001</t>
  </si>
  <si>
    <t>Electric example (Infrared Heater for Processed Foods)</t>
  </si>
  <si>
    <t>Energy expenditure:</t>
  </si>
  <si>
    <t>USD</t>
  </si>
  <si>
    <t>Based on 16-20 hour operation of food processing plants</t>
  </si>
  <si>
    <t>Shadow Industrial Infrared model</t>
  </si>
  <si>
    <t>Industrial infrared heater vendor</t>
  </si>
  <si>
    <t>Gray cells are not applicable, either because the energy is already in the form of heat or because the equipmen type cannot use that fuel type.</t>
  </si>
  <si>
    <t>Electric and gas-fired ovens</t>
  </si>
  <si>
    <t>Based on a methanol/water separation column.</t>
  </si>
  <si>
    <t>Gas Diesel Engine</t>
  </si>
  <si>
    <t>Capital expenditures</t>
  </si>
  <si>
    <t>Rockefeller Foundation: Electrifying Economies: Detailed Cost Models and Benchmarks</t>
  </si>
  <si>
    <t>Representative engine bhp</t>
  </si>
  <si>
    <t>bhp</t>
  </si>
  <si>
    <t>EPA General Conformity Training Modules: Appendix A Sample Emissions Calculations</t>
  </si>
  <si>
    <t>Representative engine kW</t>
  </si>
  <si>
    <t>Representative annual operating hours</t>
  </si>
  <si>
    <t>Mmbtu</t>
  </si>
  <si>
    <t>Electric Motors</t>
  </si>
  <si>
    <t>Remaining "Other Processes" cells use natural gas distillation column values modified by the ratios of capital costs for</t>
  </si>
  <si>
    <t>boilers using each fuel type to boilers using natural gas.</t>
  </si>
  <si>
    <t>Using a 400-horsepower boiler as our example:</t>
  </si>
  <si>
    <t>water tube boiler</t>
  </si>
  <si>
    <t>fire tube boiler</t>
  </si>
  <si>
    <t>average</t>
  </si>
  <si>
    <t>horsepower</t>
  </si>
  <si>
    <t>kW / horsepower</t>
  </si>
  <si>
    <t>annual energy consumption</t>
  </si>
  <si>
    <t>State of Michigan</t>
  </si>
  <si>
    <t>Miscellaneous Industrial Costs</t>
  </si>
  <si>
    <t>https://www.michigan.gov/-/media/Project/Websites/treasury/VOL/Vol236UIP12MiscellaneousIndustrialCosts.pdf?rev=b2a14a143c11493e8d0a30587afaa282</t>
  </si>
  <si>
    <t>Page 1</t>
  </si>
  <si>
    <t>Cement plant (whole plant) capital cost per unit capacity</t>
  </si>
  <si>
    <t>$/ton cement annual production capacity</t>
  </si>
  <si>
    <t>GJ/day</t>
  </si>
  <si>
    <t>GJ/year</t>
  </si>
  <si>
    <t>$/(GJ/yr)</t>
  </si>
  <si>
    <t>$/(kWh/yr)</t>
  </si>
  <si>
    <t>Since these are Chinese prices, we double-checked using prices from Europe.  They come out about the same:</t>
  </si>
  <si>
    <t>CapEx of cement kiln witout CCS</t>
  </si>
  <si>
    <t>2014 euros / ton clinker (annual capacity)</t>
  </si>
  <si>
    <t>Average share of clinker in cement (global average)</t>
  </si>
  <si>
    <t>2014 euros / ton cement (annual capacity)</t>
  </si>
  <si>
    <t>https://www.wri.org/insights/lower-carbon-blended-cement#:~:text=U.S.%20cement%20produces%20more%20emissions,is%20between%200.64%20and%200.76.</t>
  </si>
  <si>
    <t>2014 USD / 2014 euro</t>
  </si>
  <si>
    <t>2014 USD / ton cement (annual capacity)</t>
  </si>
  <si>
    <t>2024 USD / 2014 USD</t>
  </si>
  <si>
    <t>2024 USD / ton cement (annual capacity)</t>
  </si>
  <si>
    <t>2024 USD / (GJ/yr)</t>
  </si>
  <si>
    <t>kWh / GJ</t>
  </si>
  <si>
    <t>USD / (kWh/yr)</t>
  </si>
  <si>
    <t>https://www.researchgate.net/publication/330875028_Techno-economic_analysis_of_calcium_looping_processes_for_low_CO_2_emission_cement_plants</t>
  </si>
  <si>
    <t>BTU / kWh</t>
  </si>
  <si>
    <t>USD / (BTU/yr)</t>
  </si>
  <si>
    <t>Europe cement kiln reference:</t>
  </si>
  <si>
    <t>Edoardo De Lena et al.</t>
  </si>
  <si>
    <t>Techno-economic analysis of calcium looping processes for low CO2 emission cement plants</t>
  </si>
  <si>
    <t>Table 8, "Capex, Europ/ton clinker" row</t>
  </si>
  <si>
    <t>Coal-fueled cement kiln</t>
  </si>
  <si>
    <t>Machine Drive</t>
  </si>
  <si>
    <t>Oven Type</t>
  </si>
  <si>
    <t>Fuel Type</t>
  </si>
  <si>
    <t>deck</t>
  </si>
  <si>
    <t>electric</t>
  </si>
  <si>
    <t>gas</t>
  </si>
  <si>
    <t>convection</t>
  </si>
  <si>
    <t>conveyor</t>
  </si>
  <si>
    <t>Commercial Oven Installed Base by Equipment Type</t>
  </si>
  <si>
    <t>Installed Base</t>
  </si>
  <si>
    <t>convection (1/2)</t>
  </si>
  <si>
    <t>convection (full)</t>
  </si>
  <si>
    <t>combiantion</t>
  </si>
  <si>
    <t>rotary rack</t>
  </si>
  <si>
    <t>rorary</t>
  </si>
  <si>
    <t>cook &amp; hold</t>
  </si>
  <si>
    <t>dough proofer</t>
  </si>
  <si>
    <t>p. 42, table 2-8</t>
  </si>
  <si>
    <t>Commercial oven installed base by fuel type</t>
  </si>
  <si>
    <t>Fuel type</t>
  </si>
  <si>
    <t>installed base</t>
  </si>
  <si>
    <t>Percent</t>
  </si>
  <si>
    <t>Commercial oven capital cost breakdown by oven type</t>
  </si>
  <si>
    <t>Average Cost</t>
  </si>
  <si>
    <t>proofer</t>
  </si>
  <si>
    <t>p. 44, table 2-10</t>
  </si>
  <si>
    <t>p. 43, table 2-9</t>
  </si>
  <si>
    <t>Commercial oven use characteristics</t>
  </si>
  <si>
    <t>Operating Hrs/Yr</t>
  </si>
  <si>
    <t>Capacity (btu/hr)</t>
  </si>
  <si>
    <t>Capacity (kW)</t>
  </si>
  <si>
    <t>p. 45, table 2-11</t>
  </si>
  <si>
    <t>Calculated energy use by fuel type</t>
  </si>
  <si>
    <t>Energy Use (btu/yr)</t>
  </si>
  <si>
    <t>Weighted avg CapEx</t>
  </si>
  <si>
    <t>CapEx/(BTU/yr)</t>
  </si>
  <si>
    <t>For reference, not used in calculations above:</t>
  </si>
  <si>
    <t>Commercial Ovens (used as our model for medium-temperature, non-boiler industrial heating equipment)</t>
  </si>
  <si>
    <t>The operating hours per year reported in the table above are for commercial ovens.</t>
  </si>
  <si>
    <t>We would expect an industrial facility to operate more hours per year than a commercial bakery.</t>
  </si>
  <si>
    <t>For this reason, and for consistency across different industrial equipment categories in this spreadsheet,</t>
  </si>
  <si>
    <t>we use the number of operating hours per year from the "Boilers" tab to also represent the operating hours</t>
  </si>
  <si>
    <t>per year for medium-temperature industrial heating equipment.</t>
  </si>
  <si>
    <t>Operating hours per year:</t>
  </si>
  <si>
    <t>Adjustment to Operating Hours per Year</t>
  </si>
  <si>
    <t>fully commercialized, electrified, high-temperature heating equipment.  For instance, cement kilns burn coal and steam crackers use natural gas.  Other electrical furnaces</t>
  </si>
  <si>
    <t>The data on electric arc furnaces (our model for electric high-temp heat) has been double-checked and seem solid, and there are few other good examples of</t>
  </si>
  <si>
    <t>exist (like induction furnaces), but electric arc furnaces are likely the most common type and are likely the best choice to use as our model equipment type for high-temp</t>
  </si>
  <si>
    <t>Note: since the CapEx here scales with tonnes capacity, the final cost per unit capacity isn't affected by the annual production capacity figure above.</t>
  </si>
  <si>
    <r>
      <rPr>
        <b/>
        <i/>
        <sz val="11"/>
        <color theme="1"/>
        <rFont val="Aptos Narrow"/>
        <family val="2"/>
        <scheme val="minor"/>
      </rPr>
      <t>Not used</t>
    </r>
    <r>
      <rPr>
        <i/>
        <sz val="11"/>
        <color theme="1"/>
        <rFont val="Aptos Narrow"/>
        <family val="2"/>
        <scheme val="minor"/>
      </rPr>
      <t xml:space="preserve"> because it is the whole plant, not just the kiln.  Kiln-only data are just below.</t>
    </r>
  </si>
  <si>
    <t>Annual energy delivered (MMbtu)</t>
  </si>
  <si>
    <t xml:space="preserve">% Distr. by Energy Use of Motor HP Category </t>
  </si>
  <si>
    <t>Operating hours, and percentage of motors in a given horsepower bin for calculating weighted averages based on energy distribution,</t>
  </si>
  <si>
    <t>Representative Horsepower Bin</t>
  </si>
  <si>
    <t>101-200</t>
  </si>
  <si>
    <t>21-50</t>
  </si>
  <si>
    <t>1-5</t>
  </si>
  <si>
    <t>6-20</t>
  </si>
  <si>
    <t>1000+</t>
  </si>
  <si>
    <t>$/BTU/yr</t>
  </si>
  <si>
    <t>Weighted Average (by distribution of energy use) for electric motors/drive units (see below for breakdown):</t>
  </si>
  <si>
    <t>Bins represented in the data by horsepower (HP) are 1-5, 6-20, 21-50,101-200,1000+. Not represented are 51-100 (12.7% of motor energy use), 201-500 (15.8%), 501-1000 (13.4%). Weighted averages thus take % of motor energy use in a given HP bin and divide by the remaining 58.1%. Weighted averages also average the energy values within a bin (e.g., averaging $/BTU/yr across all equipment in the 101-200 HP bin).</t>
  </si>
  <si>
    <t>% Distr. by Energy Use Per HP Bin</t>
  </si>
  <si>
    <t>Average Annual Energy Delivered by HP Bin (MMbtu)</t>
  </si>
  <si>
    <t>electrified industrial heating equipment. So we do not consider them to be an outlier - i.e., the higher cost is justified.</t>
  </si>
  <si>
    <t>IECCpUAEU Industrial Equipment Capital Cost per Unit Annual Energy Use</t>
  </si>
  <si>
    <t>green hydrogen if</t>
  </si>
  <si>
    <t>low carbon hydrogen 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</si>
</sst>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8" formatCode="&quot;$&quot;#,##0.00_);[Red]\(&quot;$&quot;#,##0.00\)"/>
    <numFmt numFmtId="164" formatCode="&quot;$&quot;#,##0"/>
    <numFmt numFmtId="165" formatCode="&quot;$&quot;#,##0.00"/>
  </numFmts>
  <fonts count="10" x14ac:knownFonts="1">
    <font>
      <sz val="11"/>
      <color theme="1"/>
      <name val="Aptos Narrow"/>
      <family val="2"/>
      <scheme val="minor"/>
    </font>
    <font>
      <b/>
      <sz val="11"/>
      <color theme="1"/>
      <name val="Aptos Narrow"/>
      <family val="2"/>
      <scheme val="minor"/>
    </font>
    <font>
      <i/>
      <sz val="11"/>
      <color theme="1"/>
      <name val="Aptos Narrow"/>
      <family val="2"/>
      <scheme val="minor"/>
    </font>
    <font>
      <b/>
      <i/>
      <sz val="11"/>
      <color theme="1"/>
      <name val="Aptos Narrow"/>
      <family val="2"/>
      <scheme val="minor"/>
    </font>
    <font>
      <u/>
      <sz val="11"/>
      <color theme="10"/>
      <name val="Aptos Narrow"/>
      <family val="2"/>
      <scheme val="minor"/>
    </font>
    <font>
      <b/>
      <sz val="12"/>
      <color theme="1"/>
      <name val="Aptos Narrow"/>
      <family val="2"/>
      <scheme val="minor"/>
    </font>
    <font>
      <sz val="11"/>
      <color theme="1"/>
      <name val="Aptos Narrow"/>
      <family val="2"/>
    </font>
    <font>
      <sz val="11"/>
      <color theme="1"/>
      <name val="Aptos Narrow"/>
      <family val="2"/>
      <scheme val="minor"/>
    </font>
    <font>
      <sz val="11"/>
      <color rgb="FF3F3F76"/>
      <name val="Aptos Narrow"/>
      <family val="2"/>
      <scheme val="minor"/>
    </font>
    <font>
      <b/>
      <sz val="11"/>
      <color rgb="FF3F3F76"/>
      <name val="Aptos Narrow"/>
      <family val="2"/>
      <scheme val="minor"/>
    </font>
  </fonts>
  <fills count="12">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theme="0" tint="-0.249977111117893"/>
        <bgColor indexed="64"/>
      </patternFill>
    </fill>
    <fill>
      <patternFill patternType="solid">
        <fgColor theme="3" tint="0.749992370372631"/>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bgColor indexed="64"/>
      </patternFill>
    </fill>
    <fill>
      <patternFill patternType="solid">
        <fgColor theme="5" tint="0.59999389629810485"/>
        <bgColor indexed="64"/>
      </patternFill>
    </fill>
    <fill>
      <patternFill patternType="solid">
        <fgColor rgb="FFFFCC99"/>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s>
  <cellStyleXfs count="4">
    <xf numFmtId="0" fontId="0" fillId="0" borderId="0"/>
    <xf numFmtId="0" fontId="4" fillId="0" borderId="0" applyNumberFormat="0" applyFill="0" applyBorder="0" applyAlignment="0" applyProtection="0"/>
    <xf numFmtId="9" fontId="7" fillId="0" borderId="0" applyFont="0" applyFill="0" applyBorder="0" applyAlignment="0" applyProtection="0"/>
    <xf numFmtId="0" fontId="8" fillId="11" borderId="3" applyNumberFormat="0" applyAlignment="0" applyProtection="0"/>
  </cellStyleXfs>
  <cellXfs count="61">
    <xf numFmtId="0" fontId="0" fillId="0" borderId="0" xfId="0"/>
    <xf numFmtId="0" fontId="1" fillId="0" borderId="0" xfId="0" applyFont="1"/>
    <xf numFmtId="0" fontId="0" fillId="0" borderId="0" xfId="0" applyAlignment="1">
      <alignment horizontal="right" wrapText="1"/>
    </xf>
    <xf numFmtId="0" fontId="0" fillId="0" borderId="0" xfId="0" applyAlignment="1">
      <alignment wrapText="1"/>
    </xf>
    <xf numFmtId="0" fontId="2" fillId="0" borderId="0" xfId="0" applyFont="1" applyAlignment="1">
      <alignment wrapText="1"/>
    </xf>
    <xf numFmtId="0" fontId="0" fillId="0" borderId="0" xfId="0" applyAlignment="1">
      <alignment horizontal="left" wrapText="1"/>
    </xf>
    <xf numFmtId="0" fontId="1" fillId="0" borderId="0" xfId="0" applyFont="1" applyAlignment="1">
      <alignment horizontal="right" wrapText="1"/>
    </xf>
    <xf numFmtId="0" fontId="1" fillId="0" borderId="0" xfId="0" applyFont="1" applyAlignment="1">
      <alignment horizontal="right"/>
    </xf>
    <xf numFmtId="6" fontId="0" fillId="0" borderId="0" xfId="0" applyNumberFormat="1"/>
    <xf numFmtId="11" fontId="0" fillId="0" borderId="0" xfId="0" applyNumberFormat="1"/>
    <xf numFmtId="11" fontId="0" fillId="2" borderId="0" xfId="0" applyNumberFormat="1" applyFill="1"/>
    <xf numFmtId="0" fontId="3" fillId="0" borderId="0" xfId="0" applyFont="1"/>
    <xf numFmtId="11" fontId="0" fillId="3" borderId="0" xfId="0" applyNumberFormat="1" applyFill="1"/>
    <xf numFmtId="0" fontId="0" fillId="0" borderId="0" xfId="0" applyAlignment="1">
      <alignment horizontal="left"/>
    </xf>
    <xf numFmtId="0" fontId="0" fillId="0" borderId="0" xfId="0" quotePrefix="1" applyAlignment="1">
      <alignment horizontal="left"/>
    </xf>
    <xf numFmtId="0" fontId="4" fillId="0" borderId="0" xfId="1"/>
    <xf numFmtId="0" fontId="1" fillId="4" borderId="0" xfId="0" applyFont="1" applyFill="1"/>
    <xf numFmtId="0" fontId="1" fillId="5" borderId="0" xfId="0" applyFont="1" applyFill="1"/>
    <xf numFmtId="0" fontId="0" fillId="5" borderId="0" xfId="0" applyFill="1"/>
    <xf numFmtId="9" fontId="0" fillId="0" borderId="0" xfId="0" applyNumberFormat="1"/>
    <xf numFmtId="164" fontId="0" fillId="0" borderId="0" xfId="0" applyNumberFormat="1"/>
    <xf numFmtId="1" fontId="0" fillId="0" borderId="0" xfId="0" applyNumberFormat="1"/>
    <xf numFmtId="0" fontId="3" fillId="6" borderId="0" xfId="0" applyFont="1" applyFill="1"/>
    <xf numFmtId="0" fontId="1" fillId="6" borderId="0" xfId="0" applyFont="1" applyFill="1" applyAlignment="1">
      <alignment horizontal="right" wrapText="1"/>
    </xf>
    <xf numFmtId="0" fontId="2" fillId="0" borderId="0" xfId="0" applyFont="1"/>
    <xf numFmtId="8" fontId="0" fillId="0" borderId="0" xfId="0" applyNumberFormat="1"/>
    <xf numFmtId="0" fontId="5" fillId="7" borderId="1" xfId="0" applyFont="1" applyFill="1" applyBorder="1" applyAlignment="1">
      <alignment horizontal="center"/>
    </xf>
    <xf numFmtId="0" fontId="0" fillId="8" borderId="0" xfId="0" applyFill="1"/>
    <xf numFmtId="0" fontId="5" fillId="8" borderId="2" xfId="0" applyFont="1" applyFill="1" applyBorder="1" applyAlignment="1">
      <alignment horizontal="center"/>
    </xf>
    <xf numFmtId="0" fontId="1" fillId="8" borderId="0" xfId="0" applyFont="1" applyFill="1"/>
    <xf numFmtId="0" fontId="1" fillId="8" borderId="0" xfId="0" applyFont="1" applyFill="1" applyAlignment="1">
      <alignment horizontal="left"/>
    </xf>
    <xf numFmtId="0" fontId="1" fillId="9" borderId="0" xfId="0" applyFont="1" applyFill="1"/>
    <xf numFmtId="3" fontId="0" fillId="0" borderId="0" xfId="0" applyNumberFormat="1"/>
    <xf numFmtId="0" fontId="6" fillId="0" borderId="0" xfId="0" applyFont="1"/>
    <xf numFmtId="2" fontId="0" fillId="0" borderId="0" xfId="0" applyNumberFormat="1"/>
    <xf numFmtId="0" fontId="4" fillId="0" borderId="0" xfId="1" applyAlignment="1">
      <alignment wrapText="1"/>
    </xf>
    <xf numFmtId="17" fontId="0" fillId="0" borderId="0" xfId="0" applyNumberFormat="1" applyAlignment="1">
      <alignment horizontal="left" wrapText="1"/>
    </xf>
    <xf numFmtId="17" fontId="4" fillId="0" borderId="0" xfId="1" applyNumberFormat="1" applyAlignment="1">
      <alignment horizontal="left" wrapText="1"/>
    </xf>
    <xf numFmtId="49" fontId="0" fillId="0" borderId="0" xfId="0" applyNumberFormat="1"/>
    <xf numFmtId="165" fontId="0" fillId="0" borderId="0" xfId="0" applyNumberFormat="1"/>
    <xf numFmtId="0" fontId="0" fillId="4" borderId="0" xfId="0" applyFill="1"/>
    <xf numFmtId="0" fontId="1" fillId="10" borderId="0" xfId="0" applyFont="1" applyFill="1"/>
    <xf numFmtId="0" fontId="0" fillId="10" borderId="0" xfId="0" applyFill="1"/>
    <xf numFmtId="9" fontId="0" fillId="0" borderId="0" xfId="2" applyFont="1"/>
    <xf numFmtId="0" fontId="0" fillId="6" borderId="0" xfId="0" applyFill="1"/>
    <xf numFmtId="0" fontId="1" fillId="6" borderId="0" xfId="0" applyFont="1" applyFill="1"/>
    <xf numFmtId="3" fontId="0" fillId="4" borderId="0" xfId="0" applyNumberFormat="1" applyFill="1"/>
    <xf numFmtId="1" fontId="1" fillId="0" borderId="0" xfId="0" applyNumberFormat="1" applyFont="1"/>
    <xf numFmtId="11" fontId="1" fillId="3" borderId="0" xfId="0" applyNumberFormat="1" applyFont="1" applyFill="1"/>
    <xf numFmtId="0" fontId="9" fillId="11" borderId="3" xfId="3" applyFont="1"/>
    <xf numFmtId="1" fontId="9" fillId="11" borderId="3" xfId="3" applyNumberFormat="1" applyFont="1"/>
    <xf numFmtId="11" fontId="8" fillId="11" borderId="3" xfId="3" applyNumberFormat="1" applyAlignment="1">
      <alignment horizontal="center"/>
    </xf>
    <xf numFmtId="9" fontId="8" fillId="11" borderId="4" xfId="2" applyFont="1" applyFill="1" applyBorder="1" applyAlignment="1">
      <alignment horizontal="center"/>
    </xf>
    <xf numFmtId="9" fontId="8" fillId="11" borderId="5" xfId="2" applyFont="1" applyFill="1" applyBorder="1" applyAlignment="1">
      <alignment horizontal="center"/>
    </xf>
    <xf numFmtId="9" fontId="8" fillId="11" borderId="6" xfId="2" applyFont="1" applyFill="1" applyBorder="1" applyAlignment="1">
      <alignment horizontal="center"/>
    </xf>
    <xf numFmtId="49" fontId="8" fillId="11" borderId="4" xfId="3" applyNumberFormat="1" applyBorder="1"/>
    <xf numFmtId="49" fontId="8" fillId="11" borderId="5" xfId="3" applyNumberFormat="1" applyBorder="1"/>
    <xf numFmtId="49" fontId="8" fillId="11" borderId="6" xfId="3" applyNumberFormat="1" applyBorder="1"/>
    <xf numFmtId="1" fontId="8" fillId="11" borderId="4" xfId="3" applyNumberFormat="1" applyBorder="1" applyAlignment="1">
      <alignment horizontal="center"/>
    </xf>
    <xf numFmtId="1" fontId="8" fillId="11" borderId="5" xfId="3" applyNumberFormat="1" applyBorder="1" applyAlignment="1">
      <alignment horizontal="center"/>
    </xf>
    <xf numFmtId="1" fontId="8" fillId="11" borderId="6" xfId="3" applyNumberFormat="1" applyBorder="1" applyAlignment="1">
      <alignment horizontal="center"/>
    </xf>
  </cellXfs>
  <cellStyles count="4">
    <cellStyle name="Hyperlink" xfId="1" builtinId="8"/>
    <cellStyle name="Input" xfId="3" builtinId="20"/>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Capital Cost of Equipment</a:t>
            </a:r>
            <a:r>
              <a:rPr lang="en-US" baseline="0"/>
              <a:t> per Unit Annual Energy Consumption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IECCpUAEU!$A$2</c:f>
              <c:strCache>
                <c:ptCount val="1"/>
                <c:pt idx="0">
                  <c:v>boilers</c:v>
                </c:pt>
              </c:strCache>
            </c:strRef>
          </c:tx>
          <c:spPr>
            <a:solidFill>
              <a:schemeClr val="accent1"/>
            </a:solidFill>
            <a:ln>
              <a:noFill/>
            </a:ln>
            <a:effectLst/>
          </c:spPr>
          <c:invertIfNegative val="0"/>
          <c:cat>
            <c:strRef>
              <c:f>IECCpUAEU!$B$1:$K$1</c:f>
              <c:strCache>
                <c:ptCount val="10"/>
                <c:pt idx="0">
                  <c:v>electricity if</c:v>
                </c:pt>
                <c:pt idx="1">
                  <c:v>hard coal if</c:v>
                </c:pt>
                <c:pt idx="2">
                  <c:v>natural gas if</c:v>
                </c:pt>
                <c:pt idx="3">
                  <c:v>biomass if</c:v>
                </c:pt>
                <c:pt idx="4">
                  <c:v>petroleum diesel if</c:v>
                </c:pt>
                <c:pt idx="5">
                  <c:v>heat if</c:v>
                </c:pt>
                <c:pt idx="6">
                  <c:v>crude oil if</c:v>
                </c:pt>
                <c:pt idx="7">
                  <c:v>heavy or residual fuel oil if</c:v>
                </c:pt>
                <c:pt idx="8">
                  <c:v>LPG propane or butane if</c:v>
                </c:pt>
                <c:pt idx="9">
                  <c:v>hydrogen if</c:v>
                </c:pt>
              </c:strCache>
            </c:strRef>
          </c:cat>
          <c:val>
            <c:numRef>
              <c:f>IECCpUAEU!$B$2:$K$2</c:f>
              <c:numCache>
                <c:formatCode>0.00E+00</c:formatCode>
                <c:ptCount val="10"/>
                <c:pt idx="0">
                  <c:v>5.6711966224873446E-5</c:v>
                </c:pt>
                <c:pt idx="1">
                  <c:v>1.4986595988547842E-5</c:v>
                </c:pt>
                <c:pt idx="2">
                  <c:v>1.5989491110961776E-5</c:v>
                </c:pt>
                <c:pt idx="3">
                  <c:v>1.4986595988547842E-5</c:v>
                </c:pt>
                <c:pt idx="4">
                  <c:v>9.436004881678272E-6</c:v>
                </c:pt>
                <c:pt idx="5" formatCode="General">
                  <c:v>0</c:v>
                </c:pt>
                <c:pt idx="6">
                  <c:v>9.436004881678272E-6</c:v>
                </c:pt>
                <c:pt idx="7">
                  <c:v>9.436004881678272E-6</c:v>
                </c:pt>
                <c:pt idx="8">
                  <c:v>9.436004881678272E-6</c:v>
                </c:pt>
                <c:pt idx="9">
                  <c:v>2.3984236666442662E-5</c:v>
                </c:pt>
              </c:numCache>
            </c:numRef>
          </c:val>
          <c:extLst>
            <c:ext xmlns:c16="http://schemas.microsoft.com/office/drawing/2014/chart" uri="{C3380CC4-5D6E-409C-BE32-E72D297353CC}">
              <c16:uniqueId val="{00000000-AC6F-455C-AF10-DE9805C4FD60}"/>
            </c:ext>
          </c:extLst>
        </c:ser>
        <c:ser>
          <c:idx val="1"/>
          <c:order val="1"/>
          <c:tx>
            <c:strRef>
              <c:f>IECCpUAEU!$A$3</c:f>
              <c:strCache>
                <c:ptCount val="1"/>
                <c:pt idx="0">
                  <c:v>nonboiler low temp</c:v>
                </c:pt>
              </c:strCache>
            </c:strRef>
          </c:tx>
          <c:spPr>
            <a:solidFill>
              <a:schemeClr val="accent2"/>
            </a:solidFill>
            <a:ln>
              <a:noFill/>
            </a:ln>
            <a:effectLst/>
          </c:spPr>
          <c:invertIfNegative val="0"/>
          <c:cat>
            <c:strRef>
              <c:f>IECCpUAEU!$B$1:$K$1</c:f>
              <c:strCache>
                <c:ptCount val="10"/>
                <c:pt idx="0">
                  <c:v>electricity if</c:v>
                </c:pt>
                <c:pt idx="1">
                  <c:v>hard coal if</c:v>
                </c:pt>
                <c:pt idx="2">
                  <c:v>natural gas if</c:v>
                </c:pt>
                <c:pt idx="3">
                  <c:v>biomass if</c:v>
                </c:pt>
                <c:pt idx="4">
                  <c:v>petroleum diesel if</c:v>
                </c:pt>
                <c:pt idx="5">
                  <c:v>heat if</c:v>
                </c:pt>
                <c:pt idx="6">
                  <c:v>crude oil if</c:v>
                </c:pt>
                <c:pt idx="7">
                  <c:v>heavy or residual fuel oil if</c:v>
                </c:pt>
                <c:pt idx="8">
                  <c:v>LPG propane or butane if</c:v>
                </c:pt>
                <c:pt idx="9">
                  <c:v>hydrogen if</c:v>
                </c:pt>
              </c:strCache>
            </c:strRef>
          </c:cat>
          <c:val>
            <c:numRef>
              <c:f>IECCpUAEU!$B$3:$K$3</c:f>
              <c:numCache>
                <c:formatCode>0.00E+00</c:formatCode>
                <c:ptCount val="10"/>
                <c:pt idx="0">
                  <c:v>5.6711966224873446E-5</c:v>
                </c:pt>
                <c:pt idx="1">
                  <c:v>1.4986595988547842E-5</c:v>
                </c:pt>
                <c:pt idx="2">
                  <c:v>1.5989491110961776E-5</c:v>
                </c:pt>
                <c:pt idx="3">
                  <c:v>1.4986595988547842E-5</c:v>
                </c:pt>
                <c:pt idx="4">
                  <c:v>9.436004881678272E-6</c:v>
                </c:pt>
                <c:pt idx="5" formatCode="General">
                  <c:v>0</c:v>
                </c:pt>
                <c:pt idx="6">
                  <c:v>9.436004881678272E-6</c:v>
                </c:pt>
                <c:pt idx="7">
                  <c:v>9.436004881678272E-6</c:v>
                </c:pt>
                <c:pt idx="8">
                  <c:v>9.436004881678272E-6</c:v>
                </c:pt>
                <c:pt idx="9">
                  <c:v>2.3984236666442662E-5</c:v>
                </c:pt>
              </c:numCache>
            </c:numRef>
          </c:val>
          <c:extLst>
            <c:ext xmlns:c16="http://schemas.microsoft.com/office/drawing/2014/chart" uri="{C3380CC4-5D6E-409C-BE32-E72D297353CC}">
              <c16:uniqueId val="{00000001-AC6F-455C-AF10-DE9805C4FD60}"/>
            </c:ext>
          </c:extLst>
        </c:ser>
        <c:ser>
          <c:idx val="2"/>
          <c:order val="2"/>
          <c:tx>
            <c:strRef>
              <c:f>IECCpUAEU!$A$4</c:f>
              <c:strCache>
                <c:ptCount val="1"/>
                <c:pt idx="0">
                  <c:v>nonboiler med temp</c:v>
                </c:pt>
              </c:strCache>
            </c:strRef>
          </c:tx>
          <c:spPr>
            <a:solidFill>
              <a:schemeClr val="accent3"/>
            </a:solidFill>
            <a:ln>
              <a:noFill/>
            </a:ln>
            <a:effectLst/>
          </c:spPr>
          <c:invertIfNegative val="0"/>
          <c:cat>
            <c:strRef>
              <c:f>IECCpUAEU!$B$1:$K$1</c:f>
              <c:strCache>
                <c:ptCount val="10"/>
                <c:pt idx="0">
                  <c:v>electricity if</c:v>
                </c:pt>
                <c:pt idx="1">
                  <c:v>hard coal if</c:v>
                </c:pt>
                <c:pt idx="2">
                  <c:v>natural gas if</c:v>
                </c:pt>
                <c:pt idx="3">
                  <c:v>biomass if</c:v>
                </c:pt>
                <c:pt idx="4">
                  <c:v>petroleum diesel if</c:v>
                </c:pt>
                <c:pt idx="5">
                  <c:v>heat if</c:v>
                </c:pt>
                <c:pt idx="6">
                  <c:v>crude oil if</c:v>
                </c:pt>
                <c:pt idx="7">
                  <c:v>heavy or residual fuel oil if</c:v>
                </c:pt>
                <c:pt idx="8">
                  <c:v>LPG propane or butane if</c:v>
                </c:pt>
                <c:pt idx="9">
                  <c:v>hydrogen if</c:v>
                </c:pt>
              </c:strCache>
            </c:strRef>
          </c:cat>
          <c:val>
            <c:numRef>
              <c:f>IECCpUAEU!$B$4:$K$4</c:f>
              <c:numCache>
                <c:formatCode>0.00E+00</c:formatCode>
                <c:ptCount val="10"/>
                <c:pt idx="0">
                  <c:v>3.4771933032458345E-5</c:v>
                </c:pt>
                <c:pt idx="1">
                  <c:v>3.1780367029653324E-5</c:v>
                </c:pt>
                <c:pt idx="2">
                  <c:v>3.1780367029653324E-5</c:v>
                </c:pt>
                <c:pt idx="3">
                  <c:v>3.1780367029653324E-5</c:v>
                </c:pt>
                <c:pt idx="4">
                  <c:v>3.1780367029653324E-5</c:v>
                </c:pt>
                <c:pt idx="5" formatCode="General">
                  <c:v>0</c:v>
                </c:pt>
                <c:pt idx="6">
                  <c:v>3.1780367029653324E-5</c:v>
                </c:pt>
                <c:pt idx="7">
                  <c:v>3.1780367029653324E-5</c:v>
                </c:pt>
                <c:pt idx="8">
                  <c:v>3.1780367029653324E-5</c:v>
                </c:pt>
                <c:pt idx="9">
                  <c:v>3.1780367029653324E-5</c:v>
                </c:pt>
              </c:numCache>
            </c:numRef>
          </c:val>
          <c:extLst>
            <c:ext xmlns:c16="http://schemas.microsoft.com/office/drawing/2014/chart" uri="{C3380CC4-5D6E-409C-BE32-E72D297353CC}">
              <c16:uniqueId val="{00000002-AC6F-455C-AF10-DE9805C4FD60}"/>
            </c:ext>
          </c:extLst>
        </c:ser>
        <c:ser>
          <c:idx val="3"/>
          <c:order val="3"/>
          <c:tx>
            <c:strRef>
              <c:f>IECCpUAEU!$A$5</c:f>
              <c:strCache>
                <c:ptCount val="1"/>
                <c:pt idx="0">
                  <c:v>nonboiler high temp</c:v>
                </c:pt>
              </c:strCache>
            </c:strRef>
          </c:tx>
          <c:spPr>
            <a:solidFill>
              <a:schemeClr val="accent4"/>
            </a:solidFill>
            <a:ln>
              <a:noFill/>
            </a:ln>
            <a:effectLst/>
          </c:spPr>
          <c:invertIfNegative val="0"/>
          <c:cat>
            <c:strRef>
              <c:f>IECCpUAEU!$B$1:$K$1</c:f>
              <c:strCache>
                <c:ptCount val="10"/>
                <c:pt idx="0">
                  <c:v>electricity if</c:v>
                </c:pt>
                <c:pt idx="1">
                  <c:v>hard coal if</c:v>
                </c:pt>
                <c:pt idx="2">
                  <c:v>natural gas if</c:v>
                </c:pt>
                <c:pt idx="3">
                  <c:v>biomass if</c:v>
                </c:pt>
                <c:pt idx="4">
                  <c:v>petroleum diesel if</c:v>
                </c:pt>
                <c:pt idx="5">
                  <c:v>heat if</c:v>
                </c:pt>
                <c:pt idx="6">
                  <c:v>crude oil if</c:v>
                </c:pt>
                <c:pt idx="7">
                  <c:v>heavy or residual fuel oil if</c:v>
                </c:pt>
                <c:pt idx="8">
                  <c:v>LPG propane or butane if</c:v>
                </c:pt>
                <c:pt idx="9">
                  <c:v>hydrogen if</c:v>
                </c:pt>
              </c:strCache>
            </c:strRef>
          </c:cat>
          <c:val>
            <c:numRef>
              <c:f>IECCpUAEU!$B$5:$K$5</c:f>
              <c:numCache>
                <c:formatCode>0.00E+00</c:formatCode>
                <c:ptCount val="10"/>
                <c:pt idx="0">
                  <c:v>1.7204637228083889E-4</c:v>
                </c:pt>
                <c:pt idx="1">
                  <c:v>4.5951806950193628E-6</c:v>
                </c:pt>
                <c:pt idx="2">
                  <c:v>2.0725243194734525E-5</c:v>
                </c:pt>
                <c:pt idx="3">
                  <c:v>4.5951806950193628E-6</c:v>
                </c:pt>
                <c:pt idx="4">
                  <c:v>1.2230751723262388E-5</c:v>
                </c:pt>
                <c:pt idx="5" formatCode="General">
                  <c:v>0</c:v>
                </c:pt>
                <c:pt idx="6">
                  <c:v>1.2230751723262388E-5</c:v>
                </c:pt>
                <c:pt idx="7">
                  <c:v>1.2230751723262388E-5</c:v>
                </c:pt>
                <c:pt idx="8">
                  <c:v>1.2230751723262388E-5</c:v>
                </c:pt>
                <c:pt idx="9">
                  <c:v>3.265784625690839E-5</c:v>
                </c:pt>
              </c:numCache>
            </c:numRef>
          </c:val>
          <c:extLst>
            <c:ext xmlns:c16="http://schemas.microsoft.com/office/drawing/2014/chart" uri="{C3380CC4-5D6E-409C-BE32-E72D297353CC}">
              <c16:uniqueId val="{00000003-AC6F-455C-AF10-DE9805C4FD60}"/>
            </c:ext>
          </c:extLst>
        </c:ser>
        <c:ser>
          <c:idx val="4"/>
          <c:order val="4"/>
          <c:tx>
            <c:strRef>
              <c:f>IECCpUAEU!$A$6</c:f>
              <c:strCache>
                <c:ptCount val="1"/>
                <c:pt idx="0">
                  <c:v>cooling</c:v>
                </c:pt>
              </c:strCache>
            </c:strRef>
          </c:tx>
          <c:spPr>
            <a:solidFill>
              <a:schemeClr val="accent5"/>
            </a:solidFill>
            <a:ln>
              <a:noFill/>
            </a:ln>
            <a:effectLst/>
          </c:spPr>
          <c:invertIfNegative val="0"/>
          <c:cat>
            <c:strRef>
              <c:f>IECCpUAEU!$B$1:$K$1</c:f>
              <c:strCache>
                <c:ptCount val="10"/>
                <c:pt idx="0">
                  <c:v>electricity if</c:v>
                </c:pt>
                <c:pt idx="1">
                  <c:v>hard coal if</c:v>
                </c:pt>
                <c:pt idx="2">
                  <c:v>natural gas if</c:v>
                </c:pt>
                <c:pt idx="3">
                  <c:v>biomass if</c:v>
                </c:pt>
                <c:pt idx="4">
                  <c:v>petroleum diesel if</c:v>
                </c:pt>
                <c:pt idx="5">
                  <c:v>heat if</c:v>
                </c:pt>
                <c:pt idx="6">
                  <c:v>crude oil if</c:v>
                </c:pt>
                <c:pt idx="7">
                  <c:v>heavy or residual fuel oil if</c:v>
                </c:pt>
                <c:pt idx="8">
                  <c:v>LPG propane or butane if</c:v>
                </c:pt>
                <c:pt idx="9">
                  <c:v>hydrogen if</c:v>
                </c:pt>
              </c:strCache>
            </c:strRef>
          </c:cat>
          <c:val>
            <c:numRef>
              <c:f>IECCpUAEU!$B$6:$K$6</c:f>
              <c:numCache>
                <c:formatCode>0.00E+00</c:formatCode>
                <c:ptCount val="10"/>
                <c:pt idx="0">
                  <c:v>4.4520366169683022E-5</c:v>
                </c:pt>
                <c:pt idx="1">
                  <c:v>1.8088159747275158E-5</c:v>
                </c:pt>
                <c:pt idx="2">
                  <c:v>1.8088159747275158E-5</c:v>
                </c:pt>
                <c:pt idx="3">
                  <c:v>1.8088159747275158E-5</c:v>
                </c:pt>
                <c:pt idx="4">
                  <c:v>1.8088159747275158E-5</c:v>
                </c:pt>
                <c:pt idx="5" formatCode="General">
                  <c:v>0</c:v>
                </c:pt>
                <c:pt idx="6">
                  <c:v>1.8088159747275158E-5</c:v>
                </c:pt>
                <c:pt idx="7">
                  <c:v>1.8088159747275158E-5</c:v>
                </c:pt>
                <c:pt idx="8">
                  <c:v>1.8088159747275158E-5</c:v>
                </c:pt>
                <c:pt idx="9">
                  <c:v>2.7132239620912736E-5</c:v>
                </c:pt>
              </c:numCache>
            </c:numRef>
          </c:val>
          <c:extLst>
            <c:ext xmlns:c16="http://schemas.microsoft.com/office/drawing/2014/chart" uri="{C3380CC4-5D6E-409C-BE32-E72D297353CC}">
              <c16:uniqueId val="{00000004-AC6F-455C-AF10-DE9805C4FD60}"/>
            </c:ext>
          </c:extLst>
        </c:ser>
        <c:ser>
          <c:idx val="5"/>
          <c:order val="5"/>
          <c:tx>
            <c:strRef>
              <c:f>IECCpUAEU!$A$7</c:f>
              <c:strCache>
                <c:ptCount val="1"/>
                <c:pt idx="0">
                  <c:v>machine drive</c:v>
                </c:pt>
              </c:strCache>
            </c:strRef>
          </c:tx>
          <c:spPr>
            <a:solidFill>
              <a:schemeClr val="accent6"/>
            </a:solidFill>
            <a:ln>
              <a:noFill/>
            </a:ln>
            <a:effectLst/>
          </c:spPr>
          <c:invertIfNegative val="0"/>
          <c:cat>
            <c:strRef>
              <c:f>IECCpUAEU!$B$1:$K$1</c:f>
              <c:strCache>
                <c:ptCount val="10"/>
                <c:pt idx="0">
                  <c:v>electricity if</c:v>
                </c:pt>
                <c:pt idx="1">
                  <c:v>hard coal if</c:v>
                </c:pt>
                <c:pt idx="2">
                  <c:v>natural gas if</c:v>
                </c:pt>
                <c:pt idx="3">
                  <c:v>biomass if</c:v>
                </c:pt>
                <c:pt idx="4">
                  <c:v>petroleum diesel if</c:v>
                </c:pt>
                <c:pt idx="5">
                  <c:v>heat if</c:v>
                </c:pt>
                <c:pt idx="6">
                  <c:v>crude oil if</c:v>
                </c:pt>
                <c:pt idx="7">
                  <c:v>heavy or residual fuel oil if</c:v>
                </c:pt>
                <c:pt idx="8">
                  <c:v>LPG propane or butane if</c:v>
                </c:pt>
                <c:pt idx="9">
                  <c:v>hydrogen if</c:v>
                </c:pt>
              </c:strCache>
            </c:strRef>
          </c:cat>
          <c:val>
            <c:numRef>
              <c:f>IECCpUAEU!$B$7:$K$7</c:f>
              <c:numCache>
                <c:formatCode>0.00E+00</c:formatCode>
                <c:ptCount val="10"/>
                <c:pt idx="0">
                  <c:v>2.9652197760109964E-5</c:v>
                </c:pt>
                <c:pt idx="1">
                  <c:v>7.0734511678239686E-5</c:v>
                </c:pt>
                <c:pt idx="2">
                  <c:v>7.0734511678239686E-5</c:v>
                </c:pt>
                <c:pt idx="3">
                  <c:v>7.0734511678239686E-5</c:v>
                </c:pt>
                <c:pt idx="4">
                  <c:v>7.0734511678239686E-5</c:v>
                </c:pt>
                <c:pt idx="5" formatCode="General">
                  <c:v>0</c:v>
                </c:pt>
                <c:pt idx="6">
                  <c:v>7.0734511678239686E-5</c:v>
                </c:pt>
                <c:pt idx="7">
                  <c:v>7.0734511678239686E-5</c:v>
                </c:pt>
                <c:pt idx="8">
                  <c:v>7.0734511678239686E-5</c:v>
                </c:pt>
                <c:pt idx="9">
                  <c:v>7.0734511678239686E-5</c:v>
                </c:pt>
              </c:numCache>
            </c:numRef>
          </c:val>
          <c:extLst>
            <c:ext xmlns:c16="http://schemas.microsoft.com/office/drawing/2014/chart" uri="{C3380CC4-5D6E-409C-BE32-E72D297353CC}">
              <c16:uniqueId val="{00000005-AC6F-455C-AF10-DE9805C4FD60}"/>
            </c:ext>
          </c:extLst>
        </c:ser>
        <c:ser>
          <c:idx val="6"/>
          <c:order val="6"/>
          <c:tx>
            <c:strRef>
              <c:f>IECCpUAEU!$A$8</c:f>
              <c:strCache>
                <c:ptCount val="1"/>
                <c:pt idx="0">
                  <c:v>electrochemical</c:v>
                </c:pt>
              </c:strCache>
            </c:strRef>
          </c:tx>
          <c:spPr>
            <a:solidFill>
              <a:schemeClr val="accent1">
                <a:lumMod val="60000"/>
              </a:schemeClr>
            </a:solidFill>
            <a:ln>
              <a:noFill/>
            </a:ln>
            <a:effectLst/>
          </c:spPr>
          <c:invertIfNegative val="0"/>
          <c:cat>
            <c:strRef>
              <c:f>IECCpUAEU!$B$1:$K$1</c:f>
              <c:strCache>
                <c:ptCount val="10"/>
                <c:pt idx="0">
                  <c:v>electricity if</c:v>
                </c:pt>
                <c:pt idx="1">
                  <c:v>hard coal if</c:v>
                </c:pt>
                <c:pt idx="2">
                  <c:v>natural gas if</c:v>
                </c:pt>
                <c:pt idx="3">
                  <c:v>biomass if</c:v>
                </c:pt>
                <c:pt idx="4">
                  <c:v>petroleum diesel if</c:v>
                </c:pt>
                <c:pt idx="5">
                  <c:v>heat if</c:v>
                </c:pt>
                <c:pt idx="6">
                  <c:v>crude oil if</c:v>
                </c:pt>
                <c:pt idx="7">
                  <c:v>heavy or residual fuel oil if</c:v>
                </c:pt>
                <c:pt idx="8">
                  <c:v>LPG propane or butane if</c:v>
                </c:pt>
                <c:pt idx="9">
                  <c:v>hydrogen if</c:v>
                </c:pt>
              </c:strCache>
            </c:strRef>
          </c:cat>
          <c:val>
            <c:numRef>
              <c:f>IECCpUAEU!$B$8:$K$8</c:f>
              <c:numCache>
                <c:formatCode>General</c:formatCode>
                <c:ptCount val="10"/>
                <c:pt idx="0" formatCode="0.00E+00">
                  <c:v>4.4539618429716232E-5</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6-AC6F-455C-AF10-DE9805C4FD60}"/>
            </c:ext>
          </c:extLst>
        </c:ser>
        <c:ser>
          <c:idx val="7"/>
          <c:order val="7"/>
          <c:tx>
            <c:strRef>
              <c:f>IECCpUAEU!$A$9</c:f>
              <c:strCache>
                <c:ptCount val="1"/>
                <c:pt idx="0">
                  <c:v>other processes</c:v>
                </c:pt>
              </c:strCache>
            </c:strRef>
          </c:tx>
          <c:spPr>
            <a:solidFill>
              <a:schemeClr val="accent2">
                <a:lumMod val="60000"/>
              </a:schemeClr>
            </a:solidFill>
            <a:ln>
              <a:noFill/>
            </a:ln>
            <a:effectLst/>
          </c:spPr>
          <c:invertIfNegative val="0"/>
          <c:cat>
            <c:strRef>
              <c:f>IECCpUAEU!$B$1:$K$1</c:f>
              <c:strCache>
                <c:ptCount val="10"/>
                <c:pt idx="0">
                  <c:v>electricity if</c:v>
                </c:pt>
                <c:pt idx="1">
                  <c:v>hard coal if</c:v>
                </c:pt>
                <c:pt idx="2">
                  <c:v>natural gas if</c:v>
                </c:pt>
                <c:pt idx="3">
                  <c:v>biomass if</c:v>
                </c:pt>
                <c:pt idx="4">
                  <c:v>petroleum diesel if</c:v>
                </c:pt>
                <c:pt idx="5">
                  <c:v>heat if</c:v>
                </c:pt>
                <c:pt idx="6">
                  <c:v>crude oil if</c:v>
                </c:pt>
                <c:pt idx="7">
                  <c:v>heavy or residual fuel oil if</c:v>
                </c:pt>
                <c:pt idx="8">
                  <c:v>LPG propane or butane if</c:v>
                </c:pt>
                <c:pt idx="9">
                  <c:v>hydrogen if</c:v>
                </c:pt>
              </c:strCache>
            </c:strRef>
          </c:cat>
          <c:val>
            <c:numRef>
              <c:f>IECCpUAEU!$B$9:$K$9</c:f>
              <c:numCache>
                <c:formatCode>0.00E+00</c:formatCode>
                <c:ptCount val="10"/>
                <c:pt idx="0">
                  <c:v>7.0401933942914745E-6</c:v>
                </c:pt>
                <c:pt idx="1">
                  <c:v>2.0886792055175448E-5</c:v>
                </c:pt>
                <c:pt idx="2">
                  <c:v>2.2284525195577483E-5</c:v>
                </c:pt>
                <c:pt idx="3">
                  <c:v>2.0886792055175448E-5</c:v>
                </c:pt>
                <c:pt idx="4">
                  <c:v>1.3150943145851209E-5</c:v>
                </c:pt>
                <c:pt idx="5" formatCode="General">
                  <c:v>0</c:v>
                </c:pt>
                <c:pt idx="6">
                  <c:v>1.3150943145851209E-5</c:v>
                </c:pt>
                <c:pt idx="7">
                  <c:v>1.3150943145851209E-5</c:v>
                </c:pt>
                <c:pt idx="8">
                  <c:v>1.3150943145851209E-5</c:v>
                </c:pt>
                <c:pt idx="9">
                  <c:v>3.3426787793366228E-5</c:v>
                </c:pt>
              </c:numCache>
            </c:numRef>
          </c:val>
          <c:extLst>
            <c:ext xmlns:c16="http://schemas.microsoft.com/office/drawing/2014/chart" uri="{C3380CC4-5D6E-409C-BE32-E72D297353CC}">
              <c16:uniqueId val="{00000007-AC6F-455C-AF10-DE9805C4FD60}"/>
            </c:ext>
          </c:extLst>
        </c:ser>
        <c:dLbls>
          <c:showLegendKey val="0"/>
          <c:showVal val="0"/>
          <c:showCatName val="0"/>
          <c:showSerName val="0"/>
          <c:showPercent val="0"/>
          <c:showBubbleSize val="0"/>
        </c:dLbls>
        <c:gapWidth val="219"/>
        <c:overlap val="-27"/>
        <c:axId val="1076970720"/>
        <c:axId val="1076972160"/>
      </c:barChart>
      <c:catAx>
        <c:axId val="107697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076972160"/>
        <c:crosses val="autoZero"/>
        <c:auto val="1"/>
        <c:lblAlgn val="ctr"/>
        <c:lblOffset val="100"/>
        <c:noMultiLvlLbl val="0"/>
      </c:catAx>
      <c:valAx>
        <c:axId val="107697216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076970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582930</xdr:colOff>
      <xdr:row>117</xdr:row>
      <xdr:rowOff>99060</xdr:rowOff>
    </xdr:from>
    <xdr:to>
      <xdr:col>20</xdr:col>
      <xdr:colOff>192405</xdr:colOff>
      <xdr:row>130</xdr:row>
      <xdr:rowOff>167640</xdr:rowOff>
    </xdr:to>
    <xdr:pic>
      <xdr:nvPicPr>
        <xdr:cNvPr id="5" name="Picture 4">
          <a:extLst>
            <a:ext uri="{FF2B5EF4-FFF2-40B4-BE49-F238E27FC236}">
              <a16:creationId xmlns:a16="http://schemas.microsoft.com/office/drawing/2014/main" id="{B8D8A9BC-1347-1F10-1397-4A45F58C40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26805" y="22006560"/>
          <a:ext cx="8143875" cy="2545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548640</xdr:colOff>
      <xdr:row>117</xdr:row>
      <xdr:rowOff>45720</xdr:rowOff>
    </xdr:from>
    <xdr:to>
      <xdr:col>6</xdr:col>
      <xdr:colOff>185146</xdr:colOff>
      <xdr:row>130</xdr:row>
      <xdr:rowOff>91440</xdr:rowOff>
    </xdr:to>
    <xdr:pic>
      <xdr:nvPicPr>
        <xdr:cNvPr id="2" name="Picture 1">
          <a:extLst>
            <a:ext uri="{FF2B5EF4-FFF2-40B4-BE49-F238E27FC236}">
              <a16:creationId xmlns:a16="http://schemas.microsoft.com/office/drawing/2014/main" id="{C91347AF-CFB1-2100-496E-C236D3AEE0E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8640" y="22539960"/>
          <a:ext cx="7927066" cy="2423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4762</xdr:colOff>
      <xdr:row>14</xdr:row>
      <xdr:rowOff>14286</xdr:rowOff>
    </xdr:from>
    <xdr:to>
      <xdr:col>11</xdr:col>
      <xdr:colOff>581025</xdr:colOff>
      <xdr:row>38</xdr:row>
      <xdr:rowOff>190499</xdr:rowOff>
    </xdr:to>
    <xdr:graphicFrame macro="">
      <xdr:nvGraphicFramePr>
        <xdr:cNvPr id="2" name="Chart 1">
          <a:extLst>
            <a:ext uri="{FF2B5EF4-FFF2-40B4-BE49-F238E27FC236}">
              <a16:creationId xmlns:a16="http://schemas.microsoft.com/office/drawing/2014/main" id="{27BFA2FA-DB13-925C-2E8E-221F7BFBE2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Nik Anil Sawe" id="{04DE444D-9D1B-4089-AFE5-A6D692FB4808}" userId="S::sawe@stanford.edu::1fed2c22-145d-47f5-8d2a-b4e45e4e3b0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B18" dT="2025-01-03T22:48:32.17" personId="{04DE444D-9D1B-4089-AFE5-A6D692FB4808}" id="{D998E602-6977-404A-8516-5F3163F500FA}">
    <text>Left as original database, but I think it should be (small) not large, otherwise no difference in this and the next</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www.diw.de/documents/publikationen/73/diw_01.c.901039.de/dp2082.pdf" TargetMode="External"/><Relationship Id="rId13" Type="http://schemas.openxmlformats.org/officeDocument/2006/relationships/hyperlink" Target="https://www.energy.gov/sites/prod/files/2016/06/f32/DOE-BTO%20Comml%20Appl%20Report%20-%20Full%20Report_0.pdf" TargetMode="External"/><Relationship Id="rId3" Type="http://schemas.openxmlformats.org/officeDocument/2006/relationships/hyperlink" Target="https://assessccus.globalco2initiative.org/wp-content/uploads/Capital-Equipment-Cost-Database.xlsx" TargetMode="External"/><Relationship Id="rId7" Type="http://schemas.openxmlformats.org/officeDocument/2006/relationships/hyperlink" Target="https://www.sciencedirect.com/science/article/abs/pii/S0016236123020239" TargetMode="External"/><Relationship Id="rId12" Type="http://schemas.openxmlformats.org/officeDocument/2006/relationships/hyperlink" Target="https://www.cement.heidelbergmaterials.se/sites/default/files/assets/document/65/de/final_cemzero_2018_public_version_2.0.pdf.pdf" TargetMode="External"/><Relationship Id="rId17" Type="http://schemas.openxmlformats.org/officeDocument/2006/relationships/drawing" Target="../drawings/drawing1.xml"/><Relationship Id="rId2" Type="http://schemas.openxmlformats.org/officeDocument/2006/relationships/hyperlink" Target="https://www.globalco2initiative.org/" TargetMode="External"/><Relationship Id="rId16" Type="http://schemas.openxmlformats.org/officeDocument/2006/relationships/hyperlink" Target="https://www.researchgate.net/publication/330875028_Techno-economic_analysis_of_calcium_looping_processes_for_low_CO_2_emission_cement_plants" TargetMode="External"/><Relationship Id="rId1" Type="http://schemas.openxmlformats.org/officeDocument/2006/relationships/hyperlink" Target="https://climate.emerson.com/documents/vilter-heat-pump-white-paper-en-us-5411194.pdf" TargetMode="External"/><Relationship Id="rId6" Type="http://schemas.openxmlformats.org/officeDocument/2006/relationships/hyperlink" Target="https://liftoff.energy.gov/wp-content/uploads/2023/05/20230320-Liftoff-Clean-H2-vPUB-0329-update.pdf" TargetMode="External"/><Relationship Id="rId11" Type="http://schemas.openxmlformats.org/officeDocument/2006/relationships/hyperlink" Target="https://www.glass-ts.com/site/assets/files/1015/2004_-_a_study_of_the_balance_between_furnace_operating_parameters_and_recycled_glass_in_glass_melting_furnaces.pdf" TargetMode="External"/><Relationship Id="rId5" Type="http://schemas.openxmlformats.org/officeDocument/2006/relationships/hyperlink" Target="https://www.energy.gov/sites/prod/files/2014/04/f15/mtrmkt.pdf" TargetMode="External"/><Relationship Id="rId15" Type="http://schemas.openxmlformats.org/officeDocument/2006/relationships/hyperlink" Target="https://www.michigan.gov/-/media/Project/Websites/treasury/VOL/Vol236UIP12MiscellaneousIndustrialCosts.pdf?rev=b2a14a143c11493e8d0a30587afaa282" TargetMode="External"/><Relationship Id="rId10" Type="http://schemas.openxmlformats.org/officeDocument/2006/relationships/hyperlink" Target="https://www.energy-transitions.org/wp-content/uploads/2023/03/Unlocking-the-First-Wave-of-Breakthrough-Steel-Investments-in-France-March-2022.pdf" TargetMode="External"/><Relationship Id="rId4" Type="http://schemas.openxmlformats.org/officeDocument/2006/relationships/hyperlink" Target="https://onlinelibrary.wiley.com/doi/pdf/10.1002/9783527611119.app4" TargetMode="External"/><Relationship Id="rId9" Type="http://schemas.openxmlformats.org/officeDocument/2006/relationships/hyperlink" Target="https://pubs.acs.org/doi/10.1021/acs.iecr.4c02665" TargetMode="External"/><Relationship Id="rId14" Type="http://schemas.openxmlformats.org/officeDocument/2006/relationships/hyperlink" Target="https://www.osti.gov/servlets/purl/1077001"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cement.heidelbergmaterials.se/sites/default/files/assets/document/65/de/final_cemzero_2018_public_version_2.0.pdf.pdf" TargetMode="External"/><Relationship Id="rId3" Type="http://schemas.openxmlformats.org/officeDocument/2006/relationships/hyperlink" Target="https://pubs.acs.org/doi/10.1021/acs.iecr.4c02665" TargetMode="External"/><Relationship Id="rId7" Type="http://schemas.openxmlformats.org/officeDocument/2006/relationships/hyperlink" Target="https://www.sciencedirect.com/science/article/pii/S0959652618326301" TargetMode="External"/><Relationship Id="rId12" Type="http://schemas.openxmlformats.org/officeDocument/2006/relationships/hyperlink" Target="https://www.researchgate.net/publication/330875028_Techno-economic_analysis_of_calcium_looping_processes_for_low_CO_2_emission_cement_plants" TargetMode="External"/><Relationship Id="rId2" Type="http://schemas.openxmlformats.org/officeDocument/2006/relationships/hyperlink" Target="https://www.diw.de/documents/publikationen/73/diw_01.c.901039.de/dp2082.pdf" TargetMode="External"/><Relationship Id="rId1" Type="http://schemas.openxmlformats.org/officeDocument/2006/relationships/hyperlink" Target="https://www.energy-transitions.org/wp-content/uploads/2023/03/Unlocking-the-First-Wave-of-Breakthrough-Steel-Investments-in-France-March-2022.pdf" TargetMode="External"/><Relationship Id="rId6" Type="http://schemas.openxmlformats.org/officeDocument/2006/relationships/hyperlink" Target="https://onlinelibrary.wiley.com/doi/epdf/10.1002/srin.202000110" TargetMode="External"/><Relationship Id="rId11" Type="http://schemas.openxmlformats.org/officeDocument/2006/relationships/hyperlink" Target="https://www.wri.org/insights/lower-carbon-blended-cement" TargetMode="External"/><Relationship Id="rId5" Type="http://schemas.openxmlformats.org/officeDocument/2006/relationships/hyperlink" Target="https:/www.glass-ts.com/site/assets/files/1015/2004_-_a_study_of_the_balance_between_furnace_operating_parameters_and_recycled_glass_in_glass_melting_furnaces.pdf" TargetMode="External"/><Relationship Id="rId10" Type="http://schemas.openxmlformats.org/officeDocument/2006/relationships/hyperlink" Target="\Users\sonalideshpande\Library\Containers\com.microsoft.Outlook\Data\tmp\Outlook%20Temp\How%20much%20does%20it%20cost%20to%20build%20a%20rotary%20kiln%20with%20a%20daily%20output%20of%20600%20tons" TargetMode="External"/><Relationship Id="rId4" Type="http://schemas.openxmlformats.org/officeDocument/2006/relationships/hyperlink" Target="https:/www.glass-ts.com/site/assets/files/1015/2004_-_a_study_of_the_balance_between_furnace_operating_parameters_and_recycled_glass_in_glass_melting_furnaces.pdf" TargetMode="External"/><Relationship Id="rId9" Type="http://schemas.openxmlformats.org/officeDocument/2006/relationships/hyperlink" Target="\Users\sonalideshpande\Library\Containers\com.microsoft.Outlook\Data\tmp\Outlook%20Temp\How%20much%20does%20it%20cost%20to%20build%20a%20rotary%20kiln%20with%20a%20daily%20output%20of%20600%20tons"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epa.gov/general-conformity/general-conformity-training-modules-appendix-sample-emissions-calculations" TargetMode="External"/><Relationship Id="rId2" Type="http://schemas.openxmlformats.org/officeDocument/2006/relationships/hyperlink" Target="https://www.epa.gov/general-conformity/general-conformity-training-modules-appendix-sample-emissions-calculations" TargetMode="External"/><Relationship Id="rId1" Type="http://schemas.openxmlformats.org/officeDocument/2006/relationships/hyperlink" Target="https://www.rockefellerfoundation.org/wp-content/uploads/2020/12/EE-Download-Opportunity-Datasheet-Detailed-Cost-Models-and-Benchmarks.pdf"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hyperlink" Target="https://www.shadowindustrial.co.uk/shadow-18kw-industrial-infrared-heater-with-variable-control-system-1641371.html"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CA314-6128-4FC9-9CED-BF85AF9DB226}">
  <dimension ref="A1:B138"/>
  <sheetViews>
    <sheetView workbookViewId="0"/>
  </sheetViews>
  <sheetFormatPr defaultColWidth="8.85546875" defaultRowHeight="15" x14ac:dyDescent="0.25"/>
  <cols>
    <col min="2" max="2" width="76.42578125" customWidth="1"/>
  </cols>
  <sheetData>
    <row r="1" spans="1:2" x14ac:dyDescent="0.25">
      <c r="A1" s="1" t="s">
        <v>400</v>
      </c>
    </row>
    <row r="3" spans="1:2" x14ac:dyDescent="0.25">
      <c r="A3" s="1" t="s">
        <v>0</v>
      </c>
      <c r="B3" s="16" t="s">
        <v>31</v>
      </c>
    </row>
    <row r="4" spans="1:2" x14ac:dyDescent="0.25">
      <c r="B4" t="s">
        <v>28</v>
      </c>
    </row>
    <row r="5" spans="1:2" x14ac:dyDescent="0.25">
      <c r="B5" s="13">
        <v>2011</v>
      </c>
    </row>
    <row r="6" spans="1:2" x14ac:dyDescent="0.25">
      <c r="B6" s="14" t="s">
        <v>29</v>
      </c>
    </row>
    <row r="7" spans="1:2" x14ac:dyDescent="0.25">
      <c r="B7" s="15" t="s">
        <v>30</v>
      </c>
    </row>
    <row r="9" spans="1:2" x14ac:dyDescent="0.25">
      <c r="B9" s="16" t="s">
        <v>32</v>
      </c>
    </row>
    <row r="10" spans="1:2" x14ac:dyDescent="0.25">
      <c r="B10" t="s">
        <v>35</v>
      </c>
    </row>
    <row r="11" spans="1:2" x14ac:dyDescent="0.25">
      <c r="B11" s="13">
        <v>2018</v>
      </c>
    </row>
    <row r="12" spans="1:2" x14ac:dyDescent="0.25">
      <c r="B12" t="s">
        <v>36</v>
      </c>
    </row>
    <row r="13" spans="1:2" x14ac:dyDescent="0.25">
      <c r="B13" t="s">
        <v>37</v>
      </c>
    </row>
    <row r="14" spans="1:2" x14ac:dyDescent="0.25">
      <c r="B14" t="s">
        <v>38</v>
      </c>
    </row>
    <row r="16" spans="1:2" x14ac:dyDescent="0.25">
      <c r="B16" s="16" t="s">
        <v>47</v>
      </c>
    </row>
    <row r="17" spans="2:2" x14ac:dyDescent="0.25">
      <c r="B17" t="s">
        <v>304</v>
      </c>
    </row>
    <row r="18" spans="2:2" x14ac:dyDescent="0.25">
      <c r="B18" s="13">
        <v>2003</v>
      </c>
    </row>
    <row r="19" spans="2:2" x14ac:dyDescent="0.25">
      <c r="B19" t="s">
        <v>305</v>
      </c>
    </row>
    <row r="20" spans="2:2" x14ac:dyDescent="0.25">
      <c r="B20" s="15" t="s">
        <v>306</v>
      </c>
    </row>
    <row r="21" spans="2:2" x14ac:dyDescent="0.25">
      <c r="B21" t="s">
        <v>307</v>
      </c>
    </row>
    <row r="23" spans="2:2" x14ac:dyDescent="0.25">
      <c r="B23" s="16" t="s">
        <v>61</v>
      </c>
    </row>
    <row r="24" spans="2:2" x14ac:dyDescent="0.25">
      <c r="B24" t="s">
        <v>62</v>
      </c>
    </row>
    <row r="25" spans="2:2" x14ac:dyDescent="0.25">
      <c r="B25" s="13">
        <v>2016</v>
      </c>
    </row>
    <row r="26" spans="2:2" x14ac:dyDescent="0.25">
      <c r="B26" t="s">
        <v>64</v>
      </c>
    </row>
    <row r="27" spans="2:2" x14ac:dyDescent="0.25">
      <c r="B27" t="s">
        <v>63</v>
      </c>
    </row>
    <row r="29" spans="2:2" x14ac:dyDescent="0.25">
      <c r="B29" s="16" t="s">
        <v>70</v>
      </c>
    </row>
    <row r="30" spans="2:2" x14ac:dyDescent="0.25">
      <c r="B30" t="s">
        <v>71</v>
      </c>
    </row>
    <row r="31" spans="2:2" x14ac:dyDescent="0.25">
      <c r="B31" t="s">
        <v>72</v>
      </c>
    </row>
    <row r="32" spans="2:2" x14ac:dyDescent="0.25">
      <c r="B32" s="14">
        <v>2020</v>
      </c>
    </row>
    <row r="33" spans="2:2" x14ac:dyDescent="0.25">
      <c r="B33" s="15" t="s">
        <v>73</v>
      </c>
    </row>
    <row r="35" spans="2:2" x14ac:dyDescent="0.25">
      <c r="B35" s="16" t="s">
        <v>100</v>
      </c>
    </row>
    <row r="36" spans="2:2" x14ac:dyDescent="0.25">
      <c r="B36" t="s">
        <v>101</v>
      </c>
    </row>
    <row r="37" spans="2:2" x14ac:dyDescent="0.25">
      <c r="B37" t="s">
        <v>102</v>
      </c>
    </row>
    <row r="38" spans="2:2" x14ac:dyDescent="0.25">
      <c r="B38" t="s">
        <v>104</v>
      </c>
    </row>
    <row r="39" spans="2:2" x14ac:dyDescent="0.25">
      <c r="B39" t="s">
        <v>103</v>
      </c>
    </row>
    <row r="41" spans="2:2" x14ac:dyDescent="0.25">
      <c r="B41" s="16" t="s">
        <v>120</v>
      </c>
    </row>
    <row r="42" spans="2:2" x14ac:dyDescent="0.25">
      <c r="B42" t="s">
        <v>123</v>
      </c>
    </row>
    <row r="43" spans="2:2" x14ac:dyDescent="0.25">
      <c r="B43" t="s">
        <v>102</v>
      </c>
    </row>
    <row r="44" spans="2:2" x14ac:dyDescent="0.25">
      <c r="B44" t="s">
        <v>121</v>
      </c>
    </row>
    <row r="45" spans="2:2" x14ac:dyDescent="0.25">
      <c r="B45" t="s">
        <v>122</v>
      </c>
    </row>
    <row r="47" spans="2:2" x14ac:dyDescent="0.25">
      <c r="B47" s="16" t="s">
        <v>283</v>
      </c>
    </row>
    <row r="48" spans="2:2" x14ac:dyDescent="0.25">
      <c r="B48" t="s">
        <v>269</v>
      </c>
    </row>
    <row r="49" spans="2:2" x14ac:dyDescent="0.25">
      <c r="B49" s="38">
        <v>2016</v>
      </c>
    </row>
    <row r="50" spans="2:2" x14ac:dyDescent="0.25">
      <c r="B50" t="s">
        <v>270</v>
      </c>
    </row>
    <row r="51" spans="2:2" x14ac:dyDescent="0.25">
      <c r="B51" s="15" t="s">
        <v>271</v>
      </c>
    </row>
    <row r="53" spans="2:2" x14ac:dyDescent="0.25">
      <c r="B53" s="16" t="s">
        <v>272</v>
      </c>
    </row>
    <row r="54" spans="2:2" x14ac:dyDescent="0.25">
      <c r="B54" t="s">
        <v>273</v>
      </c>
    </row>
    <row r="55" spans="2:2" x14ac:dyDescent="0.25">
      <c r="B55" s="38">
        <v>2013</v>
      </c>
    </row>
    <row r="56" spans="2:2" x14ac:dyDescent="0.25">
      <c r="B56" t="s">
        <v>274</v>
      </c>
    </row>
    <row r="57" spans="2:2" x14ac:dyDescent="0.25">
      <c r="B57" s="15" t="s">
        <v>275</v>
      </c>
    </row>
    <row r="59" spans="2:2" x14ac:dyDescent="0.25">
      <c r="B59" s="16" t="s">
        <v>218</v>
      </c>
    </row>
    <row r="60" spans="2:2" x14ac:dyDescent="0.25">
      <c r="B60" s="1" t="s">
        <v>229</v>
      </c>
    </row>
    <row r="61" spans="2:2" x14ac:dyDescent="0.25">
      <c r="B61" t="s">
        <v>219</v>
      </c>
    </row>
    <row r="62" spans="2:2" x14ac:dyDescent="0.25">
      <c r="B62" t="s">
        <v>220</v>
      </c>
    </row>
    <row r="63" spans="2:2" x14ac:dyDescent="0.25">
      <c r="B63" s="13">
        <v>2024</v>
      </c>
    </row>
    <row r="64" spans="2:2" ht="30" x14ac:dyDescent="0.25">
      <c r="B64" s="3" t="s">
        <v>221</v>
      </c>
    </row>
    <row r="65" spans="2:2" x14ac:dyDescent="0.25">
      <c r="B65" s="35" t="s">
        <v>222</v>
      </c>
    </row>
    <row r="66" spans="2:2" x14ac:dyDescent="0.25">
      <c r="B66" s="35"/>
    </row>
    <row r="67" spans="2:2" x14ac:dyDescent="0.25">
      <c r="B67" t="s">
        <v>192</v>
      </c>
    </row>
    <row r="68" spans="2:2" x14ac:dyDescent="0.25">
      <c r="B68" t="s">
        <v>204</v>
      </c>
    </row>
    <row r="69" spans="2:2" x14ac:dyDescent="0.25">
      <c r="B69" s="13">
        <v>2024</v>
      </c>
    </row>
    <row r="70" spans="2:2" ht="30" x14ac:dyDescent="0.25">
      <c r="B70" s="3" t="s">
        <v>223</v>
      </c>
    </row>
    <row r="71" spans="2:2" x14ac:dyDescent="0.25">
      <c r="B71" s="3" t="s">
        <v>224</v>
      </c>
    </row>
    <row r="72" spans="2:2" x14ac:dyDescent="0.25">
      <c r="B72" s="35" t="s">
        <v>225</v>
      </c>
    </row>
    <row r="73" spans="2:2" x14ac:dyDescent="0.25">
      <c r="B73" s="3"/>
    </row>
    <row r="74" spans="2:2" x14ac:dyDescent="0.25">
      <c r="B74" s="3" t="s">
        <v>226</v>
      </c>
    </row>
    <row r="75" spans="2:2" x14ac:dyDescent="0.25">
      <c r="B75" s="3" t="s">
        <v>207</v>
      </c>
    </row>
    <row r="76" spans="2:2" x14ac:dyDescent="0.25">
      <c r="B76" s="36">
        <v>44621</v>
      </c>
    </row>
    <row r="77" spans="2:2" x14ac:dyDescent="0.25">
      <c r="B77" s="36" t="s">
        <v>227</v>
      </c>
    </row>
    <row r="78" spans="2:2" ht="30" x14ac:dyDescent="0.25">
      <c r="B78" s="37" t="s">
        <v>228</v>
      </c>
    </row>
    <row r="79" spans="2:2" x14ac:dyDescent="0.25">
      <c r="B79" s="37"/>
    </row>
    <row r="80" spans="2:2" x14ac:dyDescent="0.25">
      <c r="B80" s="1" t="s">
        <v>243</v>
      </c>
    </row>
    <row r="81" spans="2:2" x14ac:dyDescent="0.25">
      <c r="B81" t="s">
        <v>244</v>
      </c>
    </row>
    <row r="82" spans="2:2" x14ac:dyDescent="0.25">
      <c r="B82" s="13">
        <v>2018</v>
      </c>
    </row>
    <row r="83" spans="2:2" x14ac:dyDescent="0.25">
      <c r="B83" s="15" t="s">
        <v>245</v>
      </c>
    </row>
    <row r="84" spans="2:2" x14ac:dyDescent="0.25">
      <c r="B84" s="15"/>
    </row>
    <row r="85" spans="2:2" x14ac:dyDescent="0.25">
      <c r="B85" t="s">
        <v>266</v>
      </c>
    </row>
    <row r="86" spans="2:2" x14ac:dyDescent="0.25">
      <c r="B86" s="13">
        <v>2024</v>
      </c>
    </row>
    <row r="87" spans="2:2" x14ac:dyDescent="0.25">
      <c r="B87" t="s">
        <v>267</v>
      </c>
    </row>
    <row r="88" spans="2:2" x14ac:dyDescent="0.25">
      <c r="B88" t="s">
        <v>268</v>
      </c>
    </row>
    <row r="90" spans="2:2" x14ac:dyDescent="0.25">
      <c r="B90" s="1" t="s">
        <v>330</v>
      </c>
    </row>
    <row r="91" spans="2:2" x14ac:dyDescent="0.25">
      <c r="B91" t="s">
        <v>331</v>
      </c>
    </row>
    <row r="92" spans="2:2" x14ac:dyDescent="0.25">
      <c r="B92" s="13">
        <v>2019</v>
      </c>
    </row>
    <row r="93" spans="2:2" x14ac:dyDescent="0.25">
      <c r="B93" t="s">
        <v>332</v>
      </c>
    </row>
    <row r="94" spans="2:2" x14ac:dyDescent="0.25">
      <c r="B94" s="15" t="s">
        <v>327</v>
      </c>
    </row>
    <row r="95" spans="2:2" x14ac:dyDescent="0.25">
      <c r="B95" t="s">
        <v>333</v>
      </c>
    </row>
    <row r="98" spans="2:2" x14ac:dyDescent="0.25">
      <c r="B98" s="31" t="s">
        <v>230</v>
      </c>
    </row>
    <row r="99" spans="2:2" x14ac:dyDescent="0.25">
      <c r="B99" s="36" t="s">
        <v>231</v>
      </c>
    </row>
    <row r="100" spans="2:2" x14ac:dyDescent="0.25">
      <c r="B100" s="36">
        <v>38231</v>
      </c>
    </row>
    <row r="101" spans="2:2" ht="30" x14ac:dyDescent="0.25">
      <c r="B101" s="36" t="s">
        <v>232</v>
      </c>
    </row>
    <row r="102" spans="2:2" ht="45" x14ac:dyDescent="0.25">
      <c r="B102" s="37" t="s">
        <v>233</v>
      </c>
    </row>
    <row r="103" spans="2:2" x14ac:dyDescent="0.25">
      <c r="B103" s="36"/>
    </row>
    <row r="104" spans="2:2" x14ac:dyDescent="0.25">
      <c r="B104" s="16" t="s">
        <v>335</v>
      </c>
    </row>
    <row r="105" spans="2:2" x14ac:dyDescent="0.25">
      <c r="B105" s="15" t="s">
        <v>147</v>
      </c>
    </row>
    <row r="106" spans="2:2" x14ac:dyDescent="0.25">
      <c r="B106" s="15" t="s">
        <v>148</v>
      </c>
    </row>
    <row r="107" spans="2:2" x14ac:dyDescent="0.25">
      <c r="B107" t="s">
        <v>152</v>
      </c>
    </row>
    <row r="109" spans="2:2" x14ac:dyDescent="0.25">
      <c r="B109" t="s">
        <v>149</v>
      </c>
    </row>
    <row r="110" spans="2:2" x14ac:dyDescent="0.25">
      <c r="B110" t="s">
        <v>150</v>
      </c>
    </row>
    <row r="111" spans="2:2" x14ac:dyDescent="0.25">
      <c r="B111" s="13">
        <v>2007</v>
      </c>
    </row>
    <row r="112" spans="2:2" x14ac:dyDescent="0.25">
      <c r="B112" s="15" t="s">
        <v>151</v>
      </c>
    </row>
    <row r="114" spans="2:2" x14ac:dyDescent="0.25">
      <c r="B114" t="s">
        <v>387</v>
      </c>
    </row>
    <row r="115" spans="2:2" x14ac:dyDescent="0.25">
      <c r="B115" t="s">
        <v>156</v>
      </c>
    </row>
    <row r="116" spans="2:2" x14ac:dyDescent="0.25">
      <c r="B116" t="s">
        <v>155</v>
      </c>
    </row>
    <row r="117" spans="2:2" x14ac:dyDescent="0.25">
      <c r="B117" s="15" t="s">
        <v>157</v>
      </c>
    </row>
    <row r="134" spans="2:2" x14ac:dyDescent="0.25">
      <c r="B134" s="16" t="s">
        <v>184</v>
      </c>
    </row>
    <row r="135" spans="2:2" x14ac:dyDescent="0.25">
      <c r="B135" s="15" t="s">
        <v>185</v>
      </c>
    </row>
    <row r="137" spans="2:2" x14ac:dyDescent="0.25">
      <c r="B137" t="s">
        <v>187</v>
      </c>
    </row>
    <row r="138" spans="2:2" x14ac:dyDescent="0.25">
      <c r="B138" s="15" t="s">
        <v>186</v>
      </c>
    </row>
  </sheetData>
  <hyperlinks>
    <hyperlink ref="B7" r:id="rId1" xr:uid="{C08BA00C-5E72-42AD-BB8F-655D467C5298}"/>
    <hyperlink ref="B105" r:id="rId2" xr:uid="{810625CC-59B0-4E09-BD8A-7942EF52112A}"/>
    <hyperlink ref="B106" r:id="rId3" xr:uid="{DE5DC99A-D169-4E5D-98F4-A0C74D220DA2}"/>
    <hyperlink ref="B112" r:id="rId4" xr:uid="{EC39133E-2B1E-4926-9BAB-A0BC92F6703D}"/>
    <hyperlink ref="B117" r:id="rId5" xr:uid="{5CBB2DBF-381E-4F40-8899-29D4B5FC9B35}"/>
    <hyperlink ref="B135" r:id="rId6" display="Data from the DOE's Pathways to Commercial Liftoff: Clean Hydrogen (p.13, p.88)" xr:uid="{451B96CC-C781-4216-8C03-8132EE3013B2}"/>
    <hyperlink ref="B138" r:id="rId7" xr:uid="{8276223D-26B3-43EA-A781-2BDC0C41D374}"/>
    <hyperlink ref="B65" r:id="rId8" xr:uid="{C723E247-B6C1-46C7-B576-CF146861E8AC}"/>
    <hyperlink ref="B72" r:id="rId9" xr:uid="{BA83290A-C082-4AAB-AFC4-39DE2DEA36E6}"/>
    <hyperlink ref="B78" r:id="rId10" xr:uid="{437DE8DA-77A2-48D0-8792-6CEB29629218}"/>
    <hyperlink ref="B102" r:id="rId11" xr:uid="{8C5AD67E-D9AA-4BD2-BE55-FC759DD68FCE}"/>
    <hyperlink ref="B83" r:id="rId12" xr:uid="{D30485F8-6CEE-4196-A36A-BE4A2803E3DD}"/>
    <hyperlink ref="B51" r:id="rId13" xr:uid="{07F897CB-7353-674E-92F0-010511F2EA56}"/>
    <hyperlink ref="B57" r:id="rId14" xr:uid="{D0781D44-31AC-BC44-B7B2-E83275B62102}"/>
    <hyperlink ref="B20" r:id="rId15" xr:uid="{27F2C98F-DA26-4901-A0EB-6AC6A38F1C0C}"/>
    <hyperlink ref="B94" r:id="rId16" xr:uid="{561EFB21-D77A-400A-A718-A022D22539BB}"/>
  </hyperlinks>
  <pageMargins left="0.7" right="0.7" top="0.75" bottom="0.75" header="0.3" footer="0.3"/>
  <drawing r:id="rId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C19FD-7E25-465C-BF9B-84ECCFD8C3AD}">
  <dimension ref="A1:G60"/>
  <sheetViews>
    <sheetView workbookViewId="0"/>
  </sheetViews>
  <sheetFormatPr defaultColWidth="8.85546875" defaultRowHeight="15" x14ac:dyDescent="0.25"/>
  <cols>
    <col min="1" max="1" width="30.42578125" customWidth="1"/>
    <col min="2" max="2" width="20.42578125" customWidth="1"/>
    <col min="3" max="3" width="19.85546875" customWidth="1"/>
    <col min="4" max="4" width="18.42578125" customWidth="1"/>
    <col min="5" max="5" width="18.28515625" customWidth="1"/>
    <col min="6" max="6" width="17.7109375" customWidth="1"/>
    <col min="7" max="7" width="20.28515625" customWidth="1"/>
    <col min="8" max="8" width="12" bestFit="1" customWidth="1"/>
  </cols>
  <sheetData>
    <row r="1" spans="1:4" x14ac:dyDescent="0.25">
      <c r="A1" s="17" t="s">
        <v>27</v>
      </c>
      <c r="B1" s="18"/>
      <c r="C1" s="18"/>
      <c r="D1" s="18"/>
    </row>
    <row r="2" spans="1:4" x14ac:dyDescent="0.25">
      <c r="A2" s="24" t="s">
        <v>78</v>
      </c>
    </row>
    <row r="3" spans="1:4" x14ac:dyDescent="0.25">
      <c r="A3" s="24" t="s">
        <v>79</v>
      </c>
    </row>
    <row r="4" spans="1:4" x14ac:dyDescent="0.25">
      <c r="A4" s="1"/>
    </row>
    <row r="5" spans="1:4" ht="30" x14ac:dyDescent="0.25">
      <c r="B5" s="6" t="s">
        <v>19</v>
      </c>
      <c r="C5" s="6" t="s">
        <v>20</v>
      </c>
      <c r="D5" s="7" t="s">
        <v>21</v>
      </c>
    </row>
    <row r="6" spans="1:4" x14ac:dyDescent="0.25">
      <c r="A6" t="s">
        <v>22</v>
      </c>
      <c r="B6">
        <v>56603</v>
      </c>
      <c r="C6" s="8">
        <v>750000</v>
      </c>
      <c r="D6" s="9">
        <f>C6/(B6*10^6)</f>
        <v>1.3250181085808173E-5</v>
      </c>
    </row>
    <row r="7" spans="1:4" x14ac:dyDescent="0.25">
      <c r="A7" t="s">
        <v>23</v>
      </c>
      <c r="B7">
        <v>25717</v>
      </c>
      <c r="C7" s="8">
        <v>700000</v>
      </c>
      <c r="D7" s="9">
        <f t="shared" ref="D7:D9" si="0">C7/(B7*10^6)</f>
        <v>2.7219349068709415E-5</v>
      </c>
    </row>
    <row r="8" spans="1:4" x14ac:dyDescent="0.25">
      <c r="A8" t="s">
        <v>24</v>
      </c>
      <c r="B8">
        <v>60507</v>
      </c>
      <c r="C8" s="8">
        <v>1250000</v>
      </c>
      <c r="D8" s="9">
        <f t="shared" si="0"/>
        <v>2.0658766754259837E-5</v>
      </c>
    </row>
    <row r="9" spans="1:4" x14ac:dyDescent="0.25">
      <c r="A9" s="1" t="s">
        <v>25</v>
      </c>
      <c r="B9">
        <f>AVERAGE(B6:B8)</f>
        <v>47609</v>
      </c>
      <c r="C9">
        <f>AVERAGE(C6:C8)</f>
        <v>900000</v>
      </c>
      <c r="D9" s="10">
        <f t="shared" si="0"/>
        <v>1.8903988741624482E-5</v>
      </c>
    </row>
    <row r="11" spans="1:4" x14ac:dyDescent="0.25">
      <c r="A11" t="s">
        <v>40</v>
      </c>
    </row>
    <row r="12" spans="1:4" x14ac:dyDescent="0.25">
      <c r="A12" t="s">
        <v>26</v>
      </c>
    </row>
    <row r="14" spans="1:4" x14ac:dyDescent="0.25">
      <c r="A14" t="s">
        <v>33</v>
      </c>
    </row>
    <row r="15" spans="1:4" x14ac:dyDescent="0.25">
      <c r="A15">
        <v>3</v>
      </c>
      <c r="B15" t="s">
        <v>34</v>
      </c>
      <c r="C15" t="s">
        <v>41</v>
      </c>
    </row>
    <row r="17" spans="1:5" x14ac:dyDescent="0.25">
      <c r="A17" t="s">
        <v>39</v>
      </c>
    </row>
    <row r="18" spans="1:5" x14ac:dyDescent="0.25">
      <c r="A18" s="12">
        <f>D9*A15</f>
        <v>5.6711966224873446E-5</v>
      </c>
      <c r="B18" t="s">
        <v>45</v>
      </c>
    </row>
    <row r="20" spans="1:5" x14ac:dyDescent="0.25">
      <c r="A20" s="17" t="s">
        <v>42</v>
      </c>
      <c r="B20" s="18"/>
      <c r="C20" s="18"/>
      <c r="D20" s="18"/>
      <c r="E20" s="18"/>
    </row>
    <row r="22" spans="1:5" x14ac:dyDescent="0.25">
      <c r="A22" t="s">
        <v>297</v>
      </c>
    </row>
    <row r="24" spans="1:5" x14ac:dyDescent="0.25">
      <c r="A24" t="s">
        <v>298</v>
      </c>
      <c r="B24" s="8">
        <v>80375</v>
      </c>
    </row>
    <row r="25" spans="1:5" x14ac:dyDescent="0.25">
      <c r="A25" t="s">
        <v>299</v>
      </c>
      <c r="B25" s="8">
        <v>91475</v>
      </c>
    </row>
    <row r="26" spans="1:5" x14ac:dyDescent="0.25">
      <c r="A26" t="s">
        <v>300</v>
      </c>
      <c r="B26" s="8">
        <f>AVERAGE(B24:B25)</f>
        <v>85925</v>
      </c>
    </row>
    <row r="28" spans="1:5" x14ac:dyDescent="0.25">
      <c r="A28" t="s">
        <v>301</v>
      </c>
      <c r="B28">
        <v>400</v>
      </c>
    </row>
    <row r="29" spans="1:5" x14ac:dyDescent="0.25">
      <c r="A29" t="s">
        <v>302</v>
      </c>
      <c r="B29">
        <v>0.74570000000000003</v>
      </c>
    </row>
    <row r="30" spans="1:5" x14ac:dyDescent="0.25">
      <c r="A30" t="s">
        <v>117</v>
      </c>
      <c r="B30">
        <f>B28*B29</f>
        <v>298.28000000000003</v>
      </c>
    </row>
    <row r="32" spans="1:5" x14ac:dyDescent="0.25">
      <c r="A32" s="11" t="s">
        <v>55</v>
      </c>
      <c r="B32" s="22">
        <v>5280</v>
      </c>
    </row>
    <row r="34" spans="1:7" x14ac:dyDescent="0.25">
      <c r="A34" t="s">
        <v>303</v>
      </c>
      <c r="B34">
        <f>B30*B32</f>
        <v>1574918.4000000001</v>
      </c>
      <c r="C34" t="s">
        <v>196</v>
      </c>
    </row>
    <row r="35" spans="1:7" x14ac:dyDescent="0.25">
      <c r="A35" t="s">
        <v>54</v>
      </c>
      <c r="B35">
        <v>3412.14</v>
      </c>
      <c r="C35" t="s">
        <v>58</v>
      </c>
    </row>
    <row r="36" spans="1:7" x14ac:dyDescent="0.25">
      <c r="A36" t="s">
        <v>303</v>
      </c>
      <c r="B36">
        <f>B34*B35</f>
        <v>5373842069.3760004</v>
      </c>
      <c r="C36" t="s">
        <v>265</v>
      </c>
    </row>
    <row r="38" spans="1:7" x14ac:dyDescent="0.25">
      <c r="A38" s="1" t="s">
        <v>44</v>
      </c>
    </row>
    <row r="39" spans="1:7" x14ac:dyDescent="0.25">
      <c r="A39" s="12">
        <f>B26/B36</f>
        <v>1.5989491110961776E-5</v>
      </c>
      <c r="B39" t="s">
        <v>45</v>
      </c>
    </row>
    <row r="41" spans="1:7" x14ac:dyDescent="0.25">
      <c r="A41" s="17" t="s">
        <v>48</v>
      </c>
      <c r="B41" s="18"/>
      <c r="C41" s="18"/>
      <c r="D41" s="18"/>
      <c r="E41" s="18"/>
    </row>
    <row r="42" spans="1:7" s="3" customFormat="1" ht="30" x14ac:dyDescent="0.25">
      <c r="B42" s="6" t="s">
        <v>53</v>
      </c>
      <c r="C42" s="6" t="s">
        <v>52</v>
      </c>
      <c r="D42" s="6" t="s">
        <v>60</v>
      </c>
      <c r="E42" s="6" t="s">
        <v>68</v>
      </c>
      <c r="F42" s="23" t="s">
        <v>69</v>
      </c>
      <c r="G42" s="23" t="s">
        <v>77</v>
      </c>
    </row>
    <row r="43" spans="1:7" x14ac:dyDescent="0.25">
      <c r="A43" t="s">
        <v>49</v>
      </c>
      <c r="B43">
        <v>2000</v>
      </c>
      <c r="C43">
        <v>300</v>
      </c>
      <c r="D43">
        <f>B43*C43</f>
        <v>600000</v>
      </c>
      <c r="E43" s="19">
        <v>0.9</v>
      </c>
      <c r="F43">
        <f>$B$50/E43</f>
        <v>40035776000</v>
      </c>
      <c r="G43" s="12">
        <f>D43/F43</f>
        <v>1.4986595988547842E-5</v>
      </c>
    </row>
    <row r="44" spans="1:7" x14ac:dyDescent="0.25">
      <c r="A44" t="s">
        <v>50</v>
      </c>
      <c r="B44">
        <v>2000</v>
      </c>
      <c r="C44">
        <v>200</v>
      </c>
      <c r="D44">
        <f t="shared" ref="D44:D45" si="1">B44*C44</f>
        <v>400000</v>
      </c>
      <c r="E44" s="19">
        <v>0.85</v>
      </c>
      <c r="F44">
        <f t="shared" ref="F44:F45" si="2">$B$50/E44</f>
        <v>42390821647.058823</v>
      </c>
      <c r="G44" s="12">
        <f t="shared" ref="G44:G45" si="3">D44/F44</f>
        <v>9.436004881678272E-6</v>
      </c>
    </row>
    <row r="45" spans="1:7" x14ac:dyDescent="0.25">
      <c r="A45" t="s">
        <v>51</v>
      </c>
      <c r="B45">
        <v>2000</v>
      </c>
      <c r="C45">
        <v>100</v>
      </c>
      <c r="D45">
        <f t="shared" si="1"/>
        <v>200000</v>
      </c>
      <c r="E45" s="19">
        <v>0.95</v>
      </c>
      <c r="F45">
        <f t="shared" si="2"/>
        <v>37928629894.736847</v>
      </c>
      <c r="G45" s="9">
        <f t="shared" si="3"/>
        <v>5.2730615515260925E-6</v>
      </c>
    </row>
    <row r="47" spans="1:7" x14ac:dyDescent="0.25">
      <c r="B47" s="7" t="s">
        <v>59</v>
      </c>
      <c r="C47" s="1" t="s">
        <v>57</v>
      </c>
    </row>
    <row r="48" spans="1:7" x14ac:dyDescent="0.25">
      <c r="A48" t="s">
        <v>67</v>
      </c>
      <c r="B48">
        <f>B43*B32</f>
        <v>10560000</v>
      </c>
      <c r="C48" t="s">
        <v>56</v>
      </c>
    </row>
    <row r="49" spans="1:4" x14ac:dyDescent="0.25">
      <c r="A49" t="s">
        <v>54</v>
      </c>
      <c r="B49">
        <v>3412.14</v>
      </c>
      <c r="C49" t="s">
        <v>58</v>
      </c>
    </row>
    <row r="50" spans="1:4" x14ac:dyDescent="0.25">
      <c r="A50" t="s">
        <v>67</v>
      </c>
      <c r="B50">
        <f>B48*B49</f>
        <v>36032198400</v>
      </c>
      <c r="C50" t="s">
        <v>43</v>
      </c>
    </row>
    <row r="52" spans="1:4" x14ac:dyDescent="0.25">
      <c r="A52" t="s">
        <v>65</v>
      </c>
    </row>
    <row r="53" spans="1:4" x14ac:dyDescent="0.25">
      <c r="A53" t="s">
        <v>66</v>
      </c>
    </row>
    <row r="55" spans="1:4" x14ac:dyDescent="0.25">
      <c r="A55" s="17" t="s">
        <v>74</v>
      </c>
      <c r="B55" s="18"/>
      <c r="C55" s="18"/>
      <c r="D55" s="18"/>
    </row>
    <row r="57" spans="1:4" x14ac:dyDescent="0.25">
      <c r="A57" t="s">
        <v>75</v>
      </c>
      <c r="B57" s="8"/>
    </row>
    <row r="58" spans="1:4" x14ac:dyDescent="0.25">
      <c r="A58" t="s">
        <v>76</v>
      </c>
      <c r="B58" s="20"/>
    </row>
    <row r="60" spans="1:4" x14ac:dyDescent="0.25">
      <c r="A60" s="12">
        <f>A39*1.5</f>
        <v>2.3984236666442662E-5</v>
      </c>
      <c r="B60" t="s">
        <v>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01FE5-63BE-403B-999E-6276154EBF72}">
  <dimension ref="A1:D49"/>
  <sheetViews>
    <sheetView workbookViewId="0"/>
  </sheetViews>
  <sheetFormatPr defaultColWidth="8.85546875" defaultRowHeight="15" x14ac:dyDescent="0.25"/>
  <cols>
    <col min="1" max="1" width="53.28515625" customWidth="1"/>
    <col min="2" max="2" width="12" bestFit="1" customWidth="1"/>
  </cols>
  <sheetData>
    <row r="1" spans="1:3" x14ac:dyDescent="0.25">
      <c r="A1" s="17" t="s">
        <v>81</v>
      </c>
      <c r="B1" s="18"/>
      <c r="C1" s="18"/>
    </row>
    <row r="3" spans="1:3" x14ac:dyDescent="0.25">
      <c r="A3" s="11" t="s">
        <v>105</v>
      </c>
    </row>
    <row r="5" spans="1:3" x14ac:dyDescent="0.25">
      <c r="A5" t="s">
        <v>82</v>
      </c>
      <c r="B5" s="8">
        <v>307500</v>
      </c>
      <c r="C5" t="s">
        <v>86</v>
      </c>
    </row>
    <row r="6" spans="1:3" x14ac:dyDescent="0.25">
      <c r="A6" t="s">
        <v>83</v>
      </c>
      <c r="B6">
        <v>4000</v>
      </c>
      <c r="C6" t="s">
        <v>87</v>
      </c>
    </row>
    <row r="8" spans="1:3" x14ac:dyDescent="0.25">
      <c r="A8" t="s">
        <v>84</v>
      </c>
      <c r="B8" s="8">
        <v>75863</v>
      </c>
      <c r="C8" t="s">
        <v>86</v>
      </c>
    </row>
    <row r="9" spans="1:3" x14ac:dyDescent="0.25">
      <c r="A9" t="s">
        <v>85</v>
      </c>
      <c r="B9" s="8">
        <v>6226</v>
      </c>
      <c r="C9" t="s">
        <v>86</v>
      </c>
    </row>
    <row r="11" spans="1:3" x14ac:dyDescent="0.25">
      <c r="A11" t="s">
        <v>88</v>
      </c>
      <c r="B11" s="25">
        <v>0.45</v>
      </c>
      <c r="C11" t="s">
        <v>89</v>
      </c>
    </row>
    <row r="12" spans="1:3" x14ac:dyDescent="0.25">
      <c r="A12" t="s">
        <v>90</v>
      </c>
      <c r="B12" s="25">
        <v>0.15</v>
      </c>
      <c r="C12" t="s">
        <v>91</v>
      </c>
    </row>
    <row r="14" spans="1:3" x14ac:dyDescent="0.25">
      <c r="A14" t="s">
        <v>92</v>
      </c>
      <c r="B14" s="21">
        <f>B8/B11</f>
        <v>168584.44444444444</v>
      </c>
      <c r="C14" t="s">
        <v>93</v>
      </c>
    </row>
    <row r="15" spans="1:3" x14ac:dyDescent="0.25">
      <c r="A15" t="s">
        <v>94</v>
      </c>
      <c r="B15" s="21">
        <f>B9/B12</f>
        <v>41506.666666666672</v>
      </c>
      <c r="C15" t="s">
        <v>56</v>
      </c>
    </row>
    <row r="17" spans="1:3" x14ac:dyDescent="0.25">
      <c r="A17" t="s">
        <v>54</v>
      </c>
      <c r="B17">
        <v>100000</v>
      </c>
      <c r="C17" t="s">
        <v>95</v>
      </c>
    </row>
    <row r="18" spans="1:3" x14ac:dyDescent="0.25">
      <c r="A18" t="s">
        <v>54</v>
      </c>
      <c r="B18">
        <v>3412.14</v>
      </c>
      <c r="C18" t="s">
        <v>58</v>
      </c>
    </row>
    <row r="20" spans="1:3" x14ac:dyDescent="0.25">
      <c r="A20" t="s">
        <v>92</v>
      </c>
      <c r="B20" s="9">
        <f>B14*B17</f>
        <v>16858444444.444445</v>
      </c>
      <c r="C20" t="s">
        <v>43</v>
      </c>
    </row>
    <row r="21" spans="1:3" x14ac:dyDescent="0.25">
      <c r="A21" t="s">
        <v>94</v>
      </c>
      <c r="B21" s="9">
        <f>B15*B18</f>
        <v>141626557.60000002</v>
      </c>
      <c r="C21" t="s">
        <v>43</v>
      </c>
    </row>
    <row r="23" spans="1:3" x14ac:dyDescent="0.25">
      <c r="A23" t="s">
        <v>96</v>
      </c>
    </row>
    <row r="24" spans="1:3" x14ac:dyDescent="0.25">
      <c r="A24" t="s">
        <v>97</v>
      </c>
    </row>
    <row r="26" spans="1:3" x14ac:dyDescent="0.25">
      <c r="A26" t="s">
        <v>98</v>
      </c>
      <c r="B26" s="9">
        <f>SUM(B20:B21)</f>
        <v>17000071002.044445</v>
      </c>
      <c r="C26" t="s">
        <v>43</v>
      </c>
    </row>
    <row r="27" spans="1:3" x14ac:dyDescent="0.25">
      <c r="A27" t="s">
        <v>99</v>
      </c>
      <c r="B27" s="12">
        <f>B5/B26</f>
        <v>1.8088159747275158E-5</v>
      </c>
      <c r="C27" t="s">
        <v>45</v>
      </c>
    </row>
    <row r="29" spans="1:3" x14ac:dyDescent="0.25">
      <c r="A29" s="17" t="s">
        <v>106</v>
      </c>
      <c r="B29" s="18"/>
      <c r="C29" s="18"/>
    </row>
    <row r="31" spans="1:3" x14ac:dyDescent="0.25">
      <c r="A31" s="1" t="s">
        <v>107</v>
      </c>
    </row>
    <row r="32" spans="1:3" x14ac:dyDescent="0.25">
      <c r="A32" t="s">
        <v>109</v>
      </c>
      <c r="B32" s="8">
        <v>200</v>
      </c>
      <c r="C32" t="s">
        <v>108</v>
      </c>
    </row>
    <row r="33" spans="1:4" x14ac:dyDescent="0.25">
      <c r="A33" t="s">
        <v>110</v>
      </c>
      <c r="B33" s="8">
        <v>500</v>
      </c>
      <c r="C33" t="s">
        <v>108</v>
      </c>
    </row>
    <row r="34" spans="1:4" x14ac:dyDescent="0.25">
      <c r="A34" t="s">
        <v>111</v>
      </c>
      <c r="B34" s="8">
        <f>AVERAGE(B32:B33)</f>
        <v>350</v>
      </c>
      <c r="C34" t="s">
        <v>108</v>
      </c>
    </row>
    <row r="36" spans="1:4" x14ac:dyDescent="0.25">
      <c r="A36" t="s">
        <v>112</v>
      </c>
      <c r="B36">
        <v>500</v>
      </c>
      <c r="C36" t="s">
        <v>113</v>
      </c>
      <c r="D36" t="s">
        <v>118</v>
      </c>
    </row>
    <row r="38" spans="1:4" x14ac:dyDescent="0.25">
      <c r="A38" t="s">
        <v>114</v>
      </c>
      <c r="B38" s="8">
        <f>B34*B36</f>
        <v>175000</v>
      </c>
      <c r="C38" t="s">
        <v>86</v>
      </c>
    </row>
    <row r="41" spans="1:4" x14ac:dyDescent="0.25">
      <c r="A41" t="s">
        <v>115</v>
      </c>
      <c r="B41">
        <v>0.57599999999999996</v>
      </c>
      <c r="C41" t="s">
        <v>116</v>
      </c>
    </row>
    <row r="42" spans="1:4" x14ac:dyDescent="0.25">
      <c r="A42" t="s">
        <v>119</v>
      </c>
      <c r="B42">
        <f>B41*B36</f>
        <v>288</v>
      </c>
      <c r="C42" t="s">
        <v>117</v>
      </c>
    </row>
    <row r="44" spans="1:4" x14ac:dyDescent="0.25">
      <c r="A44" t="s">
        <v>83</v>
      </c>
      <c r="B44">
        <f>B6</f>
        <v>4000</v>
      </c>
      <c r="C44" t="s">
        <v>87</v>
      </c>
      <c r="D44" t="s">
        <v>118</v>
      </c>
    </row>
    <row r="46" spans="1:4" x14ac:dyDescent="0.25">
      <c r="A46" t="s">
        <v>94</v>
      </c>
      <c r="B46">
        <f>B42*B44</f>
        <v>1152000</v>
      </c>
      <c r="C46" t="s">
        <v>56</v>
      </c>
    </row>
    <row r="47" spans="1:4" x14ac:dyDescent="0.25">
      <c r="A47" t="s">
        <v>94</v>
      </c>
      <c r="B47" s="9">
        <f>B46*B18</f>
        <v>3930785280</v>
      </c>
      <c r="C47" t="s">
        <v>43</v>
      </c>
    </row>
    <row r="49" spans="1:3" x14ac:dyDescent="0.25">
      <c r="A49" t="s">
        <v>99</v>
      </c>
      <c r="B49" s="12">
        <f>B38/B47</f>
        <v>4.4520366169683022E-5</v>
      </c>
      <c r="C49" t="s">
        <v>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9C022-A310-4BEE-BA08-E19CC60071F1}">
  <dimension ref="A1:E54"/>
  <sheetViews>
    <sheetView workbookViewId="0"/>
  </sheetViews>
  <sheetFormatPr defaultColWidth="11.42578125" defaultRowHeight="15" x14ac:dyDescent="0.25"/>
  <cols>
    <col min="1" max="1" width="34.42578125" customWidth="1"/>
    <col min="2" max="2" width="19.85546875" customWidth="1"/>
    <col min="3" max="3" width="22.7109375" customWidth="1"/>
    <col min="4" max="4" width="20.85546875" customWidth="1"/>
    <col min="5" max="6" width="20.7109375" customWidth="1"/>
    <col min="7" max="7" width="17" customWidth="1"/>
    <col min="8" max="8" width="18.85546875" customWidth="1"/>
  </cols>
  <sheetData>
    <row r="1" spans="1:4" x14ac:dyDescent="0.25">
      <c r="A1" s="17" t="s">
        <v>372</v>
      </c>
      <c r="B1" s="18"/>
      <c r="C1" s="18"/>
      <c r="D1" s="18"/>
    </row>
    <row r="3" spans="1:4" x14ac:dyDescent="0.25">
      <c r="A3" s="41" t="s">
        <v>343</v>
      </c>
      <c r="B3" s="42"/>
      <c r="C3" s="11" t="s">
        <v>352</v>
      </c>
    </row>
    <row r="4" spans="1:4" x14ac:dyDescent="0.25">
      <c r="A4" s="1" t="s">
        <v>336</v>
      </c>
      <c r="B4" s="1" t="s">
        <v>344</v>
      </c>
      <c r="C4" s="1"/>
    </row>
    <row r="5" spans="1:4" x14ac:dyDescent="0.25">
      <c r="A5" t="s">
        <v>338</v>
      </c>
      <c r="B5">
        <v>492000</v>
      </c>
      <c r="C5" s="43"/>
    </row>
    <row r="6" spans="1:4" x14ac:dyDescent="0.25">
      <c r="A6" t="s">
        <v>345</v>
      </c>
      <c r="B6">
        <v>135000</v>
      </c>
      <c r="C6" s="43"/>
    </row>
    <row r="7" spans="1:4" x14ac:dyDescent="0.25">
      <c r="A7" t="s">
        <v>346</v>
      </c>
      <c r="B7">
        <v>474000</v>
      </c>
      <c r="C7" s="43"/>
    </row>
    <row r="8" spans="1:4" x14ac:dyDescent="0.25">
      <c r="A8" t="s">
        <v>347</v>
      </c>
      <c r="B8">
        <v>70000</v>
      </c>
      <c r="C8" s="43"/>
    </row>
    <row r="9" spans="1:4" x14ac:dyDescent="0.25">
      <c r="A9" t="s">
        <v>348</v>
      </c>
      <c r="B9">
        <v>22000</v>
      </c>
      <c r="C9" s="43"/>
    </row>
    <row r="10" spans="1:4" x14ac:dyDescent="0.25">
      <c r="A10" t="s">
        <v>349</v>
      </c>
      <c r="B10">
        <v>18000</v>
      </c>
      <c r="C10" s="43"/>
    </row>
    <row r="11" spans="1:4" x14ac:dyDescent="0.25">
      <c r="A11" t="s">
        <v>350</v>
      </c>
      <c r="B11">
        <v>216000</v>
      </c>
      <c r="C11" s="43"/>
    </row>
    <row r="12" spans="1:4" x14ac:dyDescent="0.25">
      <c r="A12" t="s">
        <v>342</v>
      </c>
      <c r="B12">
        <v>51000</v>
      </c>
      <c r="C12" s="43"/>
    </row>
    <row r="13" spans="1:4" x14ac:dyDescent="0.25">
      <c r="A13" t="s">
        <v>351</v>
      </c>
      <c r="B13">
        <v>125000</v>
      </c>
      <c r="C13" s="43"/>
    </row>
    <row r="15" spans="1:4" x14ac:dyDescent="0.25">
      <c r="A15" s="41" t="s">
        <v>357</v>
      </c>
      <c r="B15" s="42"/>
      <c r="C15" s="11" t="s">
        <v>360</v>
      </c>
    </row>
    <row r="16" spans="1:4" x14ac:dyDescent="0.25">
      <c r="A16" s="1" t="s">
        <v>336</v>
      </c>
      <c r="B16" s="1" t="s">
        <v>358</v>
      </c>
    </row>
    <row r="17" spans="1:5" x14ac:dyDescent="0.25">
      <c r="A17" t="s">
        <v>338</v>
      </c>
      <c r="B17" s="20">
        <v>13400</v>
      </c>
    </row>
    <row r="18" spans="1:5" x14ac:dyDescent="0.25">
      <c r="A18" t="s">
        <v>341</v>
      </c>
      <c r="B18" s="20">
        <v>5300</v>
      </c>
    </row>
    <row r="19" spans="1:5" x14ac:dyDescent="0.25">
      <c r="A19" t="s">
        <v>359</v>
      </c>
      <c r="B19" s="20">
        <v>13600</v>
      </c>
    </row>
    <row r="21" spans="1:5" x14ac:dyDescent="0.25">
      <c r="A21" s="41" t="s">
        <v>362</v>
      </c>
      <c r="B21" s="42"/>
      <c r="C21" s="42"/>
      <c r="D21" s="42"/>
      <c r="E21" s="11" t="s">
        <v>366</v>
      </c>
    </row>
    <row r="22" spans="1:5" x14ac:dyDescent="0.25">
      <c r="A22" s="1" t="s">
        <v>337</v>
      </c>
      <c r="B22" s="1" t="s">
        <v>363</v>
      </c>
      <c r="C22" s="1" t="s">
        <v>364</v>
      </c>
      <c r="D22" s="1" t="s">
        <v>365</v>
      </c>
    </row>
    <row r="23" spans="1:5" x14ac:dyDescent="0.25">
      <c r="A23" t="s">
        <v>339</v>
      </c>
      <c r="B23">
        <v>4380</v>
      </c>
      <c r="D23">
        <v>15</v>
      </c>
    </row>
    <row r="24" spans="1:5" x14ac:dyDescent="0.25">
      <c r="A24" t="s">
        <v>340</v>
      </c>
      <c r="B24">
        <v>4380</v>
      </c>
      <c r="C24">
        <v>56000</v>
      </c>
    </row>
    <row r="27" spans="1:5" x14ac:dyDescent="0.25">
      <c r="A27" s="16" t="s">
        <v>379</v>
      </c>
      <c r="B27" s="40"/>
      <c r="C27" s="40"/>
      <c r="D27" s="40"/>
    </row>
    <row r="28" spans="1:5" x14ac:dyDescent="0.25">
      <c r="A28" t="s">
        <v>373</v>
      </c>
    </row>
    <row r="29" spans="1:5" x14ac:dyDescent="0.25">
      <c r="A29" t="s">
        <v>374</v>
      </c>
    </row>
    <row r="30" spans="1:5" x14ac:dyDescent="0.25">
      <c r="A30" t="s">
        <v>375</v>
      </c>
    </row>
    <row r="31" spans="1:5" x14ac:dyDescent="0.25">
      <c r="A31" t="s">
        <v>376</v>
      </c>
    </row>
    <row r="32" spans="1:5" x14ac:dyDescent="0.25">
      <c r="A32" t="s">
        <v>377</v>
      </c>
    </row>
    <row r="33" spans="1:4" x14ac:dyDescent="0.25">
      <c r="A33" s="1" t="s">
        <v>378</v>
      </c>
      <c r="B33" s="1">
        <f>Boilers!B32</f>
        <v>5280</v>
      </c>
    </row>
    <row r="36" spans="1:4" x14ac:dyDescent="0.25">
      <c r="A36" s="16" t="s">
        <v>54</v>
      </c>
      <c r="B36" s="46">
        <v>3412.14</v>
      </c>
      <c r="C36" s="40" t="s">
        <v>58</v>
      </c>
    </row>
    <row r="37" spans="1:4" x14ac:dyDescent="0.25">
      <c r="B37" s="32"/>
    </row>
    <row r="38" spans="1:4" x14ac:dyDescent="0.25">
      <c r="A38" s="45" t="s">
        <v>367</v>
      </c>
      <c r="B38" s="44"/>
      <c r="C38" s="44"/>
      <c r="D38" s="44"/>
    </row>
    <row r="39" spans="1:4" x14ac:dyDescent="0.25">
      <c r="A39" s="1" t="s">
        <v>337</v>
      </c>
      <c r="B39" s="7" t="s">
        <v>368</v>
      </c>
      <c r="C39" s="7" t="s">
        <v>369</v>
      </c>
      <c r="D39" s="7" t="s">
        <v>370</v>
      </c>
    </row>
    <row r="40" spans="1:4" x14ac:dyDescent="0.25">
      <c r="A40" t="s">
        <v>339</v>
      </c>
      <c r="B40">
        <f>$B$33*D23*B36</f>
        <v>270241488</v>
      </c>
      <c r="C40" s="25">
        <f>($B$17*$B$5+$B$18*SUM($B$6:$B$7)+$B$19*$B$13)/SUM($B$5:$B$7,$B$13)</f>
        <v>9396.8189233278954</v>
      </c>
      <c r="D40" s="12">
        <f>C40/B40</f>
        <v>3.4771933032458345E-5</v>
      </c>
    </row>
    <row r="41" spans="1:4" x14ac:dyDescent="0.25">
      <c r="A41" t="s">
        <v>340</v>
      </c>
      <c r="B41">
        <f>$B$33*C24</f>
        <v>295680000</v>
      </c>
      <c r="C41" s="25">
        <f>($B$17*$B$5+$B$18*SUM($B$6:$B$7)+$B$19*$B$13)/SUM($B$5:$B$7,$B$13)</f>
        <v>9396.8189233278954</v>
      </c>
      <c r="D41" s="12">
        <f>C41/B41</f>
        <v>3.1780367029653324E-5</v>
      </c>
    </row>
    <row r="50" spans="1:4" x14ac:dyDescent="0.25">
      <c r="A50" s="11" t="s">
        <v>371</v>
      </c>
    </row>
    <row r="51" spans="1:4" x14ac:dyDescent="0.25">
      <c r="A51" s="41" t="s">
        <v>353</v>
      </c>
      <c r="B51" s="42"/>
      <c r="C51" s="42"/>
      <c r="D51" s="11" t="s">
        <v>361</v>
      </c>
    </row>
    <row r="52" spans="1:4" x14ac:dyDescent="0.25">
      <c r="A52" s="1" t="s">
        <v>354</v>
      </c>
      <c r="B52" s="7" t="s">
        <v>355</v>
      </c>
      <c r="C52" s="1" t="s">
        <v>356</v>
      </c>
    </row>
    <row r="53" spans="1:4" x14ac:dyDescent="0.25">
      <c r="A53" t="s">
        <v>339</v>
      </c>
      <c r="B53">
        <v>722000</v>
      </c>
      <c r="C53" s="43">
        <f>B53/SUM($B$53:$B$54)</f>
        <v>0.45012468827930174</v>
      </c>
    </row>
    <row r="54" spans="1:4" x14ac:dyDescent="0.25">
      <c r="A54" t="s">
        <v>340</v>
      </c>
      <c r="B54">
        <v>882000</v>
      </c>
      <c r="C54" s="43">
        <f>B54/SUM($B$53:$B$54)</f>
        <v>0.54987531172069826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E7825-E51A-4EE8-BEA7-048823A51DEE}">
  <dimension ref="A1:I67"/>
  <sheetViews>
    <sheetView workbookViewId="0"/>
  </sheetViews>
  <sheetFormatPr defaultColWidth="8.85546875" defaultRowHeight="15" x14ac:dyDescent="0.25"/>
  <cols>
    <col min="1" max="1" width="13.85546875" customWidth="1"/>
    <col min="4" max="4" width="11.42578125" customWidth="1"/>
    <col min="6" max="6" width="17.7109375" customWidth="1"/>
    <col min="9" max="9" width="9.28515625" customWidth="1"/>
  </cols>
  <sheetData>
    <row r="1" spans="1:9" x14ac:dyDescent="0.25">
      <c r="A1" s="17" t="s">
        <v>189</v>
      </c>
      <c r="B1" s="18"/>
      <c r="C1" s="18"/>
      <c r="D1" s="18"/>
      <c r="E1" s="18"/>
      <c r="F1" s="18"/>
      <c r="G1" s="18"/>
    </row>
    <row r="2" spans="1:9" x14ac:dyDescent="0.25">
      <c r="I2" s="1" t="s">
        <v>203</v>
      </c>
    </row>
    <row r="3" spans="1:9" x14ac:dyDescent="0.25">
      <c r="A3" t="s">
        <v>190</v>
      </c>
      <c r="C3" s="25"/>
      <c r="F3" s="25">
        <f>254*1.04</f>
        <v>264.16000000000003</v>
      </c>
      <c r="G3" t="s">
        <v>191</v>
      </c>
      <c r="I3" s="15" t="s">
        <v>209</v>
      </c>
    </row>
    <row r="4" spans="1:9" x14ac:dyDescent="0.25">
      <c r="A4" t="s">
        <v>192</v>
      </c>
      <c r="F4">
        <v>450</v>
      </c>
      <c r="G4" t="s">
        <v>193</v>
      </c>
      <c r="I4" s="15" t="s">
        <v>205</v>
      </c>
    </row>
    <row r="5" spans="1:9" x14ac:dyDescent="0.25">
      <c r="A5" t="s">
        <v>194</v>
      </c>
      <c r="C5" s="32"/>
      <c r="F5" s="32">
        <v>800000</v>
      </c>
      <c r="G5" t="s">
        <v>195</v>
      </c>
      <c r="I5" s="15" t="s">
        <v>207</v>
      </c>
    </row>
    <row r="7" spans="1:9" x14ac:dyDescent="0.25">
      <c r="A7" t="s">
        <v>198</v>
      </c>
      <c r="F7">
        <f>F4*F5</f>
        <v>360000000</v>
      </c>
      <c r="G7" t="s">
        <v>196</v>
      </c>
    </row>
    <row r="8" spans="1:9" x14ac:dyDescent="0.25">
      <c r="A8" t="s">
        <v>197</v>
      </c>
      <c r="F8">
        <f>F7*0.003412</f>
        <v>1228320</v>
      </c>
      <c r="G8" t="s">
        <v>199</v>
      </c>
    </row>
    <row r="9" spans="1:9" x14ac:dyDescent="0.25">
      <c r="A9" t="s">
        <v>200</v>
      </c>
      <c r="F9" s="25">
        <f>F3*F5</f>
        <v>211328000.00000003</v>
      </c>
      <c r="G9" t="s">
        <v>201</v>
      </c>
    </row>
    <row r="10" spans="1:9" x14ac:dyDescent="0.25">
      <c r="A10" t="s">
        <v>202</v>
      </c>
      <c r="F10" s="12">
        <f>F9/(F8*10^6)</f>
        <v>1.7204637228083889E-4</v>
      </c>
      <c r="G10" t="s">
        <v>202</v>
      </c>
      <c r="I10" s="24" t="s">
        <v>383</v>
      </c>
    </row>
    <row r="12" spans="1:9" x14ac:dyDescent="0.25">
      <c r="A12" t="s">
        <v>206</v>
      </c>
      <c r="E12">
        <f>8760*155</f>
        <v>1357800</v>
      </c>
      <c r="F12" t="s">
        <v>208</v>
      </c>
    </row>
    <row r="14" spans="1:9" x14ac:dyDescent="0.25">
      <c r="A14" s="17" t="s">
        <v>334</v>
      </c>
      <c r="B14" s="18"/>
      <c r="C14" s="18"/>
      <c r="D14" s="18"/>
      <c r="E14" s="18"/>
      <c r="F14" s="18"/>
      <c r="G14" s="18"/>
    </row>
    <row r="16" spans="1:9" x14ac:dyDescent="0.25">
      <c r="A16" t="s">
        <v>308</v>
      </c>
      <c r="F16" s="20">
        <v>170</v>
      </c>
      <c r="G16" t="s">
        <v>309</v>
      </c>
    </row>
    <row r="17" spans="1:9" x14ac:dyDescent="0.25">
      <c r="F17" s="39">
        <f>F16/F23</f>
        <v>26.356589147286826</v>
      </c>
      <c r="G17" t="s">
        <v>312</v>
      </c>
    </row>
    <row r="18" spans="1:9" x14ac:dyDescent="0.25">
      <c r="F18" s="39">
        <f>F17/277.778</f>
        <v>9.4883645023316546E-2</v>
      </c>
      <c r="G18" t="s">
        <v>313</v>
      </c>
    </row>
    <row r="19" spans="1:9" x14ac:dyDescent="0.25">
      <c r="F19" s="9">
        <f>F18/3412</f>
        <v>2.7808805692648461E-5</v>
      </c>
      <c r="G19" t="s">
        <v>45</v>
      </c>
      <c r="I19" s="24" t="s">
        <v>384</v>
      </c>
    </row>
    <row r="21" spans="1:9" x14ac:dyDescent="0.25">
      <c r="A21" t="s">
        <v>241</v>
      </c>
      <c r="F21">
        <v>36000000</v>
      </c>
      <c r="G21" t="s">
        <v>251</v>
      </c>
      <c r="I21" s="15" t="s">
        <v>250</v>
      </c>
    </row>
    <row r="22" spans="1:9" x14ac:dyDescent="0.25">
      <c r="A22" t="s">
        <v>241</v>
      </c>
      <c r="F22" s="20">
        <f>F21*0.14</f>
        <v>5040000.0000000009</v>
      </c>
      <c r="G22" t="s">
        <v>86</v>
      </c>
      <c r="I22" s="15"/>
    </row>
    <row r="23" spans="1:9" x14ac:dyDescent="0.25">
      <c r="A23" t="s">
        <v>217</v>
      </c>
      <c r="F23">
        <f>AVERAGE(5.1,7.8)</f>
        <v>6.4499999999999993</v>
      </c>
      <c r="G23" t="s">
        <v>242</v>
      </c>
      <c r="I23" t="s">
        <v>249</v>
      </c>
    </row>
    <row r="24" spans="1:9" x14ac:dyDescent="0.25">
      <c r="A24" t="s">
        <v>246</v>
      </c>
      <c r="F24">
        <v>8000</v>
      </c>
      <c r="G24" t="s">
        <v>247</v>
      </c>
      <c r="I24" s="15" t="s">
        <v>248</v>
      </c>
    </row>
    <row r="25" spans="1:9" x14ac:dyDescent="0.25">
      <c r="A25" t="s">
        <v>253</v>
      </c>
      <c r="F25">
        <v>600</v>
      </c>
      <c r="G25" t="s">
        <v>252</v>
      </c>
      <c r="I25" s="15" t="s">
        <v>250</v>
      </c>
    </row>
    <row r="26" spans="1:9" x14ac:dyDescent="0.25">
      <c r="F26">
        <f>F23*F25</f>
        <v>3869.9999999999995</v>
      </c>
      <c r="G26" t="s">
        <v>310</v>
      </c>
      <c r="I26" s="15"/>
    </row>
    <row r="27" spans="1:9" x14ac:dyDescent="0.25">
      <c r="F27">
        <f>F26*(F24/24)</f>
        <v>1289999.9999999998</v>
      </c>
      <c r="G27" t="s">
        <v>311</v>
      </c>
      <c r="I27" s="15"/>
    </row>
    <row r="28" spans="1:9" x14ac:dyDescent="0.25">
      <c r="A28" t="s">
        <v>198</v>
      </c>
      <c r="F28">
        <f>F27*277.778</f>
        <v>358333619.99999994</v>
      </c>
      <c r="G28" t="s">
        <v>196</v>
      </c>
      <c r="I28" t="s">
        <v>254</v>
      </c>
    </row>
    <row r="29" spans="1:9" x14ac:dyDescent="0.25">
      <c r="A29" t="s">
        <v>197</v>
      </c>
      <c r="F29">
        <f>F28*0.003412</f>
        <v>1222634.3114399998</v>
      </c>
      <c r="G29" t="s">
        <v>199</v>
      </c>
    </row>
    <row r="30" spans="1:9" x14ac:dyDescent="0.25">
      <c r="A30" t="s">
        <v>202</v>
      </c>
      <c r="F30" s="12">
        <f>(F21*0.14)/(F29*10^6)</f>
        <v>4.1222464909102436E-6</v>
      </c>
      <c r="G30" t="s">
        <v>202</v>
      </c>
      <c r="I30" t="s">
        <v>255</v>
      </c>
    </row>
    <row r="32" spans="1:9" x14ac:dyDescent="0.25">
      <c r="A32" s="1" t="s">
        <v>314</v>
      </c>
    </row>
    <row r="34" spans="1:9" x14ac:dyDescent="0.25">
      <c r="A34" t="s">
        <v>315</v>
      </c>
      <c r="F34">
        <v>21.08</v>
      </c>
      <c r="G34" t="s">
        <v>316</v>
      </c>
      <c r="I34" s="15" t="s">
        <v>327</v>
      </c>
    </row>
    <row r="35" spans="1:9" x14ac:dyDescent="0.25">
      <c r="A35" t="s">
        <v>317</v>
      </c>
      <c r="F35">
        <v>0.76</v>
      </c>
      <c r="G35" t="s">
        <v>171</v>
      </c>
      <c r="I35" s="15" t="s">
        <v>319</v>
      </c>
    </row>
    <row r="36" spans="1:9" x14ac:dyDescent="0.25">
      <c r="A36" t="s">
        <v>315</v>
      </c>
      <c r="F36" s="34">
        <f>F34*F35</f>
        <v>16.020799999999998</v>
      </c>
      <c r="G36" t="s">
        <v>318</v>
      </c>
    </row>
    <row r="37" spans="1:9" x14ac:dyDescent="0.25">
      <c r="F37">
        <v>1.3284</v>
      </c>
      <c r="G37" t="s">
        <v>320</v>
      </c>
    </row>
    <row r="38" spans="1:9" x14ac:dyDescent="0.25">
      <c r="F38" s="34">
        <f>F36*F37</f>
        <v>21.282030719999998</v>
      </c>
      <c r="G38" t="s">
        <v>321</v>
      </c>
    </row>
    <row r="39" spans="1:9" x14ac:dyDescent="0.25">
      <c r="F39">
        <v>1.32</v>
      </c>
      <c r="G39" t="s">
        <v>322</v>
      </c>
    </row>
    <row r="40" spans="1:9" x14ac:dyDescent="0.25">
      <c r="F40" s="34">
        <f>F38*F39</f>
        <v>28.092280550399998</v>
      </c>
      <c r="G40" t="s">
        <v>323</v>
      </c>
    </row>
    <row r="41" spans="1:9" x14ac:dyDescent="0.25">
      <c r="F41" s="34">
        <f>F40/F23</f>
        <v>4.3553923333953488</v>
      </c>
      <c r="G41" t="s">
        <v>324</v>
      </c>
    </row>
    <row r="42" spans="1:9" x14ac:dyDescent="0.25">
      <c r="F42">
        <v>277.77800000000002</v>
      </c>
      <c r="G42" t="s">
        <v>325</v>
      </c>
    </row>
    <row r="43" spans="1:9" x14ac:dyDescent="0.25">
      <c r="F43">
        <f>F41/F42</f>
        <v>1.5679399856703368E-2</v>
      </c>
      <c r="G43" t="s">
        <v>326</v>
      </c>
    </row>
    <row r="44" spans="1:9" x14ac:dyDescent="0.25">
      <c r="F44">
        <v>3412.14</v>
      </c>
      <c r="G44" t="s">
        <v>328</v>
      </c>
    </row>
    <row r="45" spans="1:9" x14ac:dyDescent="0.25">
      <c r="F45" s="12">
        <f>F43/F44</f>
        <v>4.5951806950193628E-6</v>
      </c>
      <c r="G45" t="s">
        <v>329</v>
      </c>
    </row>
    <row r="47" spans="1:9" x14ac:dyDescent="0.25">
      <c r="A47" s="17" t="s">
        <v>210</v>
      </c>
      <c r="B47" s="18"/>
      <c r="C47" s="18"/>
      <c r="D47" s="18"/>
      <c r="E47" s="18"/>
      <c r="F47" s="18"/>
      <c r="G47" s="18"/>
    </row>
    <row r="49" spans="1:9" x14ac:dyDescent="0.25">
      <c r="A49" t="s">
        <v>211</v>
      </c>
      <c r="F49" s="32">
        <v>6000000</v>
      </c>
      <c r="G49" s="33" t="s">
        <v>212</v>
      </c>
      <c r="I49" s="15" t="s">
        <v>231</v>
      </c>
    </row>
    <row r="50" spans="1:9" x14ac:dyDescent="0.25">
      <c r="A50" t="s">
        <v>213</v>
      </c>
      <c r="F50">
        <v>300</v>
      </c>
      <c r="G50" t="s">
        <v>214</v>
      </c>
      <c r="I50" s="15" t="s">
        <v>231</v>
      </c>
    </row>
    <row r="51" spans="1:9" x14ac:dyDescent="0.25">
      <c r="A51" t="s">
        <v>215</v>
      </c>
      <c r="F51">
        <v>8760</v>
      </c>
      <c r="G51" t="s">
        <v>216</v>
      </c>
      <c r="I51" s="15" t="s">
        <v>231</v>
      </c>
    </row>
    <row r="52" spans="1:9" x14ac:dyDescent="0.25">
      <c r="A52" t="s">
        <v>217</v>
      </c>
      <c r="F52">
        <v>1100</v>
      </c>
      <c r="G52" t="s">
        <v>193</v>
      </c>
      <c r="I52" s="15" t="s">
        <v>231</v>
      </c>
    </row>
    <row r="54" spans="1:9" x14ac:dyDescent="0.25">
      <c r="A54" t="s">
        <v>198</v>
      </c>
      <c r="F54">
        <f>(F3*365)*F52</f>
        <v>106060240.00000001</v>
      </c>
      <c r="G54" t="s">
        <v>196</v>
      </c>
    </row>
    <row r="55" spans="1:9" x14ac:dyDescent="0.25">
      <c r="A55" t="s">
        <v>197</v>
      </c>
      <c r="F55" s="34">
        <f>F54*0.003412</f>
        <v>361877.53888000007</v>
      </c>
      <c r="G55" t="s">
        <v>199</v>
      </c>
    </row>
    <row r="56" spans="1:9" x14ac:dyDescent="0.25">
      <c r="A56" t="s">
        <v>202</v>
      </c>
      <c r="F56" s="12">
        <f>(F49*1.25)/(F55*10^6)</f>
        <v>2.0725243194734525E-5</v>
      </c>
      <c r="G56" t="s">
        <v>202</v>
      </c>
    </row>
    <row r="58" spans="1:9" x14ac:dyDescent="0.25">
      <c r="A58" s="17" t="s">
        <v>237</v>
      </c>
      <c r="B58" s="18"/>
      <c r="C58" s="18"/>
      <c r="D58" s="18"/>
      <c r="E58" s="18"/>
      <c r="F58" s="18"/>
      <c r="G58" s="18"/>
    </row>
    <row r="60" spans="1:9" x14ac:dyDescent="0.25">
      <c r="A60" t="s">
        <v>234</v>
      </c>
      <c r="F60">
        <f>574-184</f>
        <v>390</v>
      </c>
      <c r="G60" s="33" t="s">
        <v>235</v>
      </c>
    </row>
    <row r="61" spans="1:9" x14ac:dyDescent="0.25">
      <c r="A61" t="s">
        <v>192</v>
      </c>
      <c r="F61">
        <v>3500</v>
      </c>
      <c r="G61" t="s">
        <v>238</v>
      </c>
      <c r="I61" s="15" t="s">
        <v>236</v>
      </c>
    </row>
    <row r="62" spans="1:9" x14ac:dyDescent="0.25">
      <c r="A62" t="s">
        <v>194</v>
      </c>
      <c r="F62" s="32">
        <v>1500000</v>
      </c>
      <c r="G62" t="s">
        <v>240</v>
      </c>
      <c r="I62" s="15" t="s">
        <v>239</v>
      </c>
    </row>
    <row r="64" spans="1:9" x14ac:dyDescent="0.25">
      <c r="A64" t="s">
        <v>198</v>
      </c>
      <c r="F64">
        <f>F61*F62</f>
        <v>5250000000</v>
      </c>
      <c r="G64" t="s">
        <v>196</v>
      </c>
    </row>
    <row r="65" spans="1:7" x14ac:dyDescent="0.25">
      <c r="A65" t="s">
        <v>197</v>
      </c>
      <c r="F65">
        <f>F64*0.003412</f>
        <v>17913000</v>
      </c>
      <c r="G65" t="s">
        <v>199</v>
      </c>
    </row>
    <row r="66" spans="1:7" x14ac:dyDescent="0.25">
      <c r="A66" t="s">
        <v>200</v>
      </c>
      <c r="F66" s="25">
        <f>F60*F62</f>
        <v>585000000</v>
      </c>
      <c r="G66" t="s">
        <v>201</v>
      </c>
    </row>
    <row r="67" spans="1:7" x14ac:dyDescent="0.25">
      <c r="A67" t="s">
        <v>202</v>
      </c>
      <c r="F67" s="12">
        <f>F66/(F65*10^6)</f>
        <v>3.265784625690839E-5</v>
      </c>
      <c r="G67" t="s">
        <v>202</v>
      </c>
    </row>
  </sheetData>
  <hyperlinks>
    <hyperlink ref="I5" r:id="rId1" xr:uid="{74C988DB-76D8-4145-BBE1-D4D23B225EB8}"/>
    <hyperlink ref="I3" r:id="rId2" xr:uid="{AE3C2C77-DEE7-417F-A91D-8588011B2FE4}"/>
    <hyperlink ref="I4" r:id="rId3" xr:uid="{094BE59D-41E3-4FD7-9FDF-AC064CEA0F0D}"/>
    <hyperlink ref="I49" r:id="rId4" xr:uid="{846023E9-701C-4DCB-AFF8-68371AA5EAAB}"/>
    <hyperlink ref="I50:I52" r:id="rId5" display="Glass Technology Services Ltd." xr:uid="{22C9B764-C975-4832-A877-CAEDEFC86ABD}"/>
    <hyperlink ref="I61" r:id="rId6" xr:uid="{B9C4C936-222A-415A-93F7-C04647B8A8F8}"/>
    <hyperlink ref="I62" r:id="rId7" xr:uid="{91898801-3109-4817-A332-119D9BDB6683}"/>
    <hyperlink ref="I24" r:id="rId8" xr:uid="{B56B537F-0535-4F1F-BD10-6F95D26F1CF9}"/>
    <hyperlink ref="I21" r:id="rId9" xr:uid="{F4D113B3-6174-475B-B0C2-A087D85EE29B}"/>
    <hyperlink ref="I25" r:id="rId10" xr:uid="{E4FAB926-5227-415A-85B9-0833AFE81296}"/>
    <hyperlink ref="I35" r:id="rId11" location=":~:text=U.S.%20cement%20produces%20more%20emissions,is%20between%200.64%20and%200.76." xr:uid="{D3609DDD-82DB-4DD7-9D57-0F7BC42F9A76}"/>
    <hyperlink ref="I34" r:id="rId12" xr:uid="{1BA8B66B-9A20-4E0A-9B55-7DB08D6E843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383B1-B2B0-41DD-8BAC-656486EFD613}">
  <dimension ref="A1:X38"/>
  <sheetViews>
    <sheetView workbookViewId="0"/>
  </sheetViews>
  <sheetFormatPr defaultColWidth="8.85546875" defaultRowHeight="15" x14ac:dyDescent="0.25"/>
  <cols>
    <col min="2" max="2" width="104.28515625" customWidth="1"/>
    <col min="3" max="3" width="11.28515625" customWidth="1"/>
    <col min="4" max="4" width="10.7109375" customWidth="1"/>
    <col min="5" max="5" width="9.7109375" customWidth="1"/>
    <col min="6" max="6" width="10.5703125" bestFit="1" customWidth="1"/>
    <col min="8" max="8" width="19.140625" customWidth="1"/>
    <col min="19" max="19" width="12" customWidth="1"/>
    <col min="20" max="20" width="9.5703125" bestFit="1" customWidth="1"/>
    <col min="23" max="23" width="12" bestFit="1" customWidth="1"/>
  </cols>
  <sheetData>
    <row r="1" spans="1:23" x14ac:dyDescent="0.25">
      <c r="A1" s="17" t="s">
        <v>294</v>
      </c>
      <c r="B1" s="18"/>
      <c r="C1" s="18"/>
    </row>
    <row r="2" spans="1:23" x14ac:dyDescent="0.25">
      <c r="A2" t="s">
        <v>144</v>
      </c>
    </row>
    <row r="3" spans="1:23" x14ac:dyDescent="0.25">
      <c r="A3" t="s">
        <v>143</v>
      </c>
    </row>
    <row r="4" spans="1:23" x14ac:dyDescent="0.25">
      <c r="A4" t="s">
        <v>160</v>
      </c>
    </row>
    <row r="5" spans="1:23" x14ac:dyDescent="0.25">
      <c r="A5" t="s">
        <v>396</v>
      </c>
    </row>
    <row r="6" spans="1:23" x14ac:dyDescent="0.25">
      <c r="A6" t="s">
        <v>159</v>
      </c>
    </row>
    <row r="8" spans="1:23" ht="15.75" x14ac:dyDescent="0.25">
      <c r="B8" s="26" t="s">
        <v>135</v>
      </c>
      <c r="C8" s="26" t="s">
        <v>136</v>
      </c>
      <c r="D8" s="26" t="s">
        <v>137</v>
      </c>
      <c r="E8" s="26" t="s">
        <v>138</v>
      </c>
      <c r="F8" s="26" t="s">
        <v>139</v>
      </c>
      <c r="G8" s="26" t="s">
        <v>140</v>
      </c>
      <c r="H8" s="26" t="s">
        <v>141</v>
      </c>
      <c r="I8" s="26" t="s">
        <v>142</v>
      </c>
      <c r="J8" s="30" t="s">
        <v>153</v>
      </c>
      <c r="K8" s="27"/>
      <c r="L8" s="29" t="s">
        <v>154</v>
      </c>
      <c r="M8" s="27"/>
      <c r="N8" s="28" t="s">
        <v>20</v>
      </c>
      <c r="O8" s="27"/>
      <c r="P8" s="29" t="s">
        <v>158</v>
      </c>
      <c r="Q8" s="27"/>
      <c r="R8" s="29" t="s">
        <v>386</v>
      </c>
      <c r="S8" s="27"/>
      <c r="T8" s="29" t="s">
        <v>385</v>
      </c>
      <c r="U8" s="27"/>
      <c r="V8" s="27"/>
      <c r="W8" s="29" t="s">
        <v>394</v>
      </c>
    </row>
    <row r="9" spans="1:23" x14ac:dyDescent="0.25">
      <c r="B9" s="3" t="s">
        <v>124</v>
      </c>
      <c r="C9" t="s">
        <v>117</v>
      </c>
      <c r="D9">
        <v>0.3</v>
      </c>
      <c r="E9">
        <v>1500</v>
      </c>
      <c r="F9" s="21">
        <v>43.754184261800326</v>
      </c>
      <c r="G9" s="21">
        <v>512727.48211595422</v>
      </c>
      <c r="H9">
        <v>1.1000000000000001</v>
      </c>
      <c r="I9">
        <v>1000</v>
      </c>
      <c r="J9" s="21">
        <f t="shared" ref="J9:J14" si="0">AVERAGE(D9,E9)</f>
        <v>750.15</v>
      </c>
      <c r="L9" s="21">
        <f>J9*1.34102</f>
        <v>1005.9661530000001</v>
      </c>
      <c r="N9" s="21">
        <f t="shared" ref="N9:N19" si="1">F9*(((D9+E9)/2)/D9)^H9*(800/I9)</f>
        <v>191398.76147944329</v>
      </c>
      <c r="P9">
        <v>7436</v>
      </c>
      <c r="R9" s="43">
        <f>0.157/0.581</f>
        <v>0.27022375215146299</v>
      </c>
      <c r="T9" s="21">
        <f t="shared" ref="T9:T19" si="2">J9*0.003412*P9</f>
        <v>19032.529744800002</v>
      </c>
      <c r="W9" s="9">
        <f t="shared" ref="W9:W19" si="3">N9/(T9*10^6)</f>
        <v>1.005640154229821E-5</v>
      </c>
    </row>
    <row r="10" spans="1:23" x14ac:dyDescent="0.25">
      <c r="B10" s="3" t="s">
        <v>125</v>
      </c>
      <c r="C10" t="s">
        <v>117</v>
      </c>
      <c r="D10">
        <v>8</v>
      </c>
      <c r="E10">
        <v>150</v>
      </c>
      <c r="F10" s="21">
        <v>1455.1962633016838</v>
      </c>
      <c r="G10" s="21">
        <v>22223.515169375642</v>
      </c>
      <c r="H10">
        <v>0.93</v>
      </c>
      <c r="I10">
        <v>1000</v>
      </c>
      <c r="J10" s="21">
        <f t="shared" si="0"/>
        <v>79</v>
      </c>
      <c r="L10" s="21">
        <f t="shared" ref="L10:L19" si="4">J10*1.34102</f>
        <v>105.94058000000001</v>
      </c>
      <c r="N10" s="21">
        <f t="shared" si="1"/>
        <v>9793.3452423684339</v>
      </c>
      <c r="P10">
        <v>4174</v>
      </c>
      <c r="R10" s="43">
        <f>0.144/0.581</f>
        <v>0.24784853700516352</v>
      </c>
      <c r="T10" s="21">
        <f t="shared" si="2"/>
        <v>1125.0933520000001</v>
      </c>
      <c r="W10" s="9">
        <f t="shared" si="3"/>
        <v>8.7044734776536431E-6</v>
      </c>
    </row>
    <row r="11" spans="1:23" x14ac:dyDescent="0.25">
      <c r="B11" s="3" t="s">
        <v>126</v>
      </c>
      <c r="C11" t="s">
        <v>117</v>
      </c>
      <c r="D11">
        <v>350</v>
      </c>
      <c r="E11">
        <v>7000</v>
      </c>
      <c r="F11" s="21">
        <v>64088.852077797135</v>
      </c>
      <c r="G11" s="21">
        <v>1137028.3379406705</v>
      </c>
      <c r="H11">
        <v>0.96</v>
      </c>
      <c r="I11">
        <v>1000</v>
      </c>
      <c r="J11" s="21">
        <f t="shared" si="0"/>
        <v>3675</v>
      </c>
      <c r="L11" s="21">
        <f t="shared" si="4"/>
        <v>4928.2485000000006</v>
      </c>
      <c r="N11" s="21">
        <f t="shared" si="1"/>
        <v>490020.45239808032</v>
      </c>
      <c r="P11">
        <v>7436</v>
      </c>
      <c r="R11" s="43">
        <f>0.157/0.581</f>
        <v>0.27022375215146299</v>
      </c>
      <c r="T11" s="21">
        <f t="shared" si="2"/>
        <v>93240.747600000002</v>
      </c>
      <c r="W11" s="9">
        <f t="shared" si="3"/>
        <v>5.2554324692917872E-6</v>
      </c>
    </row>
    <row r="12" spans="1:23" x14ac:dyDescent="0.25">
      <c r="B12" s="3" t="s">
        <v>127</v>
      </c>
      <c r="C12" t="s">
        <v>117</v>
      </c>
      <c r="D12">
        <v>500</v>
      </c>
      <c r="E12">
        <v>7000</v>
      </c>
      <c r="F12" s="21">
        <v>77307.967291430425</v>
      </c>
      <c r="G12" s="21">
        <v>655523.04372978187</v>
      </c>
      <c r="H12">
        <v>0.81</v>
      </c>
      <c r="I12">
        <v>1000</v>
      </c>
      <c r="J12" s="21">
        <f t="shared" si="0"/>
        <v>3750</v>
      </c>
      <c r="L12" s="21">
        <f t="shared" si="4"/>
        <v>5028.8250000000007</v>
      </c>
      <c r="N12" s="21">
        <f t="shared" si="1"/>
        <v>316310.68638940249</v>
      </c>
      <c r="P12">
        <v>7436</v>
      </c>
      <c r="R12" s="43">
        <f>0.157/0.581</f>
        <v>0.27022375215146299</v>
      </c>
      <c r="T12" s="21">
        <f t="shared" si="2"/>
        <v>95143.62</v>
      </c>
      <c r="W12" s="9">
        <f t="shared" si="3"/>
        <v>3.3245601374995242E-6</v>
      </c>
    </row>
    <row r="13" spans="1:23" x14ac:dyDescent="0.25">
      <c r="B13" s="3" t="s">
        <v>128</v>
      </c>
      <c r="C13" t="s">
        <v>117</v>
      </c>
      <c r="D13">
        <v>0.35</v>
      </c>
      <c r="E13">
        <v>1.8</v>
      </c>
      <c r="F13" s="21">
        <v>1297.2736980632467</v>
      </c>
      <c r="G13" s="21">
        <v>1800</v>
      </c>
      <c r="H13">
        <v>0.2</v>
      </c>
      <c r="I13">
        <v>1000</v>
      </c>
      <c r="J13" s="21">
        <f t="shared" si="0"/>
        <v>1.075</v>
      </c>
      <c r="L13" s="21">
        <f t="shared" si="4"/>
        <v>1.4415964999999999</v>
      </c>
      <c r="N13" s="21">
        <f t="shared" si="1"/>
        <v>1298.941773935192</v>
      </c>
      <c r="P13">
        <v>2745</v>
      </c>
      <c r="R13" s="43">
        <f>0.048/0.581</f>
        <v>8.2616179001721177E-2</v>
      </c>
      <c r="T13" s="21">
        <f t="shared" si="2"/>
        <v>10.0683855</v>
      </c>
      <c r="W13" s="9">
        <f t="shared" si="3"/>
        <v>1.290119229081159E-4</v>
      </c>
    </row>
    <row r="14" spans="1:23" x14ac:dyDescent="0.25">
      <c r="B14" s="3" t="s">
        <v>128</v>
      </c>
      <c r="C14" t="s">
        <v>117</v>
      </c>
      <c r="D14">
        <v>1.8</v>
      </c>
      <c r="E14">
        <v>15</v>
      </c>
      <c r="F14" s="21">
        <v>1800</v>
      </c>
      <c r="G14" s="21">
        <v>5537.4069913635094</v>
      </c>
      <c r="H14">
        <v>0.53</v>
      </c>
      <c r="I14">
        <v>1000</v>
      </c>
      <c r="J14" s="21">
        <f t="shared" si="0"/>
        <v>8.4</v>
      </c>
      <c r="L14" s="21">
        <f t="shared" si="4"/>
        <v>11.264568000000001</v>
      </c>
      <c r="N14" s="21">
        <f t="shared" si="1"/>
        <v>3257.8875198502201</v>
      </c>
      <c r="P14">
        <v>3391</v>
      </c>
      <c r="R14" s="43">
        <f>0.104/0.581</f>
        <v>0.17900172117039587</v>
      </c>
      <c r="T14" s="21">
        <f t="shared" si="2"/>
        <v>97.18877280000001</v>
      </c>
      <c r="W14" s="9">
        <f t="shared" si="3"/>
        <v>3.3521233224690123E-5</v>
      </c>
    </row>
    <row r="15" spans="1:23" x14ac:dyDescent="0.25">
      <c r="B15" s="3" t="s">
        <v>129</v>
      </c>
      <c r="C15" t="s">
        <v>130</v>
      </c>
      <c r="D15">
        <v>0.35</v>
      </c>
      <c r="E15">
        <v>7.5</v>
      </c>
      <c r="F15" s="21">
        <v>3198.2717479261355</v>
      </c>
      <c r="G15" s="21">
        <v>22051.649944608704</v>
      </c>
      <c r="H15">
        <v>0.63</v>
      </c>
      <c r="I15">
        <v>1000</v>
      </c>
      <c r="J15" s="21">
        <f>AVERAGE(D15,E15)</f>
        <v>3.9249999999999998</v>
      </c>
      <c r="L15" s="21">
        <f t="shared" si="4"/>
        <v>5.2635035000000006</v>
      </c>
      <c r="N15" s="21">
        <f t="shared" si="1"/>
        <v>11731.714005716587</v>
      </c>
      <c r="P15">
        <v>2745</v>
      </c>
      <c r="R15" s="43">
        <f>0.048/0.581</f>
        <v>8.2616179001721177E-2</v>
      </c>
      <c r="T15" s="21">
        <f t="shared" si="2"/>
        <v>36.761314500000005</v>
      </c>
      <c r="W15" s="9">
        <f t="shared" si="3"/>
        <v>3.1913205948379741E-4</v>
      </c>
    </row>
    <row r="16" spans="1:23" ht="30" x14ac:dyDescent="0.25">
      <c r="B16" s="3" t="s">
        <v>131</v>
      </c>
      <c r="C16" t="s">
        <v>132</v>
      </c>
      <c r="D16">
        <v>3</v>
      </c>
      <c r="E16">
        <v>50</v>
      </c>
      <c r="F16" s="21">
        <v>1691.6842777294887</v>
      </c>
      <c r="G16" s="21">
        <v>6000</v>
      </c>
      <c r="H16">
        <v>0.45</v>
      </c>
      <c r="I16">
        <v>1000</v>
      </c>
      <c r="J16" s="21">
        <f t="shared" ref="J16:J19" si="5">AVERAGE(D16,E16)</f>
        <v>26.5</v>
      </c>
      <c r="L16" s="21">
        <f t="shared" si="4"/>
        <v>35.537030000000001</v>
      </c>
      <c r="N16" s="21">
        <f t="shared" si="1"/>
        <v>3607.159769818647</v>
      </c>
      <c r="P16">
        <v>3530</v>
      </c>
      <c r="R16" s="43">
        <f>0.127/0.581</f>
        <v>0.21858864027538727</v>
      </c>
      <c r="T16" s="21">
        <f t="shared" si="2"/>
        <v>319.17554000000001</v>
      </c>
      <c r="W16" s="9">
        <f t="shared" si="3"/>
        <v>1.1301491868138288E-5</v>
      </c>
    </row>
    <row r="17" spans="1:24" ht="30" x14ac:dyDescent="0.25">
      <c r="B17" s="3" t="s">
        <v>133</v>
      </c>
      <c r="C17" t="s">
        <v>132</v>
      </c>
      <c r="D17">
        <v>50</v>
      </c>
      <c r="E17">
        <v>1500</v>
      </c>
      <c r="F17" s="21">
        <v>6000</v>
      </c>
      <c r="G17" s="21">
        <v>76911.661151322129</v>
      </c>
      <c r="H17">
        <v>0.75</v>
      </c>
      <c r="I17">
        <v>1000</v>
      </c>
      <c r="J17" s="21">
        <f t="shared" si="5"/>
        <v>775</v>
      </c>
      <c r="L17" s="21">
        <f t="shared" si="4"/>
        <v>1039.2905000000001</v>
      </c>
      <c r="N17" s="21">
        <f t="shared" si="1"/>
        <v>37496.437777254898</v>
      </c>
      <c r="P17">
        <v>7436</v>
      </c>
      <c r="R17" s="43">
        <f>0.157/0.581</f>
        <v>0.27022375215146299</v>
      </c>
      <c r="T17" s="21">
        <f t="shared" si="2"/>
        <v>19663.014800000001</v>
      </c>
      <c r="W17" s="9">
        <f t="shared" si="3"/>
        <v>1.9069526295253003E-6</v>
      </c>
    </row>
    <row r="18" spans="1:24" x14ac:dyDescent="0.25">
      <c r="B18" s="3" t="s">
        <v>134</v>
      </c>
      <c r="C18" t="s">
        <v>132</v>
      </c>
      <c r="D18">
        <v>3</v>
      </c>
      <c r="E18">
        <v>180</v>
      </c>
      <c r="F18" s="21">
        <v>580.86364315386913</v>
      </c>
      <c r="G18" s="21">
        <v>5300</v>
      </c>
      <c r="H18">
        <v>0.54</v>
      </c>
      <c r="I18">
        <v>1000</v>
      </c>
      <c r="J18" s="21">
        <f t="shared" si="5"/>
        <v>91.5</v>
      </c>
      <c r="L18" s="21">
        <f t="shared" si="4"/>
        <v>122.70333000000001</v>
      </c>
      <c r="N18" s="21">
        <f t="shared" si="1"/>
        <v>2942.2941929843073</v>
      </c>
      <c r="P18">
        <v>4174</v>
      </c>
      <c r="R18" s="43">
        <f>0.144/0.581</f>
        <v>0.24784853700516352</v>
      </c>
      <c r="T18" s="21">
        <f t="shared" si="2"/>
        <v>1303.114452</v>
      </c>
      <c r="W18" s="9">
        <f t="shared" si="3"/>
        <v>2.2578939159707113E-6</v>
      </c>
    </row>
    <row r="19" spans="1:24" x14ac:dyDescent="0.25">
      <c r="B19" s="3" t="s">
        <v>134</v>
      </c>
      <c r="C19" t="s">
        <v>132</v>
      </c>
      <c r="D19">
        <v>180</v>
      </c>
      <c r="E19">
        <v>1500</v>
      </c>
      <c r="F19" s="21">
        <v>5300</v>
      </c>
      <c r="G19" s="21">
        <v>297736.10466011299</v>
      </c>
      <c r="H19">
        <v>1.9</v>
      </c>
      <c r="I19">
        <v>1000</v>
      </c>
      <c r="J19" s="21">
        <f t="shared" si="5"/>
        <v>840</v>
      </c>
      <c r="L19" s="21">
        <f t="shared" si="4"/>
        <v>1126.4568000000002</v>
      </c>
      <c r="N19" s="21">
        <f t="shared" si="1"/>
        <v>79155.070568115683</v>
      </c>
      <c r="P19">
        <v>7436</v>
      </c>
      <c r="R19" s="43">
        <f>0.157/0.581</f>
        <v>0.27022375215146299</v>
      </c>
      <c r="T19" s="21">
        <f t="shared" si="2"/>
        <v>21312.170880000001</v>
      </c>
      <c r="W19" s="9">
        <f t="shared" si="3"/>
        <v>3.7140782613749238E-6</v>
      </c>
    </row>
    <row r="20" spans="1:24" x14ac:dyDescent="0.25">
      <c r="W20" s="9"/>
    </row>
    <row r="21" spans="1:24" x14ac:dyDescent="0.25">
      <c r="B21" t="s">
        <v>146</v>
      </c>
      <c r="N21" s="21"/>
      <c r="P21" s="21"/>
      <c r="Q21" s="21"/>
      <c r="T21" s="21">
        <f>AVERAGE(T9:T19)</f>
        <v>22843.953167418182</v>
      </c>
      <c r="W21" s="9">
        <f>AVERAGE(W9:W19)</f>
        <v>4.8016954538032345E-5</v>
      </c>
    </row>
    <row r="22" spans="1:24" x14ac:dyDescent="0.25">
      <c r="B22" s="1" t="s">
        <v>395</v>
      </c>
      <c r="N22" s="21"/>
      <c r="P22" s="21"/>
      <c r="Q22" s="21"/>
      <c r="T22" s="47">
        <f>SUMPRODUCT(F24:F28, I24:I28)</f>
        <v>13814.301562165096</v>
      </c>
      <c r="U22" s="1"/>
      <c r="V22" s="1"/>
      <c r="W22" s="48">
        <f>SUMPRODUCT(F24:F28, N24:N28)</f>
        <v>2.9652197760109964E-5</v>
      </c>
    </row>
    <row r="23" spans="1:24" x14ac:dyDescent="0.25">
      <c r="C23" s="49" t="s">
        <v>388</v>
      </c>
      <c r="D23" s="49"/>
      <c r="E23" s="49"/>
      <c r="F23" s="49" t="s">
        <v>397</v>
      </c>
      <c r="G23" s="49"/>
      <c r="H23" s="49"/>
      <c r="I23" s="49" t="s">
        <v>398</v>
      </c>
      <c r="J23" s="49"/>
      <c r="K23" s="49"/>
      <c r="L23" s="49"/>
      <c r="M23" s="49"/>
      <c r="N23" s="50" t="s">
        <v>394</v>
      </c>
      <c r="P23" s="21"/>
      <c r="Q23" s="21"/>
      <c r="T23" s="21"/>
    </row>
    <row r="24" spans="1:24" x14ac:dyDescent="0.25">
      <c r="C24" s="55" t="s">
        <v>391</v>
      </c>
      <c r="D24" s="56"/>
      <c r="E24" s="57"/>
      <c r="F24" s="52">
        <f>0.048/0.581</f>
        <v>8.2616179001721177E-2</v>
      </c>
      <c r="G24" s="53"/>
      <c r="H24" s="54"/>
      <c r="I24" s="58">
        <f>((T13+T15)/2)</f>
        <v>23.414850000000001</v>
      </c>
      <c r="J24" s="59"/>
      <c r="K24" s="59"/>
      <c r="L24" s="59"/>
      <c r="M24" s="60"/>
      <c r="N24" s="51">
        <f>((W13+W15)/2)</f>
        <v>2.2407199119595664E-4</v>
      </c>
      <c r="P24" s="21"/>
      <c r="Q24" s="21"/>
      <c r="T24" s="21"/>
    </row>
    <row r="25" spans="1:24" x14ac:dyDescent="0.25">
      <c r="C25" s="55" t="s">
        <v>392</v>
      </c>
      <c r="D25" s="56"/>
      <c r="E25" s="57"/>
      <c r="F25" s="52">
        <f>0.104/0.581</f>
        <v>0.17900172117039587</v>
      </c>
      <c r="G25" s="53"/>
      <c r="H25" s="54"/>
      <c r="I25" s="58">
        <f>T14</f>
        <v>97.18877280000001</v>
      </c>
      <c r="J25" s="59"/>
      <c r="K25" s="59"/>
      <c r="L25" s="59"/>
      <c r="M25" s="60"/>
      <c r="N25" s="51">
        <f>W14</f>
        <v>3.3521233224690123E-5</v>
      </c>
      <c r="P25" s="21"/>
      <c r="Q25" s="21"/>
      <c r="T25" s="21"/>
    </row>
    <row r="26" spans="1:24" x14ac:dyDescent="0.25">
      <c r="C26" s="55" t="s">
        <v>390</v>
      </c>
      <c r="D26" s="56"/>
      <c r="E26" s="57"/>
      <c r="F26" s="52">
        <f>0.127/0.581</f>
        <v>0.21858864027538727</v>
      </c>
      <c r="G26" s="53"/>
      <c r="H26" s="54"/>
      <c r="I26" s="58">
        <f>T16</f>
        <v>319.17554000000001</v>
      </c>
      <c r="J26" s="59"/>
      <c r="K26" s="59"/>
      <c r="L26" s="59"/>
      <c r="M26" s="60"/>
      <c r="N26" s="51">
        <f>W16</f>
        <v>1.1301491868138288E-5</v>
      </c>
      <c r="P26" s="21"/>
      <c r="Q26" s="21"/>
      <c r="T26" s="21"/>
    </row>
    <row r="27" spans="1:24" x14ac:dyDescent="0.25">
      <c r="C27" s="55" t="s">
        <v>389</v>
      </c>
      <c r="D27" s="56"/>
      <c r="E27" s="57"/>
      <c r="F27" s="52">
        <f>0.144/0.581</f>
        <v>0.24784853700516352</v>
      </c>
      <c r="G27" s="53"/>
      <c r="H27" s="54"/>
      <c r="I27" s="58">
        <f>((T10+T18)/2)</f>
        <v>1214.1039020000001</v>
      </c>
      <c r="J27" s="59"/>
      <c r="K27" s="59"/>
      <c r="L27" s="59"/>
      <c r="M27" s="60"/>
      <c r="N27" s="51">
        <f>((W10+W18)/2)</f>
        <v>5.481183696812177E-6</v>
      </c>
      <c r="P27" s="21"/>
      <c r="Q27" s="21"/>
      <c r="T27" s="21"/>
    </row>
    <row r="28" spans="1:24" x14ac:dyDescent="0.25">
      <c r="C28" s="55" t="s">
        <v>393</v>
      </c>
      <c r="D28" s="56"/>
      <c r="E28" s="57"/>
      <c r="F28" s="52">
        <f>0.157/0.581</f>
        <v>0.27022375215146299</v>
      </c>
      <c r="G28" s="53"/>
      <c r="H28" s="54"/>
      <c r="I28" s="58">
        <f>((T9+T11+T12+T17+T19)/5)</f>
        <v>49678.416604960003</v>
      </c>
      <c r="J28" s="59"/>
      <c r="K28" s="59"/>
      <c r="L28" s="59"/>
      <c r="M28" s="60"/>
      <c r="N28" s="51">
        <f>((W9+W11+W12+W17+W19)/5)</f>
        <v>4.8514850079979492E-6</v>
      </c>
      <c r="P28" s="21"/>
      <c r="Q28" s="21"/>
      <c r="T28" s="21"/>
    </row>
    <row r="29" spans="1:24" x14ac:dyDescent="0.25">
      <c r="U29" s="9"/>
      <c r="W29" s="9"/>
    </row>
    <row r="30" spans="1:24" x14ac:dyDescent="0.25">
      <c r="W30" s="9"/>
      <c r="X30" s="9"/>
    </row>
    <row r="31" spans="1:24" x14ac:dyDescent="0.25">
      <c r="A31" s="17" t="s">
        <v>285</v>
      </c>
      <c r="B31" s="18"/>
      <c r="C31" s="18"/>
    </row>
    <row r="32" spans="1:24" x14ac:dyDescent="0.25">
      <c r="G32" s="1" t="s">
        <v>203</v>
      </c>
      <c r="U32" s="9"/>
      <c r="W32" s="9"/>
    </row>
    <row r="33" spans="2:20" x14ac:dyDescent="0.25">
      <c r="B33" t="s">
        <v>286</v>
      </c>
      <c r="D33" s="21">
        <v>502</v>
      </c>
      <c r="E33" t="s">
        <v>164</v>
      </c>
      <c r="G33" s="15" t="s">
        <v>287</v>
      </c>
      <c r="T33" s="9"/>
    </row>
    <row r="34" spans="2:20" x14ac:dyDescent="0.25">
      <c r="B34" t="s">
        <v>288</v>
      </c>
      <c r="D34" s="21">
        <v>250</v>
      </c>
      <c r="E34" t="s">
        <v>289</v>
      </c>
      <c r="G34" s="15" t="s">
        <v>290</v>
      </c>
      <c r="T34" s="9"/>
    </row>
    <row r="35" spans="2:20" x14ac:dyDescent="0.25">
      <c r="B35" t="s">
        <v>291</v>
      </c>
      <c r="D35" s="21">
        <f>D34/1.341</f>
        <v>186.42803877703207</v>
      </c>
      <c r="E35" t="s">
        <v>117</v>
      </c>
    </row>
    <row r="36" spans="2:20" x14ac:dyDescent="0.25">
      <c r="B36" t="s">
        <v>292</v>
      </c>
      <c r="D36" s="21">
        <v>2080</v>
      </c>
      <c r="E36" t="s">
        <v>216</v>
      </c>
      <c r="G36" s="15" t="s">
        <v>290</v>
      </c>
      <c r="I36" s="8"/>
    </row>
    <row r="37" spans="2:20" x14ac:dyDescent="0.25">
      <c r="B37" t="s">
        <v>19</v>
      </c>
      <c r="D37" s="21">
        <f>D35*0.003412*D36</f>
        <v>1323.0723340790455</v>
      </c>
      <c r="E37" t="s">
        <v>293</v>
      </c>
    </row>
    <row r="38" spans="2:20" x14ac:dyDescent="0.25">
      <c r="B38" t="s">
        <v>145</v>
      </c>
      <c r="D38" s="12">
        <f>(D33*D35)/(D37*10^6)</f>
        <v>7.0734511678239686E-5</v>
      </c>
      <c r="E38" t="s">
        <v>145</v>
      </c>
    </row>
  </sheetData>
  <mergeCells count="15">
    <mergeCell ref="I24:M24"/>
    <mergeCell ref="I25:M25"/>
    <mergeCell ref="I26:M26"/>
    <mergeCell ref="I27:M27"/>
    <mergeCell ref="I28:M28"/>
    <mergeCell ref="C24:E24"/>
    <mergeCell ref="C25:E25"/>
    <mergeCell ref="C26:E26"/>
    <mergeCell ref="C27:E27"/>
    <mergeCell ref="C28:E28"/>
    <mergeCell ref="F24:H24"/>
    <mergeCell ref="F25:H25"/>
    <mergeCell ref="F26:H26"/>
    <mergeCell ref="F27:H27"/>
    <mergeCell ref="F28:H28"/>
  </mergeCells>
  <hyperlinks>
    <hyperlink ref="G33" r:id="rId1" xr:uid="{89D540DE-65F8-419E-8E02-FD08F0D4350B}"/>
    <hyperlink ref="G34" r:id="rId2" xr:uid="{2BEBA02A-CA41-4A57-93D0-D9F4D2610A4F}"/>
    <hyperlink ref="G36" r:id="rId3" xr:uid="{098A2275-9E62-4836-8A3D-FE6E71782B1D}"/>
  </hyperlinks>
  <pageMargins left="0.7" right="0.7" top="0.75" bottom="0.75" header="0.3" footer="0.3"/>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2D184-069E-47A4-BC3F-9F054759DD84}">
  <dimension ref="A1:K35"/>
  <sheetViews>
    <sheetView workbookViewId="0"/>
  </sheetViews>
  <sheetFormatPr defaultColWidth="8.85546875" defaultRowHeight="15" x14ac:dyDescent="0.25"/>
  <cols>
    <col min="3" max="3" width="30.28515625" customWidth="1"/>
    <col min="7" max="7" width="12" bestFit="1" customWidth="1"/>
  </cols>
  <sheetData>
    <row r="1" spans="1:11" x14ac:dyDescent="0.25">
      <c r="A1" s="17" t="s">
        <v>161</v>
      </c>
      <c r="B1" s="18"/>
      <c r="C1" s="18"/>
      <c r="D1" s="18"/>
      <c r="E1" s="18"/>
      <c r="F1" s="18"/>
      <c r="G1" s="18"/>
    </row>
    <row r="2" spans="1:11" x14ac:dyDescent="0.25">
      <c r="A2" s="24" t="s">
        <v>162</v>
      </c>
    </row>
    <row r="3" spans="1:11" x14ac:dyDescent="0.25">
      <c r="A3" s="24" t="s">
        <v>188</v>
      </c>
    </row>
    <row r="4" spans="1:11" x14ac:dyDescent="0.25">
      <c r="A4" s="24"/>
    </row>
    <row r="5" spans="1:11" x14ac:dyDescent="0.25">
      <c r="A5" s="1" t="s">
        <v>163</v>
      </c>
      <c r="G5" s="1"/>
      <c r="K5" s="1"/>
    </row>
    <row r="6" spans="1:11" x14ac:dyDescent="0.25">
      <c r="A6" t="s">
        <v>176</v>
      </c>
      <c r="D6">
        <f>AVERAGE(760,1000)</f>
        <v>880</v>
      </c>
      <c r="E6" t="s">
        <v>164</v>
      </c>
    </row>
    <row r="7" spans="1:11" x14ac:dyDescent="0.25">
      <c r="A7" t="s">
        <v>178</v>
      </c>
      <c r="D7">
        <f>AVERAGE(373.1,597)</f>
        <v>485.05</v>
      </c>
      <c r="E7" t="s">
        <v>164</v>
      </c>
    </row>
    <row r="9" spans="1:11" x14ac:dyDescent="0.25">
      <c r="A9" s="1" t="s">
        <v>165</v>
      </c>
    </row>
    <row r="11" spans="1:11" x14ac:dyDescent="0.25">
      <c r="A11" t="s">
        <v>177</v>
      </c>
      <c r="D11">
        <f>AVERAGE(975,1200)</f>
        <v>1087.5</v>
      </c>
      <c r="E11" t="s">
        <v>164</v>
      </c>
    </row>
    <row r="12" spans="1:11" x14ac:dyDescent="0.25">
      <c r="A12" t="s">
        <v>178</v>
      </c>
      <c r="D12">
        <f>AVERAGE(1492.5,2238.8)</f>
        <v>1865.65</v>
      </c>
      <c r="E12" t="s">
        <v>164</v>
      </c>
    </row>
    <row r="14" spans="1:11" x14ac:dyDescent="0.25">
      <c r="A14" t="s">
        <v>168</v>
      </c>
    </row>
    <row r="15" spans="1:11" x14ac:dyDescent="0.25">
      <c r="A15" t="s">
        <v>170</v>
      </c>
      <c r="D15">
        <v>1.5</v>
      </c>
      <c r="E15" t="s">
        <v>169</v>
      </c>
    </row>
    <row r="16" spans="1:11" x14ac:dyDescent="0.25">
      <c r="A16" t="s">
        <v>172</v>
      </c>
      <c r="D16">
        <v>70</v>
      </c>
      <c r="E16" t="s">
        <v>171</v>
      </c>
    </row>
    <row r="18" spans="1:7" x14ac:dyDescent="0.25">
      <c r="A18" t="s">
        <v>180</v>
      </c>
      <c r="G18">
        <f>(D6)*(1.5*1000000)</f>
        <v>1320000000</v>
      </c>
    </row>
    <row r="19" spans="1:7" x14ac:dyDescent="0.25">
      <c r="A19" t="s">
        <v>173</v>
      </c>
      <c r="G19">
        <f>(1.5*1000000)*(0.7*8760)</f>
        <v>9198000000</v>
      </c>
    </row>
    <row r="20" spans="1:7" x14ac:dyDescent="0.25">
      <c r="A20" t="s">
        <v>174</v>
      </c>
      <c r="G20">
        <f>G19*3412</f>
        <v>31383576000000</v>
      </c>
    </row>
    <row r="21" spans="1:7" x14ac:dyDescent="0.25">
      <c r="A21" t="s">
        <v>179</v>
      </c>
      <c r="G21">
        <f>G18/G20</f>
        <v>4.2060216464815867E-5</v>
      </c>
    </row>
    <row r="22" spans="1:7" x14ac:dyDescent="0.25">
      <c r="A22" t="s">
        <v>182</v>
      </c>
      <c r="G22">
        <f>(D7*(1.5*1000000))/G20</f>
        <v>2.3183304541203336E-5</v>
      </c>
    </row>
    <row r="24" spans="1:7" x14ac:dyDescent="0.25">
      <c r="A24" t="s">
        <v>181</v>
      </c>
      <c r="G24">
        <f>(D11)*(1.5*1000000)</f>
        <v>1631250000</v>
      </c>
    </row>
    <row r="25" spans="1:7" x14ac:dyDescent="0.25">
      <c r="A25" t="s">
        <v>173</v>
      </c>
      <c r="G25">
        <f>(1.5*1000000)*(0.7*8760)</f>
        <v>9198000000</v>
      </c>
    </row>
    <row r="26" spans="1:7" x14ac:dyDescent="0.25">
      <c r="A26" t="s">
        <v>174</v>
      </c>
      <c r="G26">
        <f>G25*3412</f>
        <v>31383576000000</v>
      </c>
    </row>
    <row r="27" spans="1:7" x14ac:dyDescent="0.25">
      <c r="A27" t="s">
        <v>179</v>
      </c>
      <c r="G27">
        <f>G24/G26</f>
        <v>5.1977824324417333E-5</v>
      </c>
    </row>
    <row r="28" spans="1:7" x14ac:dyDescent="0.25">
      <c r="A28" t="s">
        <v>182</v>
      </c>
      <c r="G28">
        <f>(D12*(1.5*1000000))/G26</f>
        <v>8.9170048690436044E-5</v>
      </c>
    </row>
    <row r="30" spans="1:7" x14ac:dyDescent="0.25">
      <c r="A30" t="s">
        <v>166</v>
      </c>
    </row>
    <row r="32" spans="1:7" x14ac:dyDescent="0.25">
      <c r="A32" t="s">
        <v>167</v>
      </c>
      <c r="G32" s="12">
        <f>(G21*0.75)+(G27*0.25)</f>
        <v>4.4539618429716232E-5</v>
      </c>
    </row>
    <row r="33" spans="1:7" x14ac:dyDescent="0.25">
      <c r="A33" t="s">
        <v>175</v>
      </c>
      <c r="G33" s="9">
        <f>G32*0.6</f>
        <v>2.6723771057829738E-5</v>
      </c>
    </row>
    <row r="34" spans="1:7" x14ac:dyDescent="0.25">
      <c r="G34" s="9"/>
    </row>
    <row r="35" spans="1:7" x14ac:dyDescent="0.25">
      <c r="A35" t="s">
        <v>183</v>
      </c>
      <c r="G35" s="9">
        <f>(G22*0.75)+(G28*0.25)</f>
        <v>3.9679990578511508E-5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63D77-55A0-4A3F-A167-AF9495B144EE}">
  <dimension ref="A1:H29"/>
  <sheetViews>
    <sheetView zoomScale="130" zoomScaleNormal="130" workbookViewId="0"/>
  </sheetViews>
  <sheetFormatPr defaultColWidth="8.85546875" defaultRowHeight="15" x14ac:dyDescent="0.25"/>
  <cols>
    <col min="1" max="1" width="18.42578125" customWidth="1"/>
    <col min="2" max="2" width="13.7109375" customWidth="1"/>
    <col min="3" max="3" width="10.7109375" customWidth="1"/>
    <col min="5" max="5" width="12" bestFit="1" customWidth="1"/>
  </cols>
  <sheetData>
    <row r="1" spans="1:8" x14ac:dyDescent="0.25">
      <c r="A1" s="17" t="s">
        <v>276</v>
      </c>
      <c r="B1" s="18"/>
      <c r="C1" s="18"/>
      <c r="D1" s="18"/>
      <c r="E1" s="18"/>
      <c r="F1" s="18"/>
      <c r="G1" s="18"/>
      <c r="H1" s="18"/>
    </row>
    <row r="3" spans="1:8" x14ac:dyDescent="0.25">
      <c r="A3" t="s">
        <v>190</v>
      </c>
      <c r="E3" s="39">
        <f>2758*1.03</f>
        <v>2840.7400000000002</v>
      </c>
      <c r="F3" t="s">
        <v>278</v>
      </c>
      <c r="H3" t="s">
        <v>281</v>
      </c>
    </row>
    <row r="4" spans="1:8" x14ac:dyDescent="0.25">
      <c r="A4" t="s">
        <v>277</v>
      </c>
      <c r="E4">
        <v>18</v>
      </c>
      <c r="F4" t="s">
        <v>117</v>
      </c>
      <c r="H4" s="15" t="s">
        <v>280</v>
      </c>
    </row>
    <row r="5" spans="1:8" x14ac:dyDescent="0.25">
      <c r="A5" t="s">
        <v>55</v>
      </c>
      <c r="E5">
        <f>18*365</f>
        <v>6570</v>
      </c>
      <c r="F5" t="s">
        <v>247</v>
      </c>
      <c r="H5" t="s">
        <v>279</v>
      </c>
    </row>
    <row r="7" spans="1:8" x14ac:dyDescent="0.25">
      <c r="A7" t="s">
        <v>198</v>
      </c>
      <c r="E7">
        <f>E4*E5</f>
        <v>118260</v>
      </c>
      <c r="F7" t="s">
        <v>196</v>
      </c>
    </row>
    <row r="8" spans="1:8" x14ac:dyDescent="0.25">
      <c r="A8" t="s">
        <v>197</v>
      </c>
      <c r="E8">
        <f>E7*0.003412</f>
        <v>403.50312000000002</v>
      </c>
      <c r="F8" t="s">
        <v>199</v>
      </c>
    </row>
    <row r="9" spans="1:8" x14ac:dyDescent="0.25">
      <c r="A9" t="s">
        <v>202</v>
      </c>
      <c r="E9" s="12">
        <f>E3/(E8*10^6)</f>
        <v>7.0401933942914745E-6</v>
      </c>
      <c r="F9" t="s">
        <v>202</v>
      </c>
    </row>
    <row r="12" spans="1:8" x14ac:dyDescent="0.25">
      <c r="A12" s="17" t="s">
        <v>264</v>
      </c>
      <c r="B12" s="18"/>
      <c r="C12" s="18"/>
    </row>
    <row r="14" spans="1:8" x14ac:dyDescent="0.25">
      <c r="A14" t="s">
        <v>284</v>
      </c>
    </row>
    <row r="16" spans="1:8" x14ac:dyDescent="0.25">
      <c r="A16" t="s">
        <v>263</v>
      </c>
      <c r="B16" s="8">
        <v>862500</v>
      </c>
      <c r="C16" t="s">
        <v>86</v>
      </c>
    </row>
    <row r="17" spans="1:3" x14ac:dyDescent="0.25">
      <c r="A17" t="s">
        <v>262</v>
      </c>
      <c r="B17" s="8">
        <v>1500000</v>
      </c>
      <c r="C17" t="s">
        <v>86</v>
      </c>
    </row>
    <row r="18" spans="1:3" x14ac:dyDescent="0.25">
      <c r="A18" t="s">
        <v>261</v>
      </c>
      <c r="B18" s="8">
        <f>AVERAGE(B16,B17)</f>
        <v>1181250</v>
      </c>
      <c r="C18" t="s">
        <v>86</v>
      </c>
    </row>
    <row r="20" spans="1:3" x14ac:dyDescent="0.25">
      <c r="A20" t="s">
        <v>83</v>
      </c>
      <c r="B20" s="32">
        <v>8760</v>
      </c>
      <c r="C20" t="s">
        <v>247</v>
      </c>
    </row>
    <row r="21" spans="1:3" x14ac:dyDescent="0.25">
      <c r="A21" t="s">
        <v>260</v>
      </c>
      <c r="B21" s="32">
        <v>6051100</v>
      </c>
      <c r="C21" t="s">
        <v>259</v>
      </c>
    </row>
    <row r="23" spans="1:3" x14ac:dyDescent="0.25">
      <c r="A23" t="s">
        <v>258</v>
      </c>
      <c r="B23">
        <f>B20*B21</f>
        <v>53007636000</v>
      </c>
      <c r="C23" t="s">
        <v>257</v>
      </c>
    </row>
    <row r="24" spans="1:3" x14ac:dyDescent="0.25">
      <c r="A24" t="s">
        <v>82</v>
      </c>
      <c r="B24" s="12">
        <f>B18/B23</f>
        <v>2.2284525195577483E-5</v>
      </c>
      <c r="C24" t="s">
        <v>256</v>
      </c>
    </row>
    <row r="28" spans="1:3" x14ac:dyDescent="0.25">
      <c r="A28" s="1" t="s">
        <v>295</v>
      </c>
    </row>
    <row r="29" spans="1:3" x14ac:dyDescent="0.25">
      <c r="A29" s="1" t="s">
        <v>296</v>
      </c>
    </row>
  </sheetData>
  <hyperlinks>
    <hyperlink ref="H4" r:id="rId1" xr:uid="{0EBADC85-7E7A-4D8B-B878-F45654EA16C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8963D-3265-44FA-8138-35C2A57258D3}">
  <sheetPr>
    <tabColor theme="3" tint="0.249977111117893"/>
  </sheetPr>
  <dimension ref="A1:M44"/>
  <sheetViews>
    <sheetView tabSelected="1" workbookViewId="0">
      <selection activeCell="L2" sqref="L2"/>
    </sheetView>
  </sheetViews>
  <sheetFormatPr defaultColWidth="8.85546875" defaultRowHeight="15" x14ac:dyDescent="0.25"/>
  <cols>
    <col min="1" max="1" width="35" customWidth="1"/>
    <col min="2" max="11" width="13.28515625" customWidth="1"/>
  </cols>
  <sheetData>
    <row r="1" spans="1:13" s="3" customFormat="1" ht="60" x14ac:dyDescent="0.25">
      <c r="A1" s="4" t="s">
        <v>46</v>
      </c>
      <c r="B1" s="2" t="s">
        <v>1</v>
      </c>
      <c r="C1" s="2" t="s">
        <v>2</v>
      </c>
      <c r="D1" s="2" t="s">
        <v>3</v>
      </c>
      <c r="E1" s="2" t="s">
        <v>4</v>
      </c>
      <c r="F1" s="2" t="s">
        <v>5</v>
      </c>
      <c r="G1" s="2" t="s">
        <v>6</v>
      </c>
      <c r="H1" s="2" t="s">
        <v>7</v>
      </c>
      <c r="I1" s="2" t="s">
        <v>8</v>
      </c>
      <c r="J1" s="2" t="s">
        <v>9</v>
      </c>
      <c r="K1" s="2" t="s">
        <v>10</v>
      </c>
      <c r="L1" s="2" t="s">
        <v>401</v>
      </c>
      <c r="M1" s="2" t="s">
        <v>402</v>
      </c>
    </row>
    <row r="2" spans="1:13" x14ac:dyDescent="0.25">
      <c r="A2" s="5" t="s">
        <v>11</v>
      </c>
      <c r="B2" s="12">
        <f>Boilers!$A$18</f>
        <v>5.6711966224873446E-5</v>
      </c>
      <c r="C2" s="12">
        <f>Boilers!$G$43</f>
        <v>1.4986595988547842E-5</v>
      </c>
      <c r="D2" s="12">
        <f>Boilers!A39</f>
        <v>1.5989491110961776E-5</v>
      </c>
      <c r="E2" s="10">
        <f>C2</f>
        <v>1.4986595988547842E-5</v>
      </c>
      <c r="F2" s="12">
        <f>Boilers!$G$44</f>
        <v>9.436004881678272E-6</v>
      </c>
      <c r="G2" s="40">
        <v>0</v>
      </c>
      <c r="H2" s="10">
        <f>F2</f>
        <v>9.436004881678272E-6</v>
      </c>
      <c r="I2" s="10">
        <f>F2</f>
        <v>9.436004881678272E-6</v>
      </c>
      <c r="J2" s="10">
        <f>F2</f>
        <v>9.436004881678272E-6</v>
      </c>
      <c r="K2" s="12">
        <f>Boilers!A60</f>
        <v>2.3984236666442662E-5</v>
      </c>
      <c r="L2" s="12">
        <f>K2</f>
        <v>2.3984236666442662E-5</v>
      </c>
      <c r="M2" s="12">
        <f t="shared" ref="M2:M9" si="0">L2</f>
        <v>2.3984236666442662E-5</v>
      </c>
    </row>
    <row r="3" spans="1:13" x14ac:dyDescent="0.25">
      <c r="A3" s="5" t="s">
        <v>12</v>
      </c>
      <c r="B3" s="10">
        <f>B2</f>
        <v>5.6711966224873446E-5</v>
      </c>
      <c r="C3" s="10">
        <f t="shared" ref="C3:K3" si="1">C2</f>
        <v>1.4986595988547842E-5</v>
      </c>
      <c r="D3" s="10">
        <f t="shared" si="1"/>
        <v>1.5989491110961776E-5</v>
      </c>
      <c r="E3" s="10">
        <f t="shared" si="1"/>
        <v>1.4986595988547842E-5</v>
      </c>
      <c r="F3" s="10">
        <f t="shared" si="1"/>
        <v>9.436004881678272E-6</v>
      </c>
      <c r="G3" s="40">
        <f t="shared" si="1"/>
        <v>0</v>
      </c>
      <c r="H3" s="10">
        <f t="shared" si="1"/>
        <v>9.436004881678272E-6</v>
      </c>
      <c r="I3" s="10">
        <f t="shared" si="1"/>
        <v>9.436004881678272E-6</v>
      </c>
      <c r="J3" s="10">
        <f t="shared" si="1"/>
        <v>9.436004881678272E-6</v>
      </c>
      <c r="K3" s="10">
        <f t="shared" si="1"/>
        <v>2.3984236666442662E-5</v>
      </c>
      <c r="L3" s="10">
        <f t="shared" ref="L3:M3" si="2">K3</f>
        <v>2.3984236666442662E-5</v>
      </c>
      <c r="M3" s="10">
        <f t="shared" si="0"/>
        <v>2.3984236666442662E-5</v>
      </c>
    </row>
    <row r="4" spans="1:13" x14ac:dyDescent="0.25">
      <c r="A4" s="5" t="s">
        <v>13</v>
      </c>
      <c r="B4" s="12">
        <f>'NB Medium Temp'!D40</f>
        <v>3.4771933032458345E-5</v>
      </c>
      <c r="C4" s="10">
        <f>D4</f>
        <v>3.1780367029653324E-5</v>
      </c>
      <c r="D4" s="12">
        <f>'NB Medium Temp'!D41</f>
        <v>3.1780367029653324E-5</v>
      </c>
      <c r="E4" s="10">
        <f>C4</f>
        <v>3.1780367029653324E-5</v>
      </c>
      <c r="F4" s="10">
        <f>D4</f>
        <v>3.1780367029653324E-5</v>
      </c>
      <c r="G4" s="40">
        <v>0</v>
      </c>
      <c r="H4" s="10">
        <f t="shared" ref="H4" si="3">F4</f>
        <v>3.1780367029653324E-5</v>
      </c>
      <c r="I4" s="10">
        <f t="shared" ref="I4" si="4">F4</f>
        <v>3.1780367029653324E-5</v>
      </c>
      <c r="J4" s="10">
        <f t="shared" ref="J4" si="5">F4</f>
        <v>3.1780367029653324E-5</v>
      </c>
      <c r="K4" s="10">
        <f>D4</f>
        <v>3.1780367029653324E-5</v>
      </c>
      <c r="L4" s="10">
        <f t="shared" ref="L4:M4" si="6">K4</f>
        <v>3.1780367029653324E-5</v>
      </c>
      <c r="M4" s="10">
        <f t="shared" si="0"/>
        <v>3.1780367029653324E-5</v>
      </c>
    </row>
    <row r="5" spans="1:13" x14ac:dyDescent="0.25">
      <c r="A5" s="5" t="s">
        <v>14</v>
      </c>
      <c r="B5" s="12">
        <f>'NB High Temp'!F10</f>
        <v>1.7204637228083889E-4</v>
      </c>
      <c r="C5" s="12">
        <f>'NB High Temp'!F45</f>
        <v>4.5951806950193628E-6</v>
      </c>
      <c r="D5" s="12">
        <f>'NB High Temp'!F56</f>
        <v>2.0725243194734525E-5</v>
      </c>
      <c r="E5" s="10">
        <f>C5</f>
        <v>4.5951806950193628E-6</v>
      </c>
      <c r="F5" s="10">
        <f>D5*(F2/D2)</f>
        <v>1.2230751723262388E-5</v>
      </c>
      <c r="G5" s="40">
        <v>0</v>
      </c>
      <c r="H5" s="10">
        <f t="shared" ref="H5" si="7">F5</f>
        <v>1.2230751723262388E-5</v>
      </c>
      <c r="I5" s="10">
        <f t="shared" ref="I5" si="8">F5</f>
        <v>1.2230751723262388E-5</v>
      </c>
      <c r="J5" s="10">
        <f t="shared" ref="J5" si="9">F5</f>
        <v>1.2230751723262388E-5</v>
      </c>
      <c r="K5" s="12">
        <f>'NB High Temp'!F67</f>
        <v>3.265784625690839E-5</v>
      </c>
      <c r="L5" s="12">
        <f t="shared" ref="L5:M5" si="10">K5</f>
        <v>3.265784625690839E-5</v>
      </c>
      <c r="M5" s="12">
        <f t="shared" si="0"/>
        <v>3.265784625690839E-5</v>
      </c>
    </row>
    <row r="6" spans="1:13" x14ac:dyDescent="0.25">
      <c r="A6" s="5" t="s">
        <v>15</v>
      </c>
      <c r="B6" s="12">
        <f>Cooling!$B$49</f>
        <v>4.4520366169683022E-5</v>
      </c>
      <c r="C6" s="10">
        <f>$D$6</f>
        <v>1.8088159747275158E-5</v>
      </c>
      <c r="D6" s="12">
        <f>Cooling!$B$27</f>
        <v>1.8088159747275158E-5</v>
      </c>
      <c r="E6" s="10">
        <f t="shared" ref="E6:F6" si="11">$D$6</f>
        <v>1.8088159747275158E-5</v>
      </c>
      <c r="F6" s="10">
        <f t="shared" si="11"/>
        <v>1.8088159747275158E-5</v>
      </c>
      <c r="G6" s="40">
        <v>0</v>
      </c>
      <c r="H6" s="10">
        <f t="shared" ref="H6:J6" si="12">$D$6</f>
        <v>1.8088159747275158E-5</v>
      </c>
      <c r="I6" s="10">
        <f t="shared" si="12"/>
        <v>1.8088159747275158E-5</v>
      </c>
      <c r="J6" s="10">
        <f t="shared" si="12"/>
        <v>1.8088159747275158E-5</v>
      </c>
      <c r="K6" s="10">
        <f>$D$6*(K2/D2)</f>
        <v>2.7132239620912736E-5</v>
      </c>
      <c r="L6" s="10">
        <f t="shared" ref="L6:M6" si="13">K6</f>
        <v>2.7132239620912736E-5</v>
      </c>
      <c r="M6" s="10">
        <f t="shared" si="0"/>
        <v>2.7132239620912736E-5</v>
      </c>
    </row>
    <row r="7" spans="1:13" x14ac:dyDescent="0.25">
      <c r="A7" s="5" t="s">
        <v>16</v>
      </c>
      <c r="B7" s="12">
        <f>'Machine Drive'!$W$22</f>
        <v>2.9652197760109964E-5</v>
      </c>
      <c r="C7" s="10">
        <f>$F$7</f>
        <v>7.0734511678239686E-5</v>
      </c>
      <c r="D7" s="10">
        <f t="shared" ref="D7:E7" si="14">$F$7</f>
        <v>7.0734511678239686E-5</v>
      </c>
      <c r="E7" s="10">
        <f t="shared" si="14"/>
        <v>7.0734511678239686E-5</v>
      </c>
      <c r="F7" s="12">
        <f>'Machine Drive'!D38</f>
        <v>7.0734511678239686E-5</v>
      </c>
      <c r="G7" s="40">
        <v>0</v>
      </c>
      <c r="H7" s="10">
        <f t="shared" ref="H7:M7" si="15">$F$7</f>
        <v>7.0734511678239686E-5</v>
      </c>
      <c r="I7" s="10">
        <f t="shared" si="15"/>
        <v>7.0734511678239686E-5</v>
      </c>
      <c r="J7" s="10">
        <f t="shared" si="15"/>
        <v>7.0734511678239686E-5</v>
      </c>
      <c r="K7" s="10">
        <f t="shared" si="15"/>
        <v>7.0734511678239686E-5</v>
      </c>
      <c r="L7" s="10">
        <f t="shared" ref="L7:M7" si="16">K7</f>
        <v>7.0734511678239686E-5</v>
      </c>
      <c r="M7" s="10">
        <f t="shared" si="0"/>
        <v>7.0734511678239686E-5</v>
      </c>
    </row>
    <row r="8" spans="1:13" x14ac:dyDescent="0.25">
      <c r="A8" s="5" t="s">
        <v>17</v>
      </c>
      <c r="B8" s="12">
        <f>Electrochemical!$G32</f>
        <v>4.4539618429716232E-5</v>
      </c>
      <c r="C8" s="40">
        <v>0</v>
      </c>
      <c r="D8" s="40">
        <v>0</v>
      </c>
      <c r="E8" s="40">
        <v>0</v>
      </c>
      <c r="F8" s="40">
        <v>0</v>
      </c>
      <c r="G8" s="40">
        <v>0</v>
      </c>
      <c r="H8" s="40">
        <v>0</v>
      </c>
      <c r="I8" s="40">
        <v>0</v>
      </c>
      <c r="J8" s="40">
        <v>0</v>
      </c>
      <c r="K8" s="40">
        <v>0</v>
      </c>
      <c r="L8" s="40">
        <f t="shared" ref="L8:M8" si="17">K8</f>
        <v>0</v>
      </c>
      <c r="M8" s="40">
        <f t="shared" si="0"/>
        <v>0</v>
      </c>
    </row>
    <row r="9" spans="1:13" x14ac:dyDescent="0.25">
      <c r="A9" s="5" t="s">
        <v>18</v>
      </c>
      <c r="B9" s="12">
        <f>Other!E9</f>
        <v>7.0401933942914745E-6</v>
      </c>
      <c r="C9" s="10">
        <f>D9*(C2/D2)</f>
        <v>2.0886792055175448E-5</v>
      </c>
      <c r="D9" s="12">
        <f>Other!B24</f>
        <v>2.2284525195577483E-5</v>
      </c>
      <c r="E9" s="10">
        <f>C9</f>
        <v>2.0886792055175448E-5</v>
      </c>
      <c r="F9" s="10">
        <f>D9*(F2/D2)</f>
        <v>1.3150943145851209E-5</v>
      </c>
      <c r="G9" s="40">
        <v>0</v>
      </c>
      <c r="H9" s="10">
        <f>F9</f>
        <v>1.3150943145851209E-5</v>
      </c>
      <c r="I9" s="10">
        <f>F9</f>
        <v>1.3150943145851209E-5</v>
      </c>
      <c r="J9" s="10">
        <f>F9</f>
        <v>1.3150943145851209E-5</v>
      </c>
      <c r="K9" s="10">
        <f>D9*(K2/D2)</f>
        <v>3.3426787793366228E-5</v>
      </c>
      <c r="L9" s="10">
        <f t="shared" ref="L9:M9" si="18">K9</f>
        <v>3.3426787793366228E-5</v>
      </c>
      <c r="M9" s="10">
        <f t="shared" si="0"/>
        <v>3.3426787793366228E-5</v>
      </c>
    </row>
    <row r="12" spans="1:13" x14ac:dyDescent="0.25">
      <c r="A12" s="13" t="s">
        <v>80</v>
      </c>
    </row>
    <row r="13" spans="1:13" x14ac:dyDescent="0.25">
      <c r="A13" t="s">
        <v>282</v>
      </c>
    </row>
    <row r="41" spans="1:1" x14ac:dyDescent="0.25">
      <c r="A41" t="s">
        <v>381</v>
      </c>
    </row>
    <row r="42" spans="1:1" x14ac:dyDescent="0.25">
      <c r="A42" t="s">
        <v>380</v>
      </c>
    </row>
    <row r="43" spans="1:1" x14ac:dyDescent="0.25">
      <c r="A43" t="s">
        <v>382</v>
      </c>
    </row>
    <row r="44" spans="1:1" x14ac:dyDescent="0.25">
      <c r="A44" t="s">
        <v>399</v>
      </c>
    </row>
  </sheetData>
  <pageMargins left="0.7" right="0.7" top="0.75" bottom="0.75" header="0.3" footer="0.3"/>
  <ignoredErrors>
    <ignoredError sqref="H3:J3 E3 D6" formula="1"/>
  </ignoredErrors>
  <drawing r:id="rId1"/>
</worksheet>
</file>

<file path=docMetadata/LabelInfo.xml><?xml version="1.0" encoding="utf-8"?>
<clbl:labelList xmlns:clbl="http://schemas.microsoft.com/office/2020/mipLabelMetadata">
  <clbl:label id="{c7ef1c8b-ba63-4702-8e74-5094387a97de}" enabled="0" method="" siteId="{c7ef1c8b-ba63-4702-8e74-5094387a97de}"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Boilers</vt:lpstr>
      <vt:lpstr>Cooling</vt:lpstr>
      <vt:lpstr>NB Medium Temp</vt:lpstr>
      <vt:lpstr>NB High Temp</vt:lpstr>
      <vt:lpstr>Machine Drive</vt:lpstr>
      <vt:lpstr>Electrochemical</vt:lpstr>
      <vt:lpstr>Other</vt:lpstr>
      <vt:lpstr>IECCpUAEU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Rissman</dc:creator>
  <cp:lastModifiedBy>Dan O'Brien</cp:lastModifiedBy>
  <dcterms:created xsi:type="dcterms:W3CDTF">2024-08-15T22:42:40Z</dcterms:created>
  <dcterms:modified xsi:type="dcterms:W3CDTF">2025-03-25T15:19:26Z</dcterms:modified>
</cp:coreProperties>
</file>