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mahajan\Documents\eps-us\InputData\trans\BRAaCTSC\"/>
    </mc:Choice>
  </mc:AlternateContent>
  <xr:revisionPtr revIDLastSave="0" documentId="13_ncr:1_{FE6D8A9C-75C3-4197-8A87-AD6FE516D6D2}" xr6:coauthVersionLast="47" xr6:coauthVersionMax="47" xr10:uidLastSave="{00000000-0000-0000-0000-000000000000}"/>
  <bookViews>
    <workbookView xWindow="-110" yWindow="-110" windowWidth="19420" windowHeight="10420" xr2:uid="{00000000-000D-0000-FFFF-FFFF00000000}"/>
  </bookViews>
  <sheets>
    <sheet name="About" sheetId="1" r:id="rId1"/>
    <sheet name="Calculations" sheetId="4" r:id="rId2"/>
    <sheet name="IIJA" sheetId="5" r:id="rId3"/>
    <sheet name="Inflation Reduction Act" sheetId="6" r:id="rId4"/>
    <sheet name="BRAaCTSC" sheetId="3" r:id="rId5"/>
  </sheets>
  <definedNames>
    <definedName name="income">Calculations!$B$10</definedName>
    <definedName name="Range_EV">Calculations!$B$9</definedName>
    <definedName name="range_ICE">Calculations!$B$8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4" l="1" a="1"/>
  <c r="C31" i="4" s="1"/>
  <c r="C32" i="4" s="1"/>
  <c r="L18" i="6"/>
  <c r="L21" i="6" s="1"/>
  <c r="K18" i="6"/>
  <c r="K21" i="6" s="1"/>
  <c r="J18" i="6"/>
  <c r="J21" i="6" s="1"/>
  <c r="I18" i="6"/>
  <c r="I21" i="6" s="1"/>
  <c r="H18" i="6"/>
  <c r="H21" i="6" s="1"/>
  <c r="G18" i="6"/>
  <c r="G21" i="6" s="1"/>
  <c r="F18" i="6"/>
  <c r="F21" i="6" s="1"/>
  <c r="E18" i="6"/>
  <c r="E21" i="6" s="1"/>
  <c r="D18" i="6"/>
  <c r="D21" i="6" s="1"/>
  <c r="C18" i="6"/>
  <c r="C21" i="6" s="1"/>
  <c r="B32" i="4"/>
  <c r="B31" i="4"/>
  <c r="B9" i="5"/>
  <c r="B23" i="6" l="1"/>
  <c r="D31" i="4" s="1" a="1"/>
  <c r="D31" i="4" s="1"/>
  <c r="D32" i="4" s="1"/>
  <c r="B5" i="5"/>
  <c r="C14" i="4" l="1"/>
  <c r="B41" i="4" s="1"/>
  <c r="B14" i="4"/>
  <c r="C10" i="4"/>
  <c r="D10" i="4"/>
  <c r="D8" i="4"/>
  <c r="D14" i="4" s="1"/>
  <c r="B42" i="4" s="1"/>
  <c r="B40" i="4" l="1" a="1"/>
  <c r="B40" i="4" s="1"/>
  <c r="B39" i="4"/>
  <c r="AF2" i="3" a="1"/>
  <c r="AF2" i="3" s="1"/>
  <c r="N2" i="3" a="1"/>
  <c r="N2" i="3" s="1"/>
  <c r="AA2" i="3" a="1"/>
  <c r="AA2" i="3" s="1"/>
  <c r="M2" i="3" a="1"/>
  <c r="M2" i="3" s="1"/>
  <c r="Y2" i="3" a="1"/>
  <c r="Y2" i="3" s="1"/>
  <c r="R2" i="3" a="1"/>
  <c r="R2" i="3" s="1"/>
  <c r="Q2" i="3" a="1"/>
  <c r="Q2" i="3" s="1"/>
  <c r="AD2" i="3" a="1"/>
  <c r="AD2" i="3" s="1"/>
  <c r="P2" i="3" a="1"/>
  <c r="P2" i="3" s="1"/>
  <c r="O2" i="3" a="1"/>
  <c r="O2" i="3" s="1"/>
  <c r="K2" i="3" l="1" a="1"/>
  <c r="K2" i="3" s="1"/>
  <c r="L2" i="3" a="1"/>
  <c r="L2" i="3" s="1"/>
  <c r="J2" i="3" a="1"/>
  <c r="J2" i="3" s="1"/>
  <c r="F2" i="3" a="1"/>
  <c r="F2" i="3" s="1"/>
  <c r="G2" i="3" a="1"/>
  <c r="G2" i="3" s="1"/>
  <c r="B2" i="3" a="1"/>
  <c r="B2" i="3" s="1"/>
  <c r="E2" i="3" a="1"/>
  <c r="E2" i="3" s="1"/>
  <c r="H2" i="3" a="1"/>
  <c r="H2" i="3" s="1"/>
  <c r="C2" i="3" a="1"/>
  <c r="C2" i="3" s="1"/>
  <c r="I2" i="3" a="1"/>
  <c r="I2" i="3" s="1"/>
  <c r="D2" i="3" a="1"/>
  <c r="D2" i="3" s="1"/>
  <c r="U2" i="3" a="1"/>
  <c r="U2" i="3" s="1"/>
  <c r="W2" i="3" a="1"/>
  <c r="W2" i="3" s="1"/>
  <c r="S2" i="3" a="1"/>
  <c r="S2" i="3" s="1"/>
  <c r="AB2" i="3" a="1"/>
  <c r="AB2" i="3" s="1"/>
  <c r="AE2" i="3" a="1"/>
  <c r="AE2" i="3" s="1"/>
  <c r="Z2" i="3" a="1"/>
  <c r="Z2" i="3" s="1"/>
  <c r="V2" i="3" a="1"/>
  <c r="V2" i="3" s="1"/>
  <c r="X2" i="3" a="1"/>
  <c r="X2" i="3" s="1"/>
  <c r="T2" i="3" a="1"/>
  <c r="T2" i="3" s="1"/>
  <c r="AC2" i="3" a="1"/>
  <c r="AC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<sst xmlns="http://schemas.openxmlformats.org/spreadsheetml/2006/main" count="82" uniqueCount="81">
  <si>
    <t>Source:</t>
  </si>
  <si>
    <t>Notes</t>
  </si>
  <si>
    <t>Shadow cost</t>
  </si>
  <si>
    <t>BRAaCTSC BAU Range Anxiety and Charging Time Shadow Cost</t>
  </si>
  <si>
    <t>This variable represents the perceived cost of range anxiety - the fear (or inconvenience around) that</t>
  </si>
  <si>
    <t>the vehicle has insufficient range to reach its destination.</t>
  </si>
  <si>
    <t>Cost ($/vehicle)</t>
  </si>
  <si>
    <t>addressed by fueling availability and range value</t>
  </si>
  <si>
    <t>Ignored, because vast majority of charging can be done overnight and other concerns</t>
  </si>
  <si>
    <t>Fueling time</t>
  </si>
  <si>
    <t>y = 220.9751 + 7258.141*e^(-28.95171*x)</t>
  </si>
  <si>
    <t>Fueling Availability</t>
  </si>
  <si>
    <t>income (thousand USD)</t>
  </si>
  <si>
    <t>range ev (hundred miles)</t>
  </si>
  <si>
    <t>b4</t>
  </si>
  <si>
    <t>b3</t>
  </si>
  <si>
    <t>b2</t>
  </si>
  <si>
    <t>b1</t>
  </si>
  <si>
    <t>Range Compensating Value</t>
  </si>
  <si>
    <t>cv (thousand USD)</t>
  </si>
  <si>
    <t>https://www.census.gov/library/publications/2020/demo/p60-270.html</t>
  </si>
  <si>
    <t>Median US Income</t>
  </si>
  <si>
    <t>United States Census Bureau</t>
  </si>
  <si>
    <t>Income and Poverty in the United States: 2019</t>
  </si>
  <si>
    <t>First bullet of "Highlights"</t>
  </si>
  <si>
    <t>2019 to 2012 USD</t>
  </si>
  <si>
    <t>Range and Fueling Availability 'Costs'</t>
  </si>
  <si>
    <t>US Department of Energy</t>
  </si>
  <si>
    <t>https://www.nrel.gov/docs/fy13osti/55639.pdf</t>
  </si>
  <si>
    <t>Number of gas pumps</t>
  </si>
  <si>
    <t>Ratio of EVSE ports:Gas pumps</t>
  </si>
  <si>
    <t>Corresponding Fueling Availbility Shadow Cost</t>
  </si>
  <si>
    <t>Number of Gas pumps</t>
  </si>
  <si>
    <t>CleanTechnica</t>
  </si>
  <si>
    <t>Stop Comparing the Number of Gas Stations to EV Charging Stations</t>
  </si>
  <si>
    <t>Number of EVSE Ports</t>
  </si>
  <si>
    <t>Alternative Fuels Data Center</t>
  </si>
  <si>
    <t>Electric Vehicle Charging Station Locations</t>
  </si>
  <si>
    <t>https://afdc.energy.gov/fuels/electricity_locations.html#/analyze?fuel=ELEC</t>
  </si>
  <si>
    <t>https://cleantechnica.com/2018/03/07/stop-comparing-number-gas-stations-ev-charging-stations/</t>
  </si>
  <si>
    <t>Gasoline vehicle range</t>
  </si>
  <si>
    <t>All-Electric Vehicle Ranges Can Exceed Those of Some Gasoline Vehicles</t>
  </si>
  <si>
    <t>https://www.energy.gov/eere/vehicles/fact-939-august-22-2016-all-electric-vehicle-ranges-can-exceed-those-some-gasoline</t>
  </si>
  <si>
    <t>First Figure</t>
  </si>
  <si>
    <t>median range ice (hundred miles)</t>
  </si>
  <si>
    <t>Inside Evs</t>
  </si>
  <si>
    <t>The Median Range of Fully Electric Vehicles Exceeded 250 Miles in 2020</t>
  </si>
  <si>
    <t>https://insideevs.com/news/464449/median-range-evs-2020-exceeded-250-miles/</t>
  </si>
  <si>
    <t>EV range</t>
  </si>
  <si>
    <t>In the US, we use a DOE study to calculate a Range Compensating Value and a Fuel Availability Value.</t>
  </si>
  <si>
    <t>The Range Compensating Value uses parameters from the DOE study, the median household income,</t>
  </si>
  <si>
    <t>and the median ranges of ICE and EV vehicles. For EV vehicles, the current median range has already surpassed</t>
  </si>
  <si>
    <t>The Fuel Availability Value uses parameters from the DOE study and a comparison of the number of</t>
  </si>
  <si>
    <t>Currency Conversion</t>
  </si>
  <si>
    <t>Calculations</t>
  </si>
  <si>
    <t xml:space="preserve">250 miles and is forecated to continue improving. Therefore, we start with today's median range, and assume </t>
  </si>
  <si>
    <t>the range will reach 300 miles by 2050.</t>
  </si>
  <si>
    <t>EV charging ports and gas pumps. We also assume this value will decline to 0 by 2050 as more EV chargers come online.</t>
  </si>
  <si>
    <t xml:space="preserve">*2020 median range taken from historical data. 2030 and 2050 are estimated, with the 2050 </t>
  </si>
  <si>
    <t>range roughly corresponding to today's maximum range</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</si>
  <si>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</si>
  <si>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</si>
  <si>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</si>
  <si>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</si>
  <si>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</si>
  <si>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Chargers added by 2026:</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</si>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</sst>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s>
  <fills count="4">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5">
    <xf numFmtId="0" fontId="0" fillId="0" borderId="0" xfId="0"/>
    <xf numFmtId="0" fontId="1" fillId="0" borderId="0" xfId="0" applyFont="1"/>
    <xf numFmtId="164" fontId="0" fillId="0" borderId="0" xfId="0" applyNumberFormat="1"/>
    <xf numFmtId="1" fontId="0" fillId="0" borderId="0" xfId="0" applyNumberFormat="1"/>
    <xf numFmtId="0" fontId="0" fillId="0" borderId="0" xfId="0" applyAlignment="1">
      <alignment horizontal="right"/>
    </xf>
    <xf numFmtId="2" fontId="0" fillId="0" borderId="0" xfId="0" applyNumberFormat="1"/>
    <xf numFmtId="0" fontId="1" fillId="2" borderId="0" xfId="0" applyFont="1" applyFill="1"/>
    <xf numFmtId="0" fontId="0" fillId="0" borderId="0" xfId="0" applyAlignment="1">
      <alignment horizontal="left"/>
    </xf>
    <xf numFmtId="0" fontId="2" fillId="0" borderId="0" xfId="1"/>
    <xf numFmtId="0" fontId="3" fillId="0" borderId="0" xfId="0" applyFont="1"/>
    <xf numFmtId="0" fontId="0" fillId="0" borderId="0" xfId="0" applyAlignment="1">
      <alignment wrapText="1"/>
    </xf>
    <xf numFmtId="0" fontId="5" fillId="3" borderId="0" xfId="2" applyFont="1" applyFill="1"/>
    <xf numFmtId="0" fontId="6" fillId="3" borderId="0" xfId="2" applyFont="1" applyFill="1" applyAlignment="1">
      <alignment horizontal="right"/>
    </xf>
    <xf numFmtId="0" fontId="4" fillId="0" borderId="0" xfId="2"/>
    <xf numFmtId="0" fontId="6" fillId="0" borderId="0" xfId="2" applyFont="1" applyAlignment="1">
      <alignment wrapText="1"/>
    </xf>
    <xf numFmtId="0" fontId="6" fillId="0" borderId="0" xfId="2" applyFont="1"/>
    <xf numFmtId="0" fontId="7" fillId="0" borderId="0" xfId="2" applyFont="1"/>
    <xf numFmtId="0" fontId="6" fillId="0" borderId="0" xfId="2" applyFont="1" applyAlignment="1">
      <alignment horizontal="right"/>
    </xf>
    <xf numFmtId="0" fontId="5" fillId="0" borderId="0" xfId="2" applyFont="1"/>
    <xf numFmtId="0" fontId="10" fillId="0" borderId="0" xfId="2" applyFont="1"/>
    <xf numFmtId="0" fontId="5" fillId="0" borderId="0" xfId="2" applyFont="1" applyAlignment="1">
      <alignment wrapText="1"/>
    </xf>
    <xf numFmtId="9" fontId="6" fillId="0" borderId="0" xfId="2" applyNumberFormat="1" applyFont="1"/>
    <xf numFmtId="1" fontId="6" fillId="0" borderId="0" xfId="2" applyNumberFormat="1" applyFont="1"/>
    <xf numFmtId="0" fontId="11" fillId="0" borderId="0" xfId="2" applyFont="1"/>
    <xf numFmtId="0" fontId="5" fillId="0" borderId="0" xfId="2" applyFont="1" applyFill="1"/>
  </cellXfs>
  <cellStyles count="3">
    <cellStyle name="Hyperlink" xfId="1" builtinId="8"/>
    <cellStyle name="Normal" xfId="0" builtinId="0"/>
    <cellStyle name="Normal 3 2" xfId="2" xr:uid="{3F0B3957-5839-491A-BB84-14323CF3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1"/>
            <c:trendlineLbl>
              <c:layout>
                <c:manualLayout>
                  <c:x val="1.8828958880139982E-2"/>
                  <c:y val="-0.137038858986440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Calculations!$A$17:$A$20</c:f>
              <c:numCache>
                <c:formatCode>0.00</c:formatCode>
                <c:ptCount val="4"/>
                <c:pt idx="0">
                  <c:v>1.0000000000000001E-5</c:v>
                </c:pt>
                <c:pt idx="1">
                  <c:v>0.05</c:v>
                </c:pt>
                <c:pt idx="2">
                  <c:v>0.1</c:v>
                </c:pt>
                <c:pt idx="3">
                  <c:v>1</c:v>
                </c:pt>
              </c:numCache>
            </c:numRef>
          </c:xVal>
          <c:yVal>
            <c:numRef>
              <c:f>Calculations!$B$17:$B$20</c:f>
              <c:numCache>
                <c:formatCode>General</c:formatCode>
                <c:ptCount val="4"/>
                <c:pt idx="0">
                  <c:v>7500</c:v>
                </c:pt>
                <c:pt idx="1">
                  <c:v>1750</c:v>
                </c:pt>
                <c:pt idx="2">
                  <c:v>1000</c:v>
                </c:pt>
                <c:pt idx="3">
                  <c:v>0</c:v>
                </c:pt>
              </c:numCache>
            </c:numRef>
          </c:yVal>
          <c:smooth val="0"/>
          <c:extLst>
            <c:ext xmlns:c16="http://schemas.microsoft.com/office/drawing/2014/chart" uri="{C3380CC4-5D6E-409C-BE32-E72D297353CC}">
              <c16:uniqueId val="{00000001-32E9-416A-9551-2ECD6C9DF478}"/>
            </c:ext>
          </c:extLst>
        </c:ser>
        <c:dLbls>
          <c:showLegendKey val="0"/>
          <c:showVal val="0"/>
          <c:showCatName val="0"/>
          <c:showSerName val="0"/>
          <c:showPercent val="0"/>
          <c:showBubbleSize val="0"/>
        </c:dLbls>
        <c:axId val="280233536"/>
        <c:axId val="280232704"/>
      </c:scatterChart>
      <c:valAx>
        <c:axId val="2802335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232704"/>
        <c:crosses val="autoZero"/>
        <c:crossBetween val="midCat"/>
      </c:valAx>
      <c:valAx>
        <c:axId val="280232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2335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596900</xdr:colOff>
      <xdr:row>1</xdr:row>
      <xdr:rowOff>122237</xdr:rowOff>
    </xdr:from>
    <xdr:to>
      <xdr:col>12</xdr:col>
      <xdr:colOff>292100</xdr:colOff>
      <xdr:row>18</xdr:row>
      <xdr:rowOff>14287</xdr:rowOff>
    </xdr:to>
    <xdr:graphicFrame macro="">
      <xdr:nvGraphicFramePr>
        <xdr:cNvPr id="2" name="Chart 1">
          <a:extLst>
            <a:ext uri="{FF2B5EF4-FFF2-40B4-BE49-F238E27FC236}">
              <a16:creationId xmlns:a16="http://schemas.microsoft.com/office/drawing/2014/main" id="{C090063C-A7D3-43BB-8DEB-94B1128AD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sideevs.com/news/464449/median-range-evs-2020-exceeded-250-mil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topLeftCell="A39" workbookViewId="0">
      <selection activeCell="A57" sqref="A57"/>
    </sheetView>
  </sheetViews>
  <sheetFormatPr defaultRowHeight="15"/>
  <cols>
    <col min="1" max="1" width="16.5703125" customWidth="1"/>
    <col min="2" max="2" width="31.85546875" customWidth="1"/>
  </cols>
  <sheetData>
    <row r="1" spans="1:2">
      <c r="A1" s="1" t="s">
        <v>3</v>
      </c>
    </row>
    <row r="3" spans="1:2">
      <c r="A3" s="1" t="s">
        <v>0</v>
      </c>
      <c r="B3" s="6" t="s">
        <v>21</v>
      </c>
    </row>
    <row r="4" spans="1:2">
      <c r="B4" t="s">
        <v>22</v>
      </c>
    </row>
    <row r="5" spans="1:2">
      <c r="B5" s="7">
        <v>2020</v>
      </c>
    </row>
    <row r="6" spans="1:2">
      <c r="B6" t="s">
        <v>23</v>
      </c>
    </row>
    <row r="7" spans="1:2">
      <c r="B7" t="s">
        <v>20</v>
      </c>
    </row>
    <row r="8" spans="1:2">
      <c r="A8" s="2"/>
      <c r="B8" t="s">
        <v>24</v>
      </c>
    </row>
    <row r="10" spans="1:2">
      <c r="B10" s="6" t="s">
        <v>26</v>
      </c>
    </row>
    <row r="11" spans="1:2">
      <c r="B11" t="s">
        <v>27</v>
      </c>
    </row>
    <row r="12" spans="1:2">
      <c r="B12" s="7">
        <v>2013</v>
      </c>
    </row>
    <row r="13" spans="1:2">
      <c r="B13" t="s">
        <v>28</v>
      </c>
    </row>
    <row r="15" spans="1:2">
      <c r="B15" s="6" t="s">
        <v>32</v>
      </c>
    </row>
    <row r="16" spans="1:2">
      <c r="B16" t="s">
        <v>33</v>
      </c>
    </row>
    <row r="17" spans="2:2">
      <c r="B17" s="7">
        <v>2018</v>
      </c>
    </row>
    <row r="18" spans="2:2">
      <c r="B18" t="s">
        <v>34</v>
      </c>
    </row>
    <row r="19" spans="2:2">
      <c r="B19" t="s">
        <v>39</v>
      </c>
    </row>
    <row r="21" spans="2:2">
      <c r="B21" s="6" t="s">
        <v>35</v>
      </c>
    </row>
    <row r="22" spans="2:2">
      <c r="B22" t="s">
        <v>36</v>
      </c>
    </row>
    <row r="23" spans="2:2">
      <c r="B23" s="7">
        <v>2021</v>
      </c>
    </row>
    <row r="24" spans="2:2">
      <c r="B24" t="s">
        <v>37</v>
      </c>
    </row>
    <row r="25" spans="2:2">
      <c r="B25" t="s">
        <v>38</v>
      </c>
    </row>
    <row r="27" spans="2:2">
      <c r="B27" s="6" t="s">
        <v>40</v>
      </c>
    </row>
    <row r="28" spans="2:2">
      <c r="B28" t="s">
        <v>27</v>
      </c>
    </row>
    <row r="29" spans="2:2">
      <c r="B29" s="7">
        <v>2016</v>
      </c>
    </row>
    <row r="30" spans="2:2">
      <c r="B30" t="s">
        <v>41</v>
      </c>
    </row>
    <row r="31" spans="2:2">
      <c r="B31" t="s">
        <v>42</v>
      </c>
    </row>
    <row r="32" spans="2:2">
      <c r="B32" t="s">
        <v>43</v>
      </c>
    </row>
    <row r="34" spans="1:2">
      <c r="B34" s="6" t="s">
        <v>48</v>
      </c>
    </row>
    <row r="35" spans="1:2">
      <c r="B35" t="s">
        <v>45</v>
      </c>
    </row>
    <row r="36" spans="1:2">
      <c r="B36" s="7">
        <v>2021</v>
      </c>
    </row>
    <row r="37" spans="1:2">
      <c r="B37" t="s">
        <v>46</v>
      </c>
    </row>
    <row r="38" spans="1:2">
      <c r="B38" s="8" t="s">
        <v>47</v>
      </c>
    </row>
    <row r="40" spans="1:2">
      <c r="A40" s="1" t="s">
        <v>1</v>
      </c>
    </row>
    <row r="41" spans="1:2">
      <c r="A41" t="s">
        <v>4</v>
      </c>
    </row>
    <row r="42" spans="1:2">
      <c r="A42" t="s">
        <v>5</v>
      </c>
    </row>
    <row r="43" spans="1:2">
      <c r="A43" s="1"/>
    </row>
    <row r="44" spans="1:2">
      <c r="A44" t="s">
        <v>49</v>
      </c>
    </row>
    <row r="45" spans="1:2">
      <c r="A45" t="s">
        <v>50</v>
      </c>
    </row>
    <row r="46" spans="1:2">
      <c r="A46" t="s">
        <v>51</v>
      </c>
    </row>
    <row r="47" spans="1:2">
      <c r="A47" t="s">
        <v>55</v>
      </c>
    </row>
    <row r="48" spans="1:2">
      <c r="A48" t="s">
        <v>56</v>
      </c>
    </row>
    <row r="49" spans="1:2">
      <c r="A49" t="s">
        <v>52</v>
      </c>
    </row>
    <row r="50" spans="1:2">
      <c r="A50" t="s">
        <v>57</v>
      </c>
    </row>
    <row r="52" spans="1:2">
      <c r="A52" t="s">
        <v>53</v>
      </c>
    </row>
    <row r="53" spans="1:2">
      <c r="A53" t="s">
        <v>25</v>
      </c>
      <c r="B53">
        <v>0.89805481563188172</v>
      </c>
    </row>
    <row r="55" spans="1:2">
      <c r="A55" t="s">
        <v>78</v>
      </c>
    </row>
    <row r="56" spans="1:2">
      <c r="A56" t="s">
        <v>79</v>
      </c>
    </row>
  </sheetData>
  <hyperlinks>
    <hyperlink ref="B38" r:id="rId1" xr:uid="{14EF0A86-0973-41E2-9D23-51C96C7795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E42"/>
  <sheetViews>
    <sheetView topLeftCell="A25" workbookViewId="0">
      <selection activeCell="D33" sqref="D33"/>
    </sheetView>
  </sheetViews>
  <sheetFormatPr defaultRowHeight="15"/>
  <cols>
    <col min="1" max="1" width="31.5703125" customWidth="1"/>
    <col min="2" max="2" width="26.42578125" customWidth="1"/>
    <col min="3" max="4" width="12" bestFit="1" customWidth="1"/>
  </cols>
  <sheetData>
    <row r="1" spans="1:4" s="1" customFormat="1">
      <c r="A1" s="1" t="s">
        <v>18</v>
      </c>
    </row>
    <row r="2" spans="1:4">
      <c r="A2" t="s">
        <v>17</v>
      </c>
      <c r="B2">
        <v>-0.36099999999999999</v>
      </c>
    </row>
    <row r="3" spans="1:4">
      <c r="A3" t="s">
        <v>16</v>
      </c>
    </row>
    <row r="4" spans="1:4">
      <c r="A4" t="s">
        <v>15</v>
      </c>
      <c r="B4">
        <v>1.268</v>
      </c>
    </row>
    <row r="5" spans="1:4">
      <c r="A5" t="s">
        <v>14</v>
      </c>
      <c r="B5">
        <v>-0.11600000000000001</v>
      </c>
    </row>
    <row r="7" spans="1:4">
      <c r="B7">
        <v>2020</v>
      </c>
      <c r="C7">
        <v>2030</v>
      </c>
      <c r="D7">
        <v>2050</v>
      </c>
    </row>
    <row r="8" spans="1:4">
      <c r="A8" t="s">
        <v>44</v>
      </c>
      <c r="B8">
        <v>4.12</v>
      </c>
      <c r="C8">
        <v>4.12</v>
      </c>
      <c r="D8">
        <f>B8</f>
        <v>4.12</v>
      </c>
    </row>
    <row r="9" spans="1:4">
      <c r="A9" t="s">
        <v>13</v>
      </c>
      <c r="B9">
        <v>2.59</v>
      </c>
      <c r="C9" s="9">
        <v>3</v>
      </c>
      <c r="D9" s="9">
        <v>4.12</v>
      </c>
    </row>
    <row r="10" spans="1:4">
      <c r="A10" t="s">
        <v>12</v>
      </c>
      <c r="B10">
        <v>68.703000000000003</v>
      </c>
      <c r="C10" s="9">
        <f>income</f>
        <v>68.703000000000003</v>
      </c>
      <c r="D10" s="9">
        <f>B10</f>
        <v>68.703000000000003</v>
      </c>
    </row>
    <row r="11" spans="1:4">
      <c r="A11" t="s">
        <v>58</v>
      </c>
    </row>
    <row r="12" spans="1:4">
      <c r="A12" t="s">
        <v>59</v>
      </c>
    </row>
    <row r="14" spans="1:4">
      <c r="A14" t="s">
        <v>19</v>
      </c>
      <c r="B14" s="5">
        <f>($B$4/$B$2*B9*(1-B8/B9)+$B$5/$B$2*B9^2*(1-B8^2/B9^2))*LN(income)*About!$B$53</f>
        <v>7.8828464065137096</v>
      </c>
      <c r="C14" s="5">
        <f>($B$4/$B$2*C9*(1-C8/C9)+$B$5/$B$2*C9^2*(1-C8^2/C9^2))*LN(income)*About!$B$53</f>
        <v>5.2099509525186276</v>
      </c>
      <c r="D14" s="5">
        <f>($B$4/$B$2*D9*(1-D8/D9)+$B$5/$B$2*D9^2*(1-D8^2/D9^2))*LN(income)*About!$B$53</f>
        <v>0</v>
      </c>
    </row>
    <row r="16" spans="1:4">
      <c r="A16" s="1" t="s">
        <v>11</v>
      </c>
    </row>
    <row r="17" spans="1:5">
      <c r="A17" s="5">
        <v>1.0000000000000001E-5</v>
      </c>
      <c r="B17">
        <v>7500</v>
      </c>
    </row>
    <row r="18" spans="1:5">
      <c r="A18" s="5">
        <v>0.05</v>
      </c>
      <c r="B18">
        <v>1750</v>
      </c>
    </row>
    <row r="19" spans="1:5">
      <c r="A19" s="5">
        <v>0.1</v>
      </c>
      <c r="B19">
        <v>1000</v>
      </c>
    </row>
    <row r="20" spans="1:5">
      <c r="A20" s="5">
        <v>1</v>
      </c>
      <c r="B20">
        <v>0</v>
      </c>
    </row>
    <row r="22" spans="1:5">
      <c r="A22" t="s">
        <v>10</v>
      </c>
    </row>
    <row r="24" spans="1:5">
      <c r="A24" t="s">
        <v>29</v>
      </c>
      <c r="B24">
        <v>1200000</v>
      </c>
    </row>
    <row r="26" spans="1:5">
      <c r="A26" t="s">
        <v>77</v>
      </c>
    </row>
    <row r="27" spans="1:5">
      <c r="A27">
        <v>2020</v>
      </c>
      <c r="B27">
        <v>120045</v>
      </c>
    </row>
    <row r="28" spans="1:5">
      <c r="A28">
        <v>2050</v>
      </c>
      <c r="B28">
        <v>1200000</v>
      </c>
    </row>
    <row r="30" spans="1:5">
      <c r="B30">
        <v>2020</v>
      </c>
      <c r="C30">
        <v>2027</v>
      </c>
      <c r="D30">
        <v>2031</v>
      </c>
      <c r="E30">
        <v>2050</v>
      </c>
    </row>
    <row r="31" spans="1:5">
      <c r="A31" t="s">
        <v>30</v>
      </c>
      <c r="B31">
        <f>B27/B24</f>
        <v>0.1000375</v>
      </c>
      <c r="C31" cm="1">
        <f t="array" ref="C31">(TREND(B27:B28,A27:A28,C30)+IIJA!B9)/Calculations!B24</f>
        <v>0.62964990943214827</v>
      </c>
      <c r="D31" cm="1">
        <f t="array" ref="D31">(TREND(B27:B28,A27:A28,D30)+IIJA!B9+'Inflation Reduction Act'!B23)/Calculations!B24</f>
        <v>0.86437943919981641</v>
      </c>
      <c r="E31">
        <v>1</v>
      </c>
    </row>
    <row r="32" spans="1:5">
      <c r="A32" t="s">
        <v>31</v>
      </c>
      <c r="B32">
        <f>B19*About!$B$53</f>
        <v>898.05481563188175</v>
      </c>
      <c r="C32">
        <f>-667.1*LN(C31)-241.23</f>
        <v>67.364665148257785</v>
      </c>
      <c r="D32">
        <f>MAX(-667.1*LN(D31)-241.23,0)</f>
        <v>0</v>
      </c>
      <c r="E32">
        <v>0</v>
      </c>
    </row>
    <row r="34" spans="1:3">
      <c r="A34" s="1" t="s">
        <v>9</v>
      </c>
    </row>
    <row r="35" spans="1:3">
      <c r="A35" t="s">
        <v>8</v>
      </c>
    </row>
    <row r="36" spans="1:3">
      <c r="A36" t="s">
        <v>7</v>
      </c>
    </row>
    <row r="38" spans="1:3">
      <c r="A38" s="6" t="s">
        <v>54</v>
      </c>
      <c r="B38" s="6"/>
      <c r="C38" s="6"/>
    </row>
    <row r="39" spans="1:3">
      <c r="A39">
        <v>2020</v>
      </c>
      <c r="B39">
        <f>B14*1000+B32</f>
        <v>8780.9012221455905</v>
      </c>
    </row>
    <row r="40" spans="1:3">
      <c r="A40">
        <v>2027</v>
      </c>
      <c r="B40" cm="1">
        <f t="array" ref="B40">TREND(B14:C14,B7:C7,C30)*1000+C32</f>
        <v>6079.1842538653746</v>
      </c>
    </row>
    <row r="41" spans="1:3">
      <c r="A41">
        <v>2031</v>
      </c>
      <c r="B41">
        <f>C14*1000+D32</f>
        <v>5209.9509525186277</v>
      </c>
    </row>
    <row r="42" spans="1:3">
      <c r="A42">
        <v>2050</v>
      </c>
      <c r="B42">
        <f>D14*1000+E32</f>
        <v>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9"/>
  <sheetViews>
    <sheetView workbookViewId="0">
      <selection activeCell="A8" sqref="A8"/>
    </sheetView>
  </sheetViews>
  <sheetFormatPr defaultRowHeight="15"/>
  <cols>
    <col min="1" max="1" width="29.140625" customWidth="1"/>
    <col min="2" max="2" width="11" bestFit="1" customWidth="1"/>
  </cols>
  <sheetData>
    <row r="1" spans="1:2">
      <c r="A1" t="s">
        <v>60</v>
      </c>
    </row>
    <row r="2" spans="1:2">
      <c r="A2" t="s">
        <v>62</v>
      </c>
    </row>
    <row r="4" spans="1:2">
      <c r="A4" t="s">
        <v>61</v>
      </c>
      <c r="B4">
        <v>7500000000</v>
      </c>
    </row>
    <row r="5" spans="1:2" ht="30">
      <c r="A5" s="10" t="s">
        <v>63</v>
      </c>
      <c r="B5">
        <f>B4/0.8</f>
        <v>9375000000</v>
      </c>
    </row>
    <row r="7" spans="1:2" ht="30">
      <c r="A7" s="10" t="s">
        <v>64</v>
      </c>
      <c r="B7">
        <v>24443</v>
      </c>
    </row>
    <row r="9" spans="1:2">
      <c r="A9" s="10" t="s">
        <v>65</v>
      </c>
      <c r="B9" s="3">
        <f>B5/B7</f>
        <v>383545.39131857792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topLeftCell="A10" workbookViewId="0">
      <selection activeCell="A19" sqref="A19"/>
    </sheetView>
  </sheetViews>
  <sheetFormatPr defaultColWidth="12.5703125" defaultRowHeight="15.75" customHeight="1"/>
  <cols>
    <col min="1" max="1" width="60.7109375" style="13" customWidth="1"/>
    <col min="2" max="2" width="27.42578125" style="13" customWidth="1"/>
    <col min="3" max="3" width="17.85546875" style="13" customWidth="1"/>
    <col min="4" max="4" width="18.140625" style="13" customWidth="1"/>
    <col min="5" max="6" width="16.140625" style="13" customWidth="1"/>
    <col min="7" max="11" width="12.5703125" style="13"/>
    <col min="12" max="12" width="16.42578125" style="13" customWidth="1"/>
    <col min="13" max="16384" width="12.5703125" style="13"/>
  </cols>
  <sheetData>
    <row r="1" spans="1:38" ht="14.25" customHeight="1">
      <c r="A1" s="11" t="s">
        <v>66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38" ht="180">
      <c r="A2" s="14" t="s">
        <v>72</v>
      </c>
      <c r="B2" s="15"/>
      <c r="C2" s="15"/>
      <c r="D2" s="15"/>
      <c r="E2" s="15"/>
      <c r="F2" s="15"/>
      <c r="G2" s="16"/>
      <c r="H2" s="17"/>
      <c r="I2" s="15"/>
      <c r="J2" s="15"/>
      <c r="K2" s="15"/>
      <c r="L2" s="15"/>
    </row>
    <row r="3" spans="1:38" ht="14.25" customHeight="1">
      <c r="A3" s="15"/>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row>
    <row r="4" spans="1:38" ht="14.25" customHeight="1">
      <c r="A4" s="23" t="s">
        <v>73</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row>
    <row r="5" spans="1:38" ht="14.25" customHeight="1">
      <c r="A5" s="15"/>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row>
    <row r="6" spans="1:38" ht="14.25" customHeight="1">
      <c r="A6" s="11" t="s">
        <v>67</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row>
    <row r="7" spans="1:38" ht="15">
      <c r="A7" s="18" t="s">
        <v>74</v>
      </c>
      <c r="B7" s="17">
        <v>24443</v>
      </c>
      <c r="C7" s="15"/>
      <c r="D7" s="15"/>
      <c r="E7" s="15"/>
      <c r="F7" s="15"/>
      <c r="G7" s="15"/>
      <c r="H7" s="15"/>
      <c r="I7" s="15"/>
      <c r="J7" s="15"/>
      <c r="K7" s="15"/>
      <c r="L7" s="15"/>
    </row>
    <row r="8" spans="1:38" ht="15">
      <c r="A8" s="18" t="s">
        <v>75</v>
      </c>
      <c r="B8" s="17">
        <v>0.78500000000000003</v>
      </c>
      <c r="C8" s="15"/>
      <c r="D8" s="15"/>
      <c r="E8" s="15"/>
      <c r="F8" s="15"/>
      <c r="G8" s="15"/>
      <c r="H8" s="15"/>
      <c r="I8" s="15"/>
      <c r="J8" s="15"/>
      <c r="K8" s="15"/>
      <c r="L8" s="15"/>
    </row>
    <row r="9" spans="1:38" ht="15">
      <c r="A9" s="15"/>
      <c r="B9" s="15"/>
      <c r="C9" s="15"/>
      <c r="D9" s="15"/>
      <c r="E9" s="15"/>
      <c r="F9" s="15"/>
      <c r="G9" s="15"/>
      <c r="H9" s="15"/>
      <c r="I9" s="15"/>
      <c r="J9" s="15"/>
      <c r="K9" s="15"/>
      <c r="L9" s="15"/>
    </row>
    <row r="10" spans="1:38" ht="15">
      <c r="A10" s="20" t="s">
        <v>68</v>
      </c>
      <c r="B10" s="21">
        <v>0.3</v>
      </c>
      <c r="C10" s="18"/>
      <c r="D10" s="18"/>
      <c r="E10" s="18"/>
      <c r="F10" s="18"/>
      <c r="G10" s="18"/>
      <c r="H10" s="18"/>
      <c r="I10" s="18"/>
      <c r="J10" s="18"/>
      <c r="K10" s="18"/>
      <c r="L10" s="18"/>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row>
    <row r="11" spans="1:38" ht="15">
      <c r="A11" s="18"/>
      <c r="B11" s="18"/>
      <c r="C11" s="18"/>
      <c r="D11" s="18"/>
      <c r="E11" s="18"/>
      <c r="F11" s="18"/>
      <c r="G11" s="18"/>
      <c r="H11" s="18"/>
      <c r="I11" s="18"/>
      <c r="J11" s="18"/>
      <c r="K11" s="18"/>
      <c r="L11" s="18"/>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row>
    <row r="12" spans="1:38" ht="30">
      <c r="A12" s="20" t="s">
        <v>69</v>
      </c>
      <c r="B12" s="21">
        <v>0.8</v>
      </c>
      <c r="C12" s="18"/>
      <c r="D12" s="18"/>
      <c r="E12" s="18"/>
      <c r="F12" s="18"/>
      <c r="G12" s="18"/>
      <c r="H12" s="18"/>
      <c r="I12" s="18"/>
      <c r="J12" s="18"/>
      <c r="K12" s="18"/>
      <c r="L12" s="18"/>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row>
    <row r="13" spans="1:38" ht="15">
      <c r="A13" s="18"/>
      <c r="B13" s="18"/>
      <c r="C13" s="18"/>
      <c r="D13" s="18"/>
      <c r="E13" s="18"/>
      <c r="F13" s="18"/>
      <c r="G13" s="18"/>
      <c r="H13" s="18"/>
      <c r="I13" s="18"/>
      <c r="J13" s="18"/>
      <c r="K13" s="18"/>
      <c r="L13" s="18"/>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row>
    <row r="14" spans="1:38" ht="15">
      <c r="B14" s="18"/>
      <c r="C14" s="18"/>
      <c r="D14" s="18"/>
      <c r="E14" s="18"/>
      <c r="F14" s="18"/>
      <c r="G14" s="18"/>
      <c r="H14" s="18"/>
      <c r="I14" s="18"/>
      <c r="J14" s="18"/>
      <c r="K14" s="18"/>
      <c r="L14" s="18"/>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spans="1:38" ht="15">
      <c r="A15" s="18"/>
      <c r="B15" s="15">
        <v>2022</v>
      </c>
      <c r="C15" s="15">
        <v>2023</v>
      </c>
      <c r="D15" s="15">
        <v>2024</v>
      </c>
      <c r="E15" s="15">
        <v>2025</v>
      </c>
      <c r="F15" s="15">
        <v>2026</v>
      </c>
      <c r="G15" s="15">
        <v>2027</v>
      </c>
      <c r="H15" s="15">
        <v>2028</v>
      </c>
      <c r="I15" s="15">
        <v>2029</v>
      </c>
      <c r="J15" s="15">
        <v>2030</v>
      </c>
      <c r="K15" s="15">
        <v>2031</v>
      </c>
      <c r="L15" s="15">
        <v>2032</v>
      </c>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row>
    <row r="16" spans="1:38" ht="15">
      <c r="A16" s="24" t="s">
        <v>76</v>
      </c>
      <c r="B16" s="15"/>
      <c r="C16" s="15">
        <v>138</v>
      </c>
      <c r="D16" s="15">
        <v>128</v>
      </c>
      <c r="E16" s="15">
        <v>145</v>
      </c>
      <c r="F16" s="15">
        <v>164</v>
      </c>
      <c r="G16" s="15">
        <v>184</v>
      </c>
      <c r="H16" s="15">
        <v>207</v>
      </c>
      <c r="I16" s="15">
        <v>231</v>
      </c>
      <c r="J16" s="15">
        <v>257</v>
      </c>
      <c r="K16" s="15">
        <v>284</v>
      </c>
      <c r="L16" s="15"/>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row>
    <row r="17" spans="1:38" ht="15">
      <c r="A17" s="15"/>
      <c r="B17" s="15"/>
      <c r="C17" s="15"/>
      <c r="D17" s="15"/>
      <c r="E17" s="15"/>
      <c r="F17" s="15"/>
      <c r="G17" s="15"/>
      <c r="H17" s="15"/>
      <c r="I17" s="15"/>
      <c r="J17" s="15"/>
      <c r="K17" s="15"/>
      <c r="L17" s="15"/>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row>
    <row r="18" spans="1:38" ht="15">
      <c r="A18" s="18" t="s">
        <v>80</v>
      </c>
      <c r="C18" s="22">
        <f>C16*0.925</f>
        <v>127.65</v>
      </c>
      <c r="D18" s="22">
        <f t="shared" ref="D18:L18" si="0">D16*0.925</f>
        <v>118.4</v>
      </c>
      <c r="E18" s="22">
        <f t="shared" si="0"/>
        <v>134.125</v>
      </c>
      <c r="F18" s="22">
        <f t="shared" si="0"/>
        <v>151.70000000000002</v>
      </c>
      <c r="G18" s="22">
        <f t="shared" si="0"/>
        <v>170.20000000000002</v>
      </c>
      <c r="H18" s="22">
        <f t="shared" si="0"/>
        <v>191.47500000000002</v>
      </c>
      <c r="I18" s="22">
        <f t="shared" si="0"/>
        <v>213.67500000000001</v>
      </c>
      <c r="J18" s="22">
        <f t="shared" si="0"/>
        <v>237.72500000000002</v>
      </c>
      <c r="K18" s="22">
        <f t="shared" si="0"/>
        <v>262.7</v>
      </c>
      <c r="L18" s="22">
        <f t="shared" si="0"/>
        <v>0</v>
      </c>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row>
    <row r="19" spans="1:38" ht="15">
      <c r="A19" s="18"/>
      <c r="B19" s="18"/>
      <c r="C19" s="18"/>
      <c r="D19" s="18"/>
      <c r="E19" s="18"/>
      <c r="F19" s="18"/>
      <c r="G19" s="18"/>
      <c r="H19" s="18"/>
      <c r="I19" s="18"/>
      <c r="J19" s="18"/>
      <c r="K19" s="18"/>
      <c r="L19" s="18"/>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row>
    <row r="20" spans="1:38" ht="15">
      <c r="B20" s="15">
        <v>2022</v>
      </c>
      <c r="C20" s="15">
        <v>2023</v>
      </c>
      <c r="D20" s="15">
        <v>2024</v>
      </c>
      <c r="E20" s="15">
        <v>2025</v>
      </c>
      <c r="F20" s="15">
        <v>2026</v>
      </c>
      <c r="G20" s="15">
        <v>2027</v>
      </c>
      <c r="H20" s="15">
        <v>2028</v>
      </c>
      <c r="I20" s="15">
        <v>2029</v>
      </c>
      <c r="J20" s="15">
        <v>2030</v>
      </c>
      <c r="K20" s="15">
        <v>2031</v>
      </c>
      <c r="L20" s="15">
        <v>2032</v>
      </c>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row>
    <row r="21" spans="1:38" ht="15">
      <c r="A21" s="18" t="s">
        <v>70</v>
      </c>
      <c r="B21" s="15">
        <v>0</v>
      </c>
      <c r="C21" s="22">
        <f>(C18*10^6)/$B$10/($B$7/$B$8)*$B$12</f>
        <v>10932.127807552264</v>
      </c>
      <c r="D21" s="22">
        <f t="shared" ref="D21:K21" si="1">(D18*10^6)/$B$10/($B$7/$B$8)*$B$12</f>
        <v>10139.944633091956</v>
      </c>
      <c r="E21" s="22">
        <f t="shared" si="1"/>
        <v>11486.656029674483</v>
      </c>
      <c r="F21" s="22">
        <f t="shared" si="1"/>
        <v>12991.804061149072</v>
      </c>
      <c r="G21" s="22">
        <f t="shared" si="1"/>
        <v>14576.17041006969</v>
      </c>
      <c r="H21" s="22">
        <f t="shared" si="1"/>
        <v>16398.1917113284</v>
      </c>
      <c r="I21" s="22">
        <f t="shared" si="1"/>
        <v>18299.431330033138</v>
      </c>
      <c r="J21" s="22">
        <f t="shared" si="1"/>
        <v>20359.107583629942</v>
      </c>
      <c r="K21" s="22">
        <f t="shared" si="1"/>
        <v>22498.00215467278</v>
      </c>
      <c r="L21" s="22">
        <f>(L18*10^6)/$B$10/$B$7*$B$12</f>
        <v>0</v>
      </c>
    </row>
    <row r="22" spans="1:38" ht="15">
      <c r="A22" s="18"/>
      <c r="B22" s="18"/>
      <c r="C22" s="18"/>
      <c r="D22" s="18"/>
      <c r="E22" s="18"/>
      <c r="F22" s="18"/>
      <c r="G22" s="18"/>
      <c r="H22" s="18"/>
      <c r="I22" s="18"/>
      <c r="J22" s="18"/>
      <c r="K22" s="18"/>
      <c r="L22" s="18"/>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row>
    <row r="23" spans="1:38" ht="15">
      <c r="A23" s="18" t="s">
        <v>71</v>
      </c>
      <c r="B23" s="22">
        <f>SUM(C21:K21)</f>
        <v>137681.43572120171</v>
      </c>
      <c r="C23" s="22"/>
      <c r="D23" s="22"/>
      <c r="E23" s="15"/>
      <c r="F23" s="15"/>
      <c r="G23" s="15"/>
      <c r="H23" s="15"/>
      <c r="I23" s="15"/>
      <c r="J23" s="15"/>
      <c r="K23" s="15"/>
      <c r="L23" s="15"/>
    </row>
    <row r="24" spans="1:38" ht="15">
      <c r="A24" s="18"/>
      <c r="B24" s="18"/>
      <c r="C24" s="18"/>
      <c r="D24" s="18"/>
      <c r="E24" s="18"/>
      <c r="F24" s="18"/>
      <c r="G24" s="18"/>
      <c r="H24" s="18"/>
      <c r="I24" s="18"/>
      <c r="J24" s="18"/>
      <c r="K24" s="18"/>
      <c r="L24" s="18"/>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G2"/>
  <sheetViews>
    <sheetView workbookViewId="0">
      <selection activeCell="M2" sqref="M2"/>
    </sheetView>
  </sheetViews>
  <sheetFormatPr defaultRowHeight="15"/>
  <cols>
    <col min="1" max="1" width="17.85546875" customWidth="1"/>
  </cols>
  <sheetData>
    <row r="1" spans="1:33">
      <c r="A1" s="1" t="s">
        <v>6</v>
      </c>
      <c r="B1" s="4">
        <v>2020</v>
      </c>
      <c r="C1">
        <v>2021</v>
      </c>
      <c r="D1" s="4">
        <v>2022</v>
      </c>
      <c r="E1">
        <v>2023</v>
      </c>
      <c r="F1" s="4">
        <v>2024</v>
      </c>
      <c r="G1">
        <v>2025</v>
      </c>
      <c r="H1" s="4">
        <v>2026</v>
      </c>
      <c r="I1">
        <v>2027</v>
      </c>
      <c r="J1" s="4">
        <v>2028</v>
      </c>
      <c r="K1">
        <v>2029</v>
      </c>
      <c r="L1" s="4">
        <v>2030</v>
      </c>
      <c r="M1">
        <v>2031</v>
      </c>
      <c r="N1" s="4">
        <v>2032</v>
      </c>
      <c r="O1">
        <v>2033</v>
      </c>
      <c r="P1" s="4">
        <v>2034</v>
      </c>
      <c r="Q1">
        <v>2035</v>
      </c>
      <c r="R1" s="4">
        <v>2036</v>
      </c>
      <c r="S1">
        <v>2037</v>
      </c>
      <c r="T1" s="4">
        <v>2038</v>
      </c>
      <c r="U1">
        <v>2039</v>
      </c>
      <c r="V1" s="4">
        <v>2040</v>
      </c>
      <c r="W1">
        <v>2041</v>
      </c>
      <c r="X1" s="4">
        <v>2042</v>
      </c>
      <c r="Y1">
        <v>2043</v>
      </c>
      <c r="Z1" s="4">
        <v>2044</v>
      </c>
      <c r="AA1">
        <v>2045</v>
      </c>
      <c r="AB1" s="4">
        <v>2046</v>
      </c>
      <c r="AC1">
        <v>2047</v>
      </c>
      <c r="AD1" s="4">
        <v>2048</v>
      </c>
      <c r="AE1">
        <v>2049</v>
      </c>
      <c r="AF1" s="4">
        <v>2050</v>
      </c>
    </row>
    <row r="2" spans="1:33">
      <c r="A2" t="s">
        <v>2</v>
      </c>
      <c r="B2" s="3" cm="1">
        <f t="array" ref="B2">TREND(Calculations!$B$39:$B$40,Calculations!$A$39:$A$40,BRAaCTSC!B1)</f>
        <v>8780.9012221455341</v>
      </c>
      <c r="C2" s="3" cm="1">
        <f t="array" ref="C2">TREND(Calculations!$B$39:$B$40,Calculations!$A$39:$A$40,BRAaCTSC!C1)</f>
        <v>8394.9416552484035</v>
      </c>
      <c r="D2" s="3" cm="1">
        <f t="array" ref="D2">TREND(Calculations!$B$39:$B$40,Calculations!$A$39:$A$40,BRAaCTSC!D1)</f>
        <v>8008.982088351273</v>
      </c>
      <c r="E2" s="3" cm="1">
        <f t="array" ref="E2">TREND(Calculations!$B$39:$B$40,Calculations!$A$39:$A$40,BRAaCTSC!E1)</f>
        <v>7623.022521454026</v>
      </c>
      <c r="F2" s="3" cm="1">
        <f t="array" ref="F2">TREND(Calculations!$B$39:$B$40,Calculations!$A$39:$A$40,BRAaCTSC!F1)</f>
        <v>7237.0629545568954</v>
      </c>
      <c r="G2" s="3" cm="1">
        <f t="array" ref="G2">TREND(Calculations!$B$39:$B$40,Calculations!$A$39:$A$40,BRAaCTSC!G1)</f>
        <v>6851.1033876597648</v>
      </c>
      <c r="H2" s="3" cm="1">
        <f t="array" ref="H2">TREND(Calculations!$B$39:$B$40,Calculations!$A$39:$A$40,BRAaCTSC!H1)</f>
        <v>6465.1438207625179</v>
      </c>
      <c r="I2" s="3" cm="1">
        <f t="array" ref="I2">TREND(Calculations!$B$39:$B$40,Calculations!$A$39:$A$40,BRAaCTSC!I1)</f>
        <v>6079.1842538653873</v>
      </c>
      <c r="J2" s="3" cm="1">
        <f t="array" ref="J2">TREND(Calculations!$B$40:$B$41,Calculations!$A$40:$A$41,BRAaCTSC!J1)</f>
        <v>5861.8759285287233</v>
      </c>
      <c r="K2" s="3" cm="1">
        <f t="array" ref="K2">TREND(Calculations!$B$40:$B$41,Calculations!$A$40:$A$41,BRAaCTSC!K1)</f>
        <v>5644.5676031920011</v>
      </c>
      <c r="L2" s="3" cm="1">
        <f t="array" ref="L2">TREND(Calculations!$B$40:$B$41,Calculations!$A$40:$A$41,BRAaCTSC!L1)</f>
        <v>5427.2592778553371</v>
      </c>
      <c r="M2" s="3" cm="1">
        <f t="array" ref="M2">TREND(Calculations!$B$41:$B$42,Calculations!$A$41:$A$42,BRAaCTSC!M1)</f>
        <v>5209.9509525186149</v>
      </c>
      <c r="N2" s="3" cm="1">
        <f t="array" ref="N2">TREND(Calculations!$B$41:$B$42,Calculations!$A$41:$A$42,BRAaCTSC!N1)</f>
        <v>4935.7430076492019</v>
      </c>
      <c r="O2" s="3" cm="1">
        <f t="array" ref="O2">TREND(Calculations!$B$41:$B$42,Calculations!$A$41:$A$42,BRAaCTSC!O1)</f>
        <v>4661.5350627799053</v>
      </c>
      <c r="P2" s="3" cm="1">
        <f t="array" ref="P2">TREND(Calculations!$B$41:$B$42,Calculations!$A$41:$A$42,BRAaCTSC!P1)</f>
        <v>4387.3271179104922</v>
      </c>
      <c r="Q2" s="3" cm="1">
        <f t="array" ref="Q2">TREND(Calculations!$B$41:$B$42,Calculations!$A$41:$A$42,BRAaCTSC!Q1)</f>
        <v>4113.1191730410792</v>
      </c>
      <c r="R2" s="3" cm="1">
        <f t="array" ref="R2">TREND(Calculations!$B$41:$B$42,Calculations!$A$41:$A$42,BRAaCTSC!R1)</f>
        <v>3838.9112281716662</v>
      </c>
      <c r="S2" s="3" cm="1">
        <f t="array" ref="S2">TREND(Calculations!$B$41:$B$42,Calculations!$A$41:$A$42,BRAaCTSC!S1)</f>
        <v>3564.7032833022531</v>
      </c>
      <c r="T2" s="3" cm="1">
        <f t="array" ref="T2">TREND(Calculations!$B$41:$B$42,Calculations!$A$41:$A$42,BRAaCTSC!T1)</f>
        <v>3290.4953384328401</v>
      </c>
      <c r="U2" s="3" cm="1">
        <f t="array" ref="U2">TREND(Calculations!$B$41:$B$42,Calculations!$A$41:$A$42,BRAaCTSC!U1)</f>
        <v>3016.287393563427</v>
      </c>
      <c r="V2" s="3" cm="1">
        <f t="array" ref="V2">TREND(Calculations!$B$41:$B$42,Calculations!$A$41:$A$42,BRAaCTSC!V1)</f>
        <v>2742.079448694014</v>
      </c>
      <c r="W2" s="3" cm="1">
        <f t="array" ref="W2">TREND(Calculations!$B$41:$B$42,Calculations!$A$41:$A$42,BRAaCTSC!W1)</f>
        <v>2467.8715038246009</v>
      </c>
      <c r="X2" s="3" cm="1">
        <f t="array" ref="X2">TREND(Calculations!$B$41:$B$42,Calculations!$A$41:$A$42,BRAaCTSC!X1)</f>
        <v>2193.6635589551879</v>
      </c>
      <c r="Y2" s="3" cm="1">
        <f t="array" ref="Y2">TREND(Calculations!$B$41:$B$42,Calculations!$A$41:$A$42,BRAaCTSC!Y1)</f>
        <v>1919.4556140858913</v>
      </c>
      <c r="Z2" s="3" cm="1">
        <f t="array" ref="Z2">TREND(Calculations!$B$41:$B$42,Calculations!$A$41:$A$42,BRAaCTSC!Z1)</f>
        <v>1645.2476692164782</v>
      </c>
      <c r="AA2" s="3" cm="1">
        <f t="array" ref="AA2">TREND(Calculations!$B$41:$B$42,Calculations!$A$41:$A$42,BRAaCTSC!AA1)</f>
        <v>1371.0397243470652</v>
      </c>
      <c r="AB2" s="3" cm="1">
        <f t="array" ref="AB2">TREND(Calculations!$B$41:$B$42,Calculations!$A$41:$A$42,BRAaCTSC!AB1)</f>
        <v>1096.8317794776522</v>
      </c>
      <c r="AC2" s="3" cm="1">
        <f t="array" ref="AC2">TREND(Calculations!$B$41:$B$42,Calculations!$A$41:$A$42,BRAaCTSC!AC1)</f>
        <v>822.62383460823912</v>
      </c>
      <c r="AD2" s="3" cm="1">
        <f t="array" ref="AD2">TREND(Calculations!$B$41:$B$42,Calculations!$A$41:$A$42,BRAaCTSC!AD1)</f>
        <v>548.41588973882608</v>
      </c>
      <c r="AE2" s="3" cm="1">
        <f t="array" ref="AE2">TREND(Calculations!$B$41:$B$42,Calculations!$A$41:$A$42,BRAaCTSC!AE1)</f>
        <v>274.20794486941304</v>
      </c>
      <c r="AF2" s="3" cm="1">
        <f t="array" ref="AF2">TREND(Calculations!$B$41:$B$42,Calculations!$A$41:$A$42,BRAaCTSC!AF1)</f>
        <v>0</v>
      </c>
      <c r="AG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About</vt:lpstr>
      <vt:lpstr>Calculations</vt:lpstr>
      <vt:lpstr>IIJA</vt:lpstr>
      <vt:lpstr>Inflation Reduction Act</vt:lpstr>
      <vt:lpstr>BRAaCTSC</vt:lpstr>
      <vt:lpstr>income</vt:lpstr>
      <vt:lpstr>Range_EV</vt:lpstr>
      <vt:lpstr>range_ICE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2019-06-04T20:20:37Z</dcterms:created>
  <dcterms:modified xsi:type="dcterms:W3CDTF">2023-05-11T23:00:13Z</dcterms:modified>
</cp:coreProperties>
</file>