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indst\CtIEPpUESoS\"/>
    </mc:Choice>
  </mc:AlternateContent>
  <xr:revisionPtr revIDLastSave="0" documentId="8_{DEAEDC2E-6B42-4CB5-AFA1-775DD85ABCC9}" xr6:coauthVersionLast="47" xr6:coauthVersionMax="47" xr10:uidLastSave="{00000000-0000-0000-0000-000000000000}"/>
  <bookViews>
    <workbookView xWindow="11100" yWindow="1140" windowWidth="16605" windowHeight="15210" firstSheet="5" activeTab="7" xr2:uid="{00000000-000D-0000-FFFF-FFFF00000000}"/>
  </bookViews>
  <sheets>
    <sheet name="About" sheetId="1" r:id="rId1"/>
    <sheet name="early retirement" sheetId="4" r:id="rId2"/>
    <sheet name="cogen and WHR" sheetId="6" r:id="rId3"/>
    <sheet name="efficiency" sheetId="10" r:id="rId4"/>
    <sheet name="med and high temp fuel shifting" sheetId="5" r:id="rId5"/>
    <sheet name="low temp fuel type shifting" sheetId="8" r:id="rId6"/>
    <sheet name="substitute fuels for coal" sheetId="9" r:id="rId7"/>
    <sheet name="CtIEPpUESo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  <c r="M4" i="10"/>
  <c r="B4" i="10"/>
  <c r="B5" i="10" s="1"/>
  <c r="B5" i="3" s="1"/>
  <c r="C2" i="10"/>
  <c r="D2" i="10" s="1"/>
  <c r="B6" i="3"/>
  <c r="A23" i="9"/>
  <c r="A17" i="9"/>
  <c r="B11" i="9"/>
  <c r="A20" i="9" s="1"/>
  <c r="A26" i="9" s="1"/>
  <c r="B7" i="3"/>
  <c r="A18" i="8"/>
  <c r="C7" i="8"/>
  <c r="D7" i="8" s="1"/>
  <c r="E7" i="3" s="1"/>
  <c r="B7" i="8"/>
  <c r="D5" i="8"/>
  <c r="D6" i="8"/>
  <c r="D4" i="8"/>
  <c r="E2" i="10" l="1"/>
  <c r="F2" i="10" s="1"/>
  <c r="G2" i="10" s="1"/>
  <c r="H2" i="10" s="1"/>
  <c r="I2" i="10" s="1"/>
  <c r="J2" i="10" s="1"/>
  <c r="K2" i="10" s="1"/>
  <c r="L2" i="10" s="1"/>
  <c r="M2" i="10" s="1"/>
  <c r="AB7" i="3"/>
  <c r="T7" i="3"/>
  <c r="L7" i="3"/>
  <c r="D7" i="3"/>
  <c r="C7" i="3"/>
  <c r="AA7" i="3"/>
  <c r="S7" i="3"/>
  <c r="K7" i="3"/>
  <c r="AH7" i="3"/>
  <c r="Z7" i="3"/>
  <c r="R7" i="3"/>
  <c r="J7" i="3"/>
  <c r="AG7" i="3"/>
  <c r="Y7" i="3"/>
  <c r="Q7" i="3"/>
  <c r="I7" i="3"/>
  <c r="H7" i="3"/>
  <c r="AF7" i="3"/>
  <c r="P7" i="3"/>
  <c r="AE7" i="3"/>
  <c r="G7" i="3"/>
  <c r="AD7" i="3"/>
  <c r="V7" i="3"/>
  <c r="N7" i="3"/>
  <c r="F7" i="3"/>
  <c r="X7" i="3"/>
  <c r="W7" i="3"/>
  <c r="O7" i="3"/>
  <c r="AC7" i="3"/>
  <c r="U7" i="3"/>
  <c r="M7" i="3"/>
  <c r="A2" i="10" l="1"/>
  <c r="C33" i="5"/>
  <c r="D20" i="5"/>
  <c r="C20" i="5"/>
  <c r="A24" i="5" s="1"/>
  <c r="D47" i="5"/>
  <c r="C47" i="5"/>
  <c r="A50" i="5" s="1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B4" i="6" l="1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<sst xmlns="http://schemas.openxmlformats.org/spreadsheetml/2006/main" count="211" uniqueCount="172">
  <si>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</si>
  <si>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</si>
  <si>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</si>
  <si>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</si>
  <si>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</si>
  <si>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</si>
  <si>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</si>
  <si>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</si>
  <si>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</si>
  <si>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</si>
  <si>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</si>
  <si>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</si>
  <si>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</si>
  <si>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</si>
  <si>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</si>
  <si>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</si>
  <si>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</si>
  <si>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</si>
  <si>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</si>
  <si>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</si>
  <si>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</si>
  <si>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</si>
  <si>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</si>
  <si>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</si>
  <si>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</si>
  <si>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</si>
  <si>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</si>
  <si>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</si>
  <si>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</si>
  <si>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</si>
  <si>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</si>
  <si>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</si>
  <si>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</si>
  <si>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</si>
  <si>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</si>
  <si>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</si>
  <si>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</si>
  <si>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</si>
  <si>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</si>
  <si>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</si>
  <si>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</si>
  <si>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</si>
  <si>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</si>
  <si>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</si>
  <si>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</si>
  <si>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</si>
  <si>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</si>
  <si>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</si>
  <si>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</si>
  <si>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</si>
  <si>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</si>
  <si>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</si>
  <si>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</si>
  <si>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</si>
  <si>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</si>
  <si>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</si>
  <si>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</si>
  <si>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</si>
  <si>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</si>
  <si>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</si>
  <si>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</si>
  <si>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</si>
  <si>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</si>
  <si>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</si>
  <si>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</si>
  <si>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</si>
  <si>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</si>
  <si>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</si>
  <si>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</si>
  <si>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</si>
  <si>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</si>
  <si>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</si>
  <si>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</si>
  <si>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</si>
  <si>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</si>
  <si>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</si>
  <si>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</si>
  <si>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</si>
  <si>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</si>
  <si>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</si>
  <si>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</si>
  <si>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</si>
  <si>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</si>
  <si>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</si>
  <si>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</si>
  <si>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</si>
  <si>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</si>
  <si>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</si>
  <si>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</si>
  <si>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</si>
  <si>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</si>
  <si>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</si>
  <si>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</si>
  <si>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</si>
  <si>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</si>
  <si>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</si>
  <si>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</si>
  <si>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</si>
  <si>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</si>
  <si>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</si>
  <si>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</si>
  <si>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</si>
  <si>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</si>
  <si>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</si>
  <si>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</si>
  <si>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</si>
  <si>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</si>
  <si>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</si>
  <si>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</si>
  <si>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</si>
  <si>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</si>
  <si>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</si>
  <si>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</si>
  <si>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</si>
  <si>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</si>
  <si>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</si>
  <si>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</si>
  <si>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</si>
  <si>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</si>
  <si>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</si>
  <si>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</si>
  <si>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</si>
  <si>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</si>
  <si>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</si>
  <si>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</si>
  <si>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</si>
  <si>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</si>
  <si>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</si>
  <si>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</si>
  <si>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</si>
  <si>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</si>
  <si>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</si>
  <si>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</si>
  <si>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</si>
  <si>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</si>
  <si>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</si>
  <si>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</si>
  <si>
    <t>This is the cost per unit heat delivered via heat pump.</t>
  </si>
  <si>
    <t>We want the cost per unit energy saved or shifted.</t>
  </si>
  <si>
    <t>Therefore, we need to take into account the difference in efficiency of heat use.</t>
  </si>
  <si>
    <t>From variable indst/PIFURfE</t>
  </si>
  <si>
    <t>Percent reduction in fuel use from switching from fossil fuels to heat pump is:</t>
  </si>
  <si>
    <t>Therefore, the capital cost per unit energy saved (not per unit energy delivered) is:</t>
  </si>
  <si>
    <t>Substitute Other Fuels for Coal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</si>
  <si>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</si>
  <si>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</si>
  <si>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</si>
  <si>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</si>
  <si>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Estimate</t>
  </si>
  <si>
    <t>Cost per Unit Capacity ($/kW)</t>
  </si>
  <si>
    <t>Low</t>
  </si>
  <si>
    <t>High</t>
  </si>
  <si>
    <t>Avg</t>
  </si>
  <si>
    <t>Industrial Boiler Capacity Factor</t>
  </si>
  <si>
    <t>Hours per Year</t>
  </si>
  <si>
    <t>Investment Cost per Unit Annual Energy Converted ($/kWh)</t>
  </si>
  <si>
    <t>Investment per Unit Energy Converted ($/BTU)</t>
  </si>
  <si>
    <t>substitute other fuels for coal: conversion costs per unit capacity</t>
  </si>
  <si>
    <t>Babcock and Wilcox</t>
  </si>
  <si>
    <t>Natural Gas Conversions of Existing Coal-Fired Boilers</t>
  </si>
  <si>
    <t>http://www.babcock.com/library/Documents/MS-14.pdf</t>
  </si>
  <si>
    <t>Page 2, "Financial Considerations," paragraph 1</t>
  </si>
  <si>
    <t>Tbtu/year</t>
  </si>
  <si>
    <t>We assume outlays are uniform in each year and that savings also accrue uniformly.</t>
  </si>
  <si>
    <t>McKinsey used a 7 percent discount rate in their main scenario</t>
  </si>
  <si>
    <t>2009 to 2012 USD</t>
  </si>
  <si>
    <t>cogeneration and WHR: total cost</t>
  </si>
  <si>
    <t>cogeneration and WHR: annual energy savings</t>
  </si>
  <si>
    <t>McKinsey</t>
  </si>
  <si>
    <t>Unlocking Energy Efficiency in the U.S. Economy</t>
  </si>
  <si>
    <t>https://www.sallan.org/pdf-docs/MCKINSEY_US_energy_efficiency.pdf</t>
  </si>
  <si>
    <t>Tables 15 and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</si>
</sst>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1" fontId="0" fillId="0" borderId="0" xfId="0" applyNumberFormat="1" applyFill="1"/>
    <xf numFmtId="171" fontId="0" fillId="0" borderId="0" xfId="0" applyNumberFormat="1"/>
    <xf numFmtId="11" fontId="0" fillId="6" borderId="0" xfId="0" applyNumberFormat="1" applyFill="1"/>
    <xf numFmtId="0" fontId="0" fillId="0" borderId="0" xfId="0" applyAlignment="1">
      <alignment horizontal="right"/>
    </xf>
    <xf numFmtId="0" fontId="1" fillId="7" borderId="0" xfId="0" applyFont="1" applyFill="1" applyAlignment="1">
      <alignment horizontal="left"/>
    </xf>
    <xf numFmtId="0" fontId="0" fillId="7" borderId="0" xfId="0" applyFill="1"/>
    <xf numFmtId="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6" fontId="4" fillId="0" borderId="0" xfId="0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0" xfId="0" quotePrefix="1" applyAlignment="1">
      <alignment horizontal="left"/>
    </xf>
    <xf numFmtId="166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180975</xdr:colOff>
      <xdr:row>28</xdr:row>
      <xdr:rowOff>129654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77A4A-2F0B-9B40-B441-F44633B0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000500" cy="3558654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10</xdr:row>
      <xdr:rowOff>57150</xdr:rowOff>
    </xdr:from>
    <xdr:to>
      <xdr:col>13</xdr:col>
      <xdr:colOff>237614</xdr:colOff>
      <xdr:row>32</xdr:row>
      <xdr:rowOff>104245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E7B3D1-B516-269F-941C-3CC5A217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1962150"/>
          <a:ext cx="4085714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D17" sqref="D17"/>
    </sheetView>
  </sheetViews>
  <sheetFormatPr defaultRowHeight="15" x14ac:dyDescent="0.25"/>
  <cols>
    <col min="2" max="2" width="81.7109375" customWidth="1"/>
    <col min="4" max="4" width="56.140625" customWidth="1"/>
  </cols>
  <sheetData>
    <row r="1" spans="1:4" x14ac:dyDescent="0.25">
      <c r="A1" s="1" t="s">
        <v>35</v>
      </c>
    </row>
    <row r="3" spans="1:4" x14ac:dyDescent="0.25">
      <c r="A3" s="1" t="s">
        <v>0</v>
      </c>
      <c r="B3" s="8" t="s">
        <v>41</v>
      </c>
      <c r="D3" s="8" t="s">
        <v>157</v>
      </c>
    </row>
    <row r="4" spans="1:4" x14ac:dyDescent="0.25">
      <c r="B4" t="s">
        <v>2</v>
      </c>
      <c r="D4" s="25" t="s">
        <v>158</v>
      </c>
    </row>
    <row r="5" spans="1:4" x14ac:dyDescent="0.25">
      <c r="B5" s="2">
        <v>2013</v>
      </c>
      <c r="D5" s="54">
        <v>2010</v>
      </c>
    </row>
    <row r="6" spans="1:4" x14ac:dyDescent="0.25">
      <c r="B6" t="s">
        <v>3</v>
      </c>
      <c r="D6" s="25" t="s">
        <v>159</v>
      </c>
    </row>
    <row r="7" spans="1:4" x14ac:dyDescent="0.25">
      <c r="B7" s="3" t="s">
        <v>4</v>
      </c>
      <c r="D7" s="3" t="s">
        <v>160</v>
      </c>
    </row>
    <row r="8" spans="1:4" x14ac:dyDescent="0.25">
      <c r="B8" t="s">
        <v>5</v>
      </c>
      <c r="D8" s="25" t="s">
        <v>161</v>
      </c>
    </row>
    <row r="10" spans="1:4" x14ac:dyDescent="0.25">
      <c r="B10" s="8" t="s">
        <v>166</v>
      </c>
      <c r="D10" s="8" t="s">
        <v>157</v>
      </c>
    </row>
    <row r="11" spans="1:4" x14ac:dyDescent="0.25">
      <c r="B11" t="s">
        <v>24</v>
      </c>
      <c r="D11" s="25" t="s">
        <v>168</v>
      </c>
    </row>
    <row r="12" spans="1:4" x14ac:dyDescent="0.25">
      <c r="B12" s="5">
        <v>2011</v>
      </c>
      <c r="D12" s="54">
        <v>2009</v>
      </c>
    </row>
    <row r="13" spans="1:4" x14ac:dyDescent="0.25">
      <c r="B13" t="s">
        <v>25</v>
      </c>
      <c r="D13" s="25" t="s">
        <v>169</v>
      </c>
    </row>
    <row r="14" spans="1:4" x14ac:dyDescent="0.25">
      <c r="B14" s="3" t="s">
        <v>26</v>
      </c>
      <c r="D14" s="3" t="s">
        <v>170</v>
      </c>
    </row>
    <row r="15" spans="1:4" x14ac:dyDescent="0.25">
      <c r="B15" t="s">
        <v>27</v>
      </c>
      <c r="D15" s="25" t="s">
        <v>171</v>
      </c>
    </row>
    <row r="17" spans="2:2" x14ac:dyDescent="0.25">
      <c r="B17" s="8" t="s">
        <v>167</v>
      </c>
    </row>
    <row r="18" spans="2:2" x14ac:dyDescent="0.25">
      <c r="B18" t="s">
        <v>24</v>
      </c>
    </row>
    <row r="19" spans="2:2" x14ac:dyDescent="0.25">
      <c r="B19" s="5">
        <v>2011</v>
      </c>
    </row>
    <row r="20" spans="2:2" x14ac:dyDescent="0.25">
      <c r="B20" t="s">
        <v>45</v>
      </c>
    </row>
    <row r="21" spans="2:2" x14ac:dyDescent="0.25">
      <c r="B21" s="3" t="s">
        <v>46</v>
      </c>
    </row>
    <row r="22" spans="2:2" x14ac:dyDescent="0.25">
      <c r="B22" t="s">
        <v>47</v>
      </c>
    </row>
    <row r="24" spans="2:2" ht="14.25" customHeight="1" x14ac:dyDescent="0.25">
      <c r="B24" s="8" t="s">
        <v>123</v>
      </c>
    </row>
    <row r="25" spans="2:2" ht="14.25" customHeight="1" x14ac:dyDescent="0.25">
      <c r="B25" s="25" t="s">
        <v>91</v>
      </c>
    </row>
    <row r="26" spans="2:2" ht="14.25" customHeight="1" x14ac:dyDescent="0.25">
      <c r="B26" t="s">
        <v>92</v>
      </c>
    </row>
    <row r="27" spans="2:2" ht="14.25" customHeight="1" x14ac:dyDescent="0.25">
      <c r="B27" s="2">
        <v>2020</v>
      </c>
    </row>
    <row r="28" spans="2:2" ht="14.25" customHeight="1" x14ac:dyDescent="0.25">
      <c r="B28" s="3" t="s">
        <v>93</v>
      </c>
    </row>
    <row r="29" spans="2:2" x14ac:dyDescent="0.25">
      <c r="B29" s="25"/>
    </row>
    <row r="30" spans="2:2" s="25" customFormat="1" x14ac:dyDescent="0.25">
      <c r="B30" s="8" t="s">
        <v>124</v>
      </c>
    </row>
    <row r="31" spans="2:2" s="25" customFormat="1" x14ac:dyDescent="0.25">
      <c r="B31" s="15" t="s">
        <v>134</v>
      </c>
    </row>
    <row r="32" spans="2:2" s="25" customFormat="1" x14ac:dyDescent="0.25">
      <c r="B32" s="5">
        <v>2011</v>
      </c>
    </row>
    <row r="33" spans="1:2" s="25" customFormat="1" x14ac:dyDescent="0.25">
      <c r="B33" s="2" t="s">
        <v>135</v>
      </c>
    </row>
    <row r="34" spans="1:2" s="25" customFormat="1" x14ac:dyDescent="0.25">
      <c r="B34" s="3" t="s">
        <v>136</v>
      </c>
    </row>
    <row r="36" spans="1:2" x14ac:dyDescent="0.25">
      <c r="A36" s="1" t="s">
        <v>42</v>
      </c>
    </row>
    <row r="37" spans="1:2" s="25" customFormat="1" x14ac:dyDescent="0.25">
      <c r="A37" s="15"/>
    </row>
    <row r="38" spans="1:2" s="25" customFormat="1" x14ac:dyDescent="0.25">
      <c r="A38" s="15" t="s">
        <v>74</v>
      </c>
    </row>
    <row r="39" spans="1:2" s="25" customFormat="1" x14ac:dyDescent="0.25">
      <c r="A39" s="15" t="s">
        <v>75</v>
      </c>
    </row>
    <row r="40" spans="1:2" s="25" customFormat="1" x14ac:dyDescent="0.25">
      <c r="A40" s="15"/>
    </row>
    <row r="41" spans="1:2" x14ac:dyDescent="0.25">
      <c r="A41" s="15" t="s">
        <v>121</v>
      </c>
    </row>
    <row r="42" spans="1:2" x14ac:dyDescent="0.25">
      <c r="A42" s="15" t="s">
        <v>122</v>
      </c>
    </row>
    <row r="44" spans="1:2" x14ac:dyDescent="0.25">
      <c r="A44" t="s">
        <v>44</v>
      </c>
    </row>
    <row r="45" spans="1:2" x14ac:dyDescent="0.25">
      <c r="A45" t="s">
        <v>43</v>
      </c>
    </row>
    <row r="47" spans="1:2" x14ac:dyDescent="0.25">
      <c r="A47" t="s">
        <v>64</v>
      </c>
    </row>
    <row r="48" spans="1:2" x14ac:dyDescent="0.25">
      <c r="A48" t="s">
        <v>65</v>
      </c>
    </row>
    <row r="49" spans="1:2" s="25" customFormat="1" x14ac:dyDescent="0.25"/>
    <row r="50" spans="1:2" s="25" customFormat="1" x14ac:dyDescent="0.25">
      <c r="A50" s="25" t="s">
        <v>133</v>
      </c>
    </row>
    <row r="52" spans="1:2" x14ac:dyDescent="0.25">
      <c r="A52" s="1" t="s">
        <v>66</v>
      </c>
    </row>
    <row r="53" spans="1:2" x14ac:dyDescent="0.25">
      <c r="A53" t="s">
        <v>67</v>
      </c>
    </row>
    <row r="54" spans="1:2" x14ac:dyDescent="0.25">
      <c r="A54" t="s">
        <v>69</v>
      </c>
    </row>
    <row r="55" spans="1:2" x14ac:dyDescent="0.25">
      <c r="A55" t="s">
        <v>68</v>
      </c>
    </row>
    <row r="56" spans="1:2" x14ac:dyDescent="0.25">
      <c r="A56" s="25" t="s">
        <v>71</v>
      </c>
    </row>
    <row r="57" spans="1:2" x14ac:dyDescent="0.25">
      <c r="A57" s="25">
        <v>0.98699999999999999</v>
      </c>
      <c r="B57" t="s">
        <v>72</v>
      </c>
    </row>
    <row r="58" spans="1:2" s="25" customFormat="1" x14ac:dyDescent="0.25">
      <c r="A58" s="26">
        <v>1.0549999999999999</v>
      </c>
      <c r="B58" s="25" t="s">
        <v>73</v>
      </c>
    </row>
    <row r="59" spans="1:2" x14ac:dyDescent="0.25">
      <c r="A59" s="25" t="s">
        <v>70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  <hyperlink ref="D7" r:id="rId5" xr:uid="{1577CB84-3B18-4B4B-9741-3317554DFE0F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0" sqref="A20"/>
    </sheetView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I44" sqref="I44"/>
    </sheetView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  <col min="6" max="6" width="12" bestFit="1" customWidth="1"/>
    <col min="7" max="7" width="9.5703125" bestFit="1" customWidth="1"/>
    <col min="10" max="10" width="12" bestFit="1" customWidth="1"/>
  </cols>
  <sheetData>
    <row r="1" spans="1:2" x14ac:dyDescent="0.25">
      <c r="A1" s="1" t="s">
        <v>63</v>
      </c>
    </row>
    <row r="2" spans="1:2" x14ac:dyDescent="0.25">
      <c r="A2" s="1"/>
    </row>
    <row r="3" spans="1:2" x14ac:dyDescent="0.25">
      <c r="A3" s="8" t="s">
        <v>48</v>
      </c>
      <c r="B3" s="10"/>
    </row>
    <row r="4" spans="1:2" x14ac:dyDescent="0.25">
      <c r="A4" t="s">
        <v>58</v>
      </c>
      <c r="B4" s="21">
        <f>2.4*10^15</f>
        <v>2400000000000000</v>
      </c>
    </row>
    <row r="5" spans="1:2" x14ac:dyDescent="0.25">
      <c r="B5" s="21"/>
    </row>
    <row r="6" spans="1:2" x14ac:dyDescent="0.25">
      <c r="A6" s="1"/>
    </row>
    <row r="7" spans="1:2" x14ac:dyDescent="0.25">
      <c r="A7" s="1" t="s">
        <v>49</v>
      </c>
    </row>
    <row r="8" spans="1:2" x14ac:dyDescent="0.25">
      <c r="A8" s="15" t="s">
        <v>53</v>
      </c>
    </row>
    <row r="9" spans="1:2" x14ac:dyDescent="0.25">
      <c r="A9" s="15" t="s">
        <v>54</v>
      </c>
    </row>
    <row r="10" spans="1:2" x14ac:dyDescent="0.25">
      <c r="A10" s="15" t="s">
        <v>55</v>
      </c>
    </row>
    <row r="11" spans="1:2" x14ac:dyDescent="0.25">
      <c r="A11" s="15" t="s">
        <v>56</v>
      </c>
    </row>
    <row r="12" spans="1:2" x14ac:dyDescent="0.25">
      <c r="A12" s="15" t="s">
        <v>57</v>
      </c>
    </row>
    <row r="13" spans="1:2" x14ac:dyDescent="0.25">
      <c r="A13" s="15"/>
    </row>
    <row r="14" spans="1:2" x14ac:dyDescent="0.25">
      <c r="A14" s="16" t="s">
        <v>28</v>
      </c>
    </row>
    <row r="15" spans="1:2" x14ac:dyDescent="0.25">
      <c r="A15" s="15" t="s">
        <v>50</v>
      </c>
    </row>
    <row r="16" spans="1:2" x14ac:dyDescent="0.25">
      <c r="A16" s="15" t="s">
        <v>51</v>
      </c>
    </row>
    <row r="17" spans="1:7" x14ac:dyDescent="0.25">
      <c r="A17" s="15" t="s">
        <v>29</v>
      </c>
    </row>
    <row r="18" spans="1:7" x14ac:dyDescent="0.25">
      <c r="A18" s="15" t="s">
        <v>30</v>
      </c>
    </row>
    <row r="19" spans="1:7" x14ac:dyDescent="0.25">
      <c r="A19" s="15" t="s">
        <v>31</v>
      </c>
    </row>
    <row r="20" spans="1:7" x14ac:dyDescent="0.25">
      <c r="A20" s="15" t="s">
        <v>32</v>
      </c>
    </row>
    <row r="21" spans="1:7" x14ac:dyDescent="0.25">
      <c r="A21" s="15" t="s">
        <v>33</v>
      </c>
    </row>
    <row r="23" spans="1:7" x14ac:dyDescent="0.25">
      <c r="A23" s="8" t="s">
        <v>34</v>
      </c>
      <c r="B23" s="10"/>
      <c r="C23" s="10"/>
      <c r="D23" s="10"/>
      <c r="E23" s="10"/>
    </row>
    <row r="24" spans="1:7" x14ac:dyDescent="0.25">
      <c r="B24" t="s">
        <v>61</v>
      </c>
      <c r="C24" t="s">
        <v>59</v>
      </c>
      <c r="D24" t="s">
        <v>60</v>
      </c>
      <c r="E24" t="s">
        <v>62</v>
      </c>
    </row>
    <row r="25" spans="1:7" x14ac:dyDescent="0.25">
      <c r="A25" t="s">
        <v>58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7" x14ac:dyDescent="0.25">
      <c r="B26" s="17"/>
      <c r="C26" s="5"/>
      <c r="D26" s="18"/>
      <c r="E26" s="22"/>
    </row>
    <row r="27" spans="1:7" x14ac:dyDescent="0.25">
      <c r="A27" s="17"/>
      <c r="B27" s="5"/>
      <c r="C27" s="18"/>
      <c r="D27" s="22"/>
    </row>
    <row r="28" spans="1:7" x14ac:dyDescent="0.25">
      <c r="A28" s="13" t="s">
        <v>52</v>
      </c>
      <c r="B28" s="24"/>
      <c r="C28" s="18"/>
      <c r="D28" s="22"/>
    </row>
    <row r="29" spans="1:7" x14ac:dyDescent="0.25">
      <c r="A29" t="s">
        <v>58</v>
      </c>
      <c r="B29" s="23">
        <f>E25/B4</f>
        <v>2.2836257309941521E-5</v>
      </c>
      <c r="C29" s="18"/>
      <c r="D29" s="22"/>
    </row>
    <row r="30" spans="1:7" x14ac:dyDescent="0.25">
      <c r="B30" s="25"/>
      <c r="C30" s="18"/>
      <c r="D30" s="22"/>
      <c r="G30" s="5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20BD-F268-461F-B03F-7101039E9E7B}">
  <dimension ref="A1:Q19"/>
  <sheetViews>
    <sheetView workbookViewId="0">
      <selection activeCell="B5" sqref="B5"/>
    </sheetView>
  </sheetViews>
  <sheetFormatPr defaultRowHeight="15" x14ac:dyDescent="0.25"/>
  <cols>
    <col min="1" max="1" width="11.5703125" customWidth="1"/>
  </cols>
  <sheetData>
    <row r="1" spans="1:17" x14ac:dyDescent="0.25">
      <c r="A1" s="25"/>
      <c r="B1" s="25">
        <v>2009</v>
      </c>
      <c r="C1" s="25">
        <v>2010</v>
      </c>
      <c r="D1" s="25">
        <v>2011</v>
      </c>
      <c r="E1" s="25">
        <v>2012</v>
      </c>
      <c r="F1" s="25">
        <v>2013</v>
      </c>
      <c r="G1" s="25">
        <v>2014</v>
      </c>
      <c r="H1" s="25">
        <v>2015</v>
      </c>
      <c r="I1" s="25">
        <v>2016</v>
      </c>
      <c r="J1" s="25">
        <v>2017</v>
      </c>
      <c r="K1" s="25">
        <v>2018</v>
      </c>
      <c r="L1" s="25">
        <v>2019</v>
      </c>
      <c r="M1" s="25">
        <v>2020</v>
      </c>
      <c r="N1" s="25"/>
      <c r="O1" s="25"/>
    </row>
    <row r="2" spans="1:17" x14ac:dyDescent="0.25">
      <c r="A2" s="20">
        <f>NPV(0.07,B2:M2)</f>
        <v>79000000000.000015</v>
      </c>
      <c r="B2" s="20">
        <v>9946257103.7466221</v>
      </c>
      <c r="C2" s="20">
        <f>B2</f>
        <v>9946257103.7466221</v>
      </c>
      <c r="D2" s="20">
        <f t="shared" ref="D2:M2" si="0">C2</f>
        <v>9946257103.7466221</v>
      </c>
      <c r="E2" s="20">
        <f t="shared" si="0"/>
        <v>9946257103.7466221</v>
      </c>
      <c r="F2" s="20">
        <f t="shared" si="0"/>
        <v>9946257103.7466221</v>
      </c>
      <c r="G2" s="20">
        <f t="shared" si="0"/>
        <v>9946257103.7466221</v>
      </c>
      <c r="H2" s="20">
        <f t="shared" si="0"/>
        <v>9946257103.7466221</v>
      </c>
      <c r="I2" s="20">
        <f t="shared" si="0"/>
        <v>9946257103.7466221</v>
      </c>
      <c r="J2" s="20">
        <f t="shared" si="0"/>
        <v>9946257103.7466221</v>
      </c>
      <c r="K2" s="20">
        <f t="shared" si="0"/>
        <v>9946257103.7466221</v>
      </c>
      <c r="L2" s="20">
        <f t="shared" si="0"/>
        <v>9946257103.7466221</v>
      </c>
      <c r="M2" s="20">
        <f t="shared" si="0"/>
        <v>9946257103.7466221</v>
      </c>
      <c r="N2" s="25"/>
      <c r="O2" s="25"/>
    </row>
    <row r="3" spans="1:17" x14ac:dyDescent="0.25">
      <c r="A3" s="25">
        <f>51+28</f>
        <v>79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7" x14ac:dyDescent="0.25">
      <c r="A4" s="25"/>
      <c r="B4" s="25">
        <f>M4/COUNT(B1:M1)</f>
        <v>201.66666666666666</v>
      </c>
      <c r="C4" s="25" t="s">
        <v>162</v>
      </c>
      <c r="D4" s="25"/>
      <c r="E4" s="25"/>
      <c r="F4" s="25"/>
      <c r="G4" s="25"/>
      <c r="H4" s="25"/>
      <c r="I4" s="25"/>
      <c r="J4" s="25"/>
      <c r="K4" s="25"/>
      <c r="L4" s="25"/>
      <c r="M4" s="25">
        <f>1550+870</f>
        <v>2420</v>
      </c>
      <c r="N4" s="25"/>
      <c r="O4" s="25"/>
    </row>
    <row r="5" spans="1:17" x14ac:dyDescent="0.25">
      <c r="A5" s="25"/>
      <c r="B5" s="20">
        <f>B2/(B4*1000000000000)*Q5</f>
        <v>5.2772702980209352E-5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 t="s">
        <v>165</v>
      </c>
      <c r="Q5">
        <v>1.07</v>
      </c>
    </row>
    <row r="6" spans="1:17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7" x14ac:dyDescent="0.25">
      <c r="A7" s="25" t="s">
        <v>163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7" x14ac:dyDescent="0.25">
      <c r="A8" s="25" t="s">
        <v>164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7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7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7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7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7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7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7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7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37" workbookViewId="0">
      <selection activeCell="A50" sqref="A50"/>
    </sheetView>
  </sheetViews>
  <sheetFormatPr defaultRowHeight="15" x14ac:dyDescent="0.25"/>
  <cols>
    <col min="1" max="1" width="21.28515625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4" x14ac:dyDescent="0.25">
      <c r="A1" s="1" t="s">
        <v>94</v>
      </c>
    </row>
    <row r="3" spans="1:4" x14ac:dyDescent="0.25">
      <c r="A3" s="29" t="s">
        <v>95</v>
      </c>
    </row>
    <row r="5" spans="1:4" x14ac:dyDescent="0.25">
      <c r="A5" s="1" t="s">
        <v>81</v>
      </c>
      <c r="B5" s="25"/>
      <c r="C5" s="25"/>
    </row>
    <row r="6" spans="1:4" s="25" customFormat="1" x14ac:dyDescent="0.25">
      <c r="A6" s="1" t="s">
        <v>97</v>
      </c>
    </row>
    <row r="7" spans="1:4" s="25" customFormat="1" x14ac:dyDescent="0.25">
      <c r="A7" s="30" t="s">
        <v>82</v>
      </c>
      <c r="B7" s="30" t="s">
        <v>83</v>
      </c>
      <c r="C7" s="30" t="s">
        <v>98</v>
      </c>
    </row>
    <row r="8" spans="1:4" s="25" customFormat="1" x14ac:dyDescent="0.25">
      <c r="A8" s="31" t="s">
        <v>99</v>
      </c>
      <c r="B8" s="31" t="s">
        <v>100</v>
      </c>
      <c r="C8" s="31">
        <v>25</v>
      </c>
    </row>
    <row r="9" spans="1:4" s="25" customFormat="1" x14ac:dyDescent="0.25">
      <c r="A9" s="31" t="s">
        <v>101</v>
      </c>
      <c r="B9" s="31" t="s">
        <v>85</v>
      </c>
      <c r="C9" s="32">
        <v>0.05</v>
      </c>
    </row>
    <row r="10" spans="1:4" s="25" customFormat="1" x14ac:dyDescent="0.25">
      <c r="A10" s="31" t="s">
        <v>102</v>
      </c>
      <c r="B10" s="31" t="s">
        <v>103</v>
      </c>
      <c r="C10" s="33">
        <v>6.5242598122280206</v>
      </c>
      <c r="D10" s="38"/>
    </row>
    <row r="11" spans="1:4" s="25" customFormat="1" x14ac:dyDescent="0.25">
      <c r="A11" s="31" t="s">
        <v>115</v>
      </c>
      <c r="B11" s="31" t="s">
        <v>116</v>
      </c>
      <c r="C11" s="39">
        <v>6.3954140084752677E-3</v>
      </c>
    </row>
    <row r="12" spans="1:4" s="25" customFormat="1" x14ac:dyDescent="0.25">
      <c r="A12" s="31" t="s">
        <v>117</v>
      </c>
      <c r="B12" s="31" t="s">
        <v>118</v>
      </c>
      <c r="C12" s="39">
        <v>52.826854199999993</v>
      </c>
    </row>
    <row r="13" spans="1:4" s="25" customFormat="1" x14ac:dyDescent="0.25"/>
    <row r="14" spans="1:4" s="25" customFormat="1" x14ac:dyDescent="0.25">
      <c r="A14" s="1" t="s">
        <v>81</v>
      </c>
    </row>
    <row r="15" spans="1:4" s="25" customFormat="1" x14ac:dyDescent="0.25">
      <c r="A15" s="30" t="s">
        <v>82</v>
      </c>
      <c r="B15" s="30" t="s">
        <v>83</v>
      </c>
      <c r="C15" s="30" t="s">
        <v>78</v>
      </c>
      <c r="D15" s="30" t="s">
        <v>119</v>
      </c>
    </row>
    <row r="16" spans="1:4" s="25" customFormat="1" x14ac:dyDescent="0.25">
      <c r="A16" s="31" t="s">
        <v>77</v>
      </c>
      <c r="B16" s="31" t="s">
        <v>84</v>
      </c>
      <c r="C16" s="34">
        <v>53860</v>
      </c>
      <c r="D16" s="34">
        <v>87540</v>
      </c>
    </row>
    <row r="17" spans="1:4" s="25" customFormat="1" x14ac:dyDescent="0.25">
      <c r="A17" s="31" t="s">
        <v>79</v>
      </c>
      <c r="B17" s="31" t="s">
        <v>85</v>
      </c>
      <c r="C17" s="32">
        <v>1</v>
      </c>
      <c r="D17" s="35">
        <v>0.8</v>
      </c>
    </row>
    <row r="18" spans="1:4" s="25" customFormat="1" x14ac:dyDescent="0.25">
      <c r="A18" s="31" t="s">
        <v>80</v>
      </c>
      <c r="B18" s="31" t="s">
        <v>86</v>
      </c>
      <c r="C18" s="36">
        <v>3.3475000000000001</v>
      </c>
      <c r="D18" s="36">
        <v>3.3475000000000001</v>
      </c>
    </row>
    <row r="19" spans="1:4" s="25" customFormat="1" x14ac:dyDescent="0.25">
      <c r="A19" s="31" t="s">
        <v>87</v>
      </c>
      <c r="B19" s="31" t="s">
        <v>88</v>
      </c>
      <c r="C19" s="37">
        <v>5280</v>
      </c>
      <c r="D19" s="37">
        <v>5280</v>
      </c>
    </row>
    <row r="20" spans="1:4" x14ac:dyDescent="0.25">
      <c r="A20" s="31" t="s">
        <v>89</v>
      </c>
      <c r="B20" s="31" t="s">
        <v>90</v>
      </c>
      <c r="C20" s="37">
        <f>C18*C19</f>
        <v>17674.8</v>
      </c>
      <c r="D20" s="37">
        <f>D18*D19</f>
        <v>17674.8</v>
      </c>
    </row>
    <row r="21" spans="1:4" x14ac:dyDescent="0.25">
      <c r="A21" s="12"/>
      <c r="B21" s="25"/>
      <c r="C21" s="14"/>
    </row>
    <row r="23" spans="1:4" x14ac:dyDescent="0.25">
      <c r="A23" s="8" t="s">
        <v>120</v>
      </c>
      <c r="B23" s="8"/>
    </row>
    <row r="24" spans="1:4" x14ac:dyDescent="0.25">
      <c r="A24" s="19">
        <f>C16/(C20*10^6)</f>
        <v>3.047276348247222E-6</v>
      </c>
    </row>
    <row r="27" spans="1:4" x14ac:dyDescent="0.25">
      <c r="A27" s="1" t="s">
        <v>96</v>
      </c>
    </row>
    <row r="28" spans="1:4" s="25" customFormat="1" x14ac:dyDescent="0.25">
      <c r="A28" s="1"/>
    </row>
    <row r="29" spans="1:4" x14ac:dyDescent="0.25">
      <c r="A29" s="1" t="s">
        <v>97</v>
      </c>
      <c r="B29" s="25"/>
      <c r="C29" s="25"/>
      <c r="D29" s="25"/>
    </row>
    <row r="30" spans="1:4" x14ac:dyDescent="0.25">
      <c r="A30" s="30" t="s">
        <v>82</v>
      </c>
      <c r="B30" s="30" t="s">
        <v>83</v>
      </c>
      <c r="C30" s="30" t="s">
        <v>98</v>
      </c>
      <c r="D30" s="25"/>
    </row>
    <row r="31" spans="1:4" x14ac:dyDescent="0.25">
      <c r="A31" s="31" t="s">
        <v>99</v>
      </c>
      <c r="B31" s="31" t="s">
        <v>100</v>
      </c>
      <c r="C31" s="31">
        <v>25</v>
      </c>
      <c r="D31" s="25"/>
    </row>
    <row r="32" spans="1:4" x14ac:dyDescent="0.25">
      <c r="A32" s="31" t="s">
        <v>101</v>
      </c>
      <c r="B32" s="31" t="s">
        <v>85</v>
      </c>
      <c r="C32" s="32">
        <v>0.05</v>
      </c>
      <c r="D32" s="25"/>
    </row>
    <row r="33" spans="1:4" x14ac:dyDescent="0.25">
      <c r="A33" s="31" t="s">
        <v>102</v>
      </c>
      <c r="B33" s="31" t="s">
        <v>103</v>
      </c>
      <c r="C33" s="33">
        <f>C10</f>
        <v>6.5242598122280206</v>
      </c>
      <c r="D33" s="25"/>
    </row>
    <row r="34" spans="1:4" x14ac:dyDescent="0.25">
      <c r="A34" s="31" t="s">
        <v>104</v>
      </c>
      <c r="B34" s="31" t="s">
        <v>103</v>
      </c>
      <c r="C34" s="34">
        <v>44</v>
      </c>
      <c r="D34" s="25"/>
    </row>
    <row r="35" spans="1:4" x14ac:dyDescent="0.25">
      <c r="A35" s="31" t="s">
        <v>105</v>
      </c>
      <c r="B35" s="31" t="s">
        <v>103</v>
      </c>
      <c r="C35" s="34">
        <v>34</v>
      </c>
      <c r="D35" s="25"/>
    </row>
    <row r="36" spans="1:4" x14ac:dyDescent="0.25">
      <c r="A36" s="31" t="s">
        <v>106</v>
      </c>
      <c r="B36" s="31" t="s">
        <v>103</v>
      </c>
      <c r="C36" s="34">
        <v>21</v>
      </c>
      <c r="D36" s="25"/>
    </row>
    <row r="37" spans="1:4" x14ac:dyDescent="0.25">
      <c r="A37" s="31" t="s">
        <v>107</v>
      </c>
      <c r="B37" s="31" t="s">
        <v>103</v>
      </c>
      <c r="C37" s="34">
        <v>15</v>
      </c>
      <c r="D37" s="25"/>
    </row>
    <row r="38" spans="1:4" x14ac:dyDescent="0.25">
      <c r="A38" s="31" t="s">
        <v>108</v>
      </c>
      <c r="B38" s="31" t="s">
        <v>109</v>
      </c>
      <c r="C38" s="34">
        <v>4</v>
      </c>
      <c r="D38" s="25"/>
    </row>
    <row r="39" spans="1:4" x14ac:dyDescent="0.25">
      <c r="A39" s="25"/>
      <c r="B39" s="25"/>
      <c r="C39" s="25"/>
      <c r="D39" s="25"/>
    </row>
    <row r="40" spans="1:4" x14ac:dyDescent="0.25">
      <c r="A40" s="1" t="s">
        <v>81</v>
      </c>
      <c r="B40" s="25"/>
      <c r="C40" s="25"/>
      <c r="D40" s="25"/>
    </row>
    <row r="41" spans="1:4" x14ac:dyDescent="0.25">
      <c r="A41" s="30" t="s">
        <v>82</v>
      </c>
      <c r="B41" s="30" t="s">
        <v>83</v>
      </c>
      <c r="C41" s="30" t="s">
        <v>110</v>
      </c>
      <c r="D41" s="30" t="s">
        <v>111</v>
      </c>
    </row>
    <row r="42" spans="1:4" x14ac:dyDescent="0.25">
      <c r="A42" s="31" t="s">
        <v>112</v>
      </c>
      <c r="B42" s="31" t="s">
        <v>84</v>
      </c>
      <c r="C42" s="34">
        <v>87540</v>
      </c>
      <c r="D42" s="34">
        <v>87540</v>
      </c>
    </row>
    <row r="43" spans="1:4" x14ac:dyDescent="0.25">
      <c r="A43" s="31" t="s">
        <v>113</v>
      </c>
      <c r="B43" s="31" t="s">
        <v>84</v>
      </c>
      <c r="C43" s="34">
        <f>C42*1.5</f>
        <v>131310</v>
      </c>
      <c r="D43" s="34">
        <v>87540</v>
      </c>
    </row>
    <row r="44" spans="1:4" x14ac:dyDescent="0.25">
      <c r="A44" s="31" t="s">
        <v>114</v>
      </c>
      <c r="B44" s="31" t="s">
        <v>85</v>
      </c>
      <c r="C44" s="32">
        <f>D44</f>
        <v>0.8</v>
      </c>
      <c r="D44" s="35">
        <v>0.8</v>
      </c>
    </row>
    <row r="45" spans="1:4" x14ac:dyDescent="0.25">
      <c r="A45" s="31" t="s">
        <v>80</v>
      </c>
      <c r="B45" s="31" t="s">
        <v>86</v>
      </c>
      <c r="C45" s="36">
        <v>3.3475000000000001</v>
      </c>
      <c r="D45" s="36">
        <v>3.3475000000000001</v>
      </c>
    </row>
    <row r="46" spans="1:4" x14ac:dyDescent="0.25">
      <c r="A46" s="31" t="s">
        <v>87</v>
      </c>
      <c r="B46" s="31" t="s">
        <v>88</v>
      </c>
      <c r="C46" s="37">
        <v>5280</v>
      </c>
      <c r="D46" s="37">
        <v>5280</v>
      </c>
    </row>
    <row r="47" spans="1:4" x14ac:dyDescent="0.25">
      <c r="A47" s="31" t="s">
        <v>89</v>
      </c>
      <c r="B47" s="31" t="s">
        <v>90</v>
      </c>
      <c r="C47" s="37">
        <f>C45*C46</f>
        <v>17674.8</v>
      </c>
      <c r="D47" s="37">
        <f>D45*D46</f>
        <v>17674.8</v>
      </c>
    </row>
    <row r="49" spans="1:1" x14ac:dyDescent="0.25">
      <c r="A49" s="8" t="s">
        <v>120</v>
      </c>
    </row>
    <row r="50" spans="1:1" x14ac:dyDescent="0.2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18"/>
  <sheetViews>
    <sheetView topLeftCell="A5" workbookViewId="0">
      <selection activeCell="D7" sqref="D7"/>
    </sheetView>
  </sheetViews>
  <sheetFormatPr defaultColWidth="9.140625" defaultRowHeight="15" x14ac:dyDescent="0.25"/>
  <cols>
    <col min="1" max="1" width="21" style="25" customWidth="1"/>
    <col min="2" max="3" width="19.140625" style="25" customWidth="1"/>
    <col min="4" max="4" width="20.5703125" style="25" customWidth="1"/>
    <col min="5" max="16384" width="9.140625" style="25"/>
  </cols>
  <sheetData>
    <row r="1" spans="1:4" x14ac:dyDescent="0.25">
      <c r="A1" s="1" t="s">
        <v>125</v>
      </c>
    </row>
    <row r="3" spans="1:4" ht="30" x14ac:dyDescent="0.25">
      <c r="B3" s="42" t="s">
        <v>127</v>
      </c>
      <c r="C3" s="42" t="s">
        <v>128</v>
      </c>
      <c r="D3" s="40" t="s">
        <v>131</v>
      </c>
    </row>
    <row r="4" spans="1:4" x14ac:dyDescent="0.25">
      <c r="A4" s="25" t="s">
        <v>126</v>
      </c>
      <c r="B4" s="25">
        <v>56603</v>
      </c>
      <c r="C4" s="41">
        <v>750000</v>
      </c>
      <c r="D4" s="20">
        <f>C4/(B4*10^6)</f>
        <v>1.3250181085808173E-5</v>
      </c>
    </row>
    <row r="5" spans="1:4" x14ac:dyDescent="0.25">
      <c r="A5" s="25" t="s">
        <v>129</v>
      </c>
      <c r="B5" s="25">
        <v>25717</v>
      </c>
      <c r="C5" s="41">
        <v>700000</v>
      </c>
      <c r="D5" s="20">
        <f t="shared" ref="D5:D7" si="0">C5/(B5*10^6)</f>
        <v>2.7219349068709415E-5</v>
      </c>
    </row>
    <row r="6" spans="1:4" x14ac:dyDescent="0.25">
      <c r="A6" s="25" t="s">
        <v>130</v>
      </c>
      <c r="B6" s="25">
        <v>60507</v>
      </c>
      <c r="C6" s="41">
        <v>1250000</v>
      </c>
      <c r="D6" s="20">
        <f t="shared" si="0"/>
        <v>2.0658766754259837E-5</v>
      </c>
    </row>
    <row r="7" spans="1:4" x14ac:dyDescent="0.25">
      <c r="A7" s="1" t="s">
        <v>132</v>
      </c>
      <c r="B7" s="25">
        <f>AVERAGE(B4:B6)</f>
        <v>47609</v>
      </c>
      <c r="C7" s="25">
        <f>AVERAGE(C4:C6)</f>
        <v>900000</v>
      </c>
      <c r="D7" s="46">
        <f t="shared" si="0"/>
        <v>1.8903988741624482E-5</v>
      </c>
    </row>
    <row r="9" spans="1:4" x14ac:dyDescent="0.25">
      <c r="A9" s="25" t="s">
        <v>137</v>
      </c>
    </row>
    <row r="10" spans="1:4" x14ac:dyDescent="0.25">
      <c r="A10" s="25" t="s">
        <v>138</v>
      </c>
    </row>
    <row r="11" spans="1:4" x14ac:dyDescent="0.25">
      <c r="A11" s="25" t="s">
        <v>139</v>
      </c>
    </row>
    <row r="13" spans="1:4" x14ac:dyDescent="0.25">
      <c r="A13" s="16" t="s">
        <v>140</v>
      </c>
    </row>
    <row r="14" spans="1:4" x14ac:dyDescent="0.25">
      <c r="A14" s="25" t="s">
        <v>141</v>
      </c>
    </row>
    <row r="15" spans="1:4" x14ac:dyDescent="0.25">
      <c r="A15" s="45">
        <v>0.67400000000000004</v>
      </c>
    </row>
    <row r="17" spans="1:1" x14ac:dyDescent="0.25">
      <c r="A17" s="25" t="s">
        <v>142</v>
      </c>
    </row>
    <row r="18" spans="1:1" x14ac:dyDescent="0.25">
      <c r="A18" s="43">
        <f>D7*(1-A15)</f>
        <v>6.1627003297695804E-6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6099-D878-4CA6-905E-BCE566C93FAD}">
  <dimension ref="A1:C26"/>
  <sheetViews>
    <sheetView workbookViewId="0">
      <selection activeCell="B9" sqref="B9"/>
    </sheetView>
  </sheetViews>
  <sheetFormatPr defaultColWidth="8.7109375" defaultRowHeight="15" x14ac:dyDescent="0.25"/>
  <cols>
    <col min="1" max="1" width="21.28515625" style="25" customWidth="1"/>
    <col min="2" max="2" width="33.7109375" style="25" customWidth="1"/>
    <col min="3" max="3" width="8.7109375" style="25" customWidth="1"/>
    <col min="4" max="16384" width="8.7109375" style="25"/>
  </cols>
  <sheetData>
    <row r="1" spans="1:3" x14ac:dyDescent="0.25">
      <c r="A1" s="1" t="s">
        <v>143</v>
      </c>
    </row>
    <row r="3" spans="1:3" x14ac:dyDescent="0.25">
      <c r="A3" s="8" t="s">
        <v>6</v>
      </c>
      <c r="B3" s="25" t="s">
        <v>144</v>
      </c>
    </row>
    <row r="4" spans="1:3" x14ac:dyDescent="0.25">
      <c r="B4" s="25" t="s">
        <v>145</v>
      </c>
    </row>
    <row r="5" spans="1:3" x14ac:dyDescent="0.25">
      <c r="A5" s="42"/>
      <c r="B5" s="25" t="s">
        <v>146</v>
      </c>
      <c r="C5" s="42"/>
    </row>
    <row r="6" spans="1:3" x14ac:dyDescent="0.25">
      <c r="A6" s="47"/>
      <c r="C6" s="47"/>
    </row>
    <row r="7" spans="1:3" x14ac:dyDescent="0.25">
      <c r="A7" s="48" t="s">
        <v>147</v>
      </c>
      <c r="B7" s="49"/>
      <c r="C7" s="47"/>
    </row>
    <row r="8" spans="1:3" x14ac:dyDescent="0.25">
      <c r="A8" s="13" t="s">
        <v>148</v>
      </c>
      <c r="B8" s="8" t="s">
        <v>149</v>
      </c>
      <c r="C8" s="47"/>
    </row>
    <row r="9" spans="1:3" x14ac:dyDescent="0.25">
      <c r="A9" s="5" t="s">
        <v>150</v>
      </c>
      <c r="B9" s="50">
        <v>50</v>
      </c>
      <c r="C9" s="47"/>
    </row>
    <row r="10" spans="1:3" x14ac:dyDescent="0.25">
      <c r="A10" s="5" t="s">
        <v>151</v>
      </c>
      <c r="B10" s="50">
        <v>75</v>
      </c>
      <c r="C10" s="47"/>
    </row>
    <row r="11" spans="1:3" x14ac:dyDescent="0.25">
      <c r="A11" s="51" t="s">
        <v>152</v>
      </c>
      <c r="B11" s="52">
        <f>AVERAGE(B9:B10)</f>
        <v>62.5</v>
      </c>
    </row>
    <row r="13" spans="1:3" x14ac:dyDescent="0.25">
      <c r="A13" s="8" t="s">
        <v>153</v>
      </c>
      <c r="B13" s="10"/>
    </row>
    <row r="14" spans="1:3" x14ac:dyDescent="0.25">
      <c r="A14" s="5">
        <v>0.47</v>
      </c>
    </row>
    <row r="16" spans="1:3" x14ac:dyDescent="0.25">
      <c r="A16" s="8" t="s">
        <v>154</v>
      </c>
    </row>
    <row r="17" spans="1:2" x14ac:dyDescent="0.25">
      <c r="A17" s="5">
        <f>24*365</f>
        <v>8760</v>
      </c>
    </row>
    <row r="19" spans="1:2" x14ac:dyDescent="0.25">
      <c r="A19" s="8" t="s">
        <v>155</v>
      </c>
      <c r="B19" s="10"/>
    </row>
    <row r="20" spans="1:2" x14ac:dyDescent="0.25">
      <c r="A20" s="53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156</v>
      </c>
      <c r="B25" s="8"/>
    </row>
    <row r="26" spans="1:2" x14ac:dyDescent="0.25">
      <c r="A26" s="19">
        <f>A20*A23</f>
        <v>4.4478043330418734E-6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tabSelected="1" workbookViewId="0">
      <selection activeCell="F17" sqref="F17"/>
    </sheetView>
  </sheetViews>
  <sheetFormatPr defaultRowHeight="15" x14ac:dyDescent="0.25"/>
  <cols>
    <col min="1" max="1" width="36.140625" customWidth="1"/>
    <col min="2" max="2" width="9.140625" customWidth="1"/>
    <col min="17" max="17" width="11" bestFit="1" customWidth="1"/>
  </cols>
  <sheetData>
    <row r="1" spans="1:34" x14ac:dyDescent="0.25">
      <c r="A1" s="1" t="s">
        <v>76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5">
      <c r="A2" t="s">
        <v>36</v>
      </c>
      <c r="B2" s="20">
        <f>'early retirement'!A20*About!$A$57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8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5">
      <c r="A3" t="s">
        <v>37</v>
      </c>
      <c r="B3">
        <v>0</v>
      </c>
      <c r="C3" s="28">
        <f t="shared" ref="C3:R8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5">
      <c r="A4" t="s">
        <v>38</v>
      </c>
      <c r="B4" s="20">
        <f>'cogen and WHR'!B29*About!$A$58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5">
      <c r="A5" t="s">
        <v>39</v>
      </c>
      <c r="B5" s="20">
        <f>efficiency!B5</f>
        <v>5.2772702980209352E-5</v>
      </c>
      <c r="C5" s="20">
        <f t="shared" si="1"/>
        <v>5.2772702980209352E-5</v>
      </c>
      <c r="D5" s="20">
        <f t="shared" si="1"/>
        <v>5.2772702980209352E-5</v>
      </c>
      <c r="E5" s="20">
        <f t="shared" si="0"/>
        <v>5.2772702980209352E-5</v>
      </c>
      <c r="F5" s="20">
        <f t="shared" si="0"/>
        <v>5.2772702980209352E-5</v>
      </c>
      <c r="G5" s="20">
        <f t="shared" si="0"/>
        <v>5.2772702980209352E-5</v>
      </c>
      <c r="H5" s="20">
        <f t="shared" si="0"/>
        <v>5.2772702980209352E-5</v>
      </c>
      <c r="I5" s="20">
        <f t="shared" si="0"/>
        <v>5.2772702980209352E-5</v>
      </c>
      <c r="J5" s="20">
        <f t="shared" si="0"/>
        <v>5.2772702980209352E-5</v>
      </c>
      <c r="K5" s="20">
        <f t="shared" si="0"/>
        <v>5.2772702980209352E-5</v>
      </c>
      <c r="L5" s="20">
        <f t="shared" si="0"/>
        <v>5.2772702980209352E-5</v>
      </c>
      <c r="M5" s="20">
        <f t="shared" si="0"/>
        <v>5.2772702980209352E-5</v>
      </c>
      <c r="N5" s="20">
        <f t="shared" si="0"/>
        <v>5.2772702980209352E-5</v>
      </c>
      <c r="O5" s="20">
        <f t="shared" si="0"/>
        <v>5.2772702980209352E-5</v>
      </c>
      <c r="P5" s="20">
        <f t="shared" si="0"/>
        <v>5.2772702980209352E-5</v>
      </c>
      <c r="Q5" s="20">
        <f t="shared" si="0"/>
        <v>5.2772702980209352E-5</v>
      </c>
      <c r="R5" s="20">
        <f t="shared" si="0"/>
        <v>5.2772702980209352E-5</v>
      </c>
      <c r="S5" s="20">
        <f t="shared" si="0"/>
        <v>5.2772702980209352E-5</v>
      </c>
      <c r="T5" s="20">
        <f t="shared" si="0"/>
        <v>5.2772702980209352E-5</v>
      </c>
      <c r="U5" s="20">
        <f t="shared" si="0"/>
        <v>5.2772702980209352E-5</v>
      </c>
      <c r="V5" s="20">
        <f t="shared" si="0"/>
        <v>5.2772702980209352E-5</v>
      </c>
      <c r="W5" s="20">
        <f t="shared" si="0"/>
        <v>5.2772702980209352E-5</v>
      </c>
      <c r="X5" s="20">
        <f t="shared" si="0"/>
        <v>5.2772702980209352E-5</v>
      </c>
      <c r="Y5" s="20">
        <f t="shared" si="0"/>
        <v>5.2772702980209352E-5</v>
      </c>
      <c r="Z5" s="20">
        <f t="shared" si="0"/>
        <v>5.2772702980209352E-5</v>
      </c>
      <c r="AA5" s="20">
        <f t="shared" si="0"/>
        <v>5.2772702980209352E-5</v>
      </c>
      <c r="AB5" s="20">
        <f t="shared" si="0"/>
        <v>5.2772702980209352E-5</v>
      </c>
      <c r="AC5" s="20">
        <f t="shared" si="0"/>
        <v>5.2772702980209352E-5</v>
      </c>
      <c r="AD5" s="20">
        <f t="shared" si="0"/>
        <v>5.2772702980209352E-5</v>
      </c>
      <c r="AE5" s="20">
        <f t="shared" si="0"/>
        <v>5.2772702980209352E-5</v>
      </c>
      <c r="AF5" s="20">
        <f t="shared" si="0"/>
        <v>5.2772702980209352E-5</v>
      </c>
      <c r="AG5" s="20">
        <f t="shared" si="0"/>
        <v>5.2772702980209352E-5</v>
      </c>
      <c r="AH5" s="20">
        <f t="shared" si="0"/>
        <v>5.2772702980209352E-5</v>
      </c>
    </row>
    <row r="6" spans="1:34" x14ac:dyDescent="0.25">
      <c r="A6" t="s">
        <v>123</v>
      </c>
      <c r="B6" s="20">
        <f>'med and high temp fuel shifting'!$A$50</f>
        <v>6.1910177201439334E-6</v>
      </c>
      <c r="C6" s="20">
        <f t="shared" si="1"/>
        <v>6.1910177201439334E-6</v>
      </c>
      <c r="D6" s="20">
        <f t="shared" si="1"/>
        <v>6.1910177201439334E-6</v>
      </c>
      <c r="E6" s="20">
        <f t="shared" si="0"/>
        <v>6.1910177201439334E-6</v>
      </c>
      <c r="F6" s="20">
        <f t="shared" si="0"/>
        <v>6.1910177201439334E-6</v>
      </c>
      <c r="G6" s="20">
        <f t="shared" si="0"/>
        <v>6.1910177201439334E-6</v>
      </c>
      <c r="H6" s="20">
        <f t="shared" si="0"/>
        <v>6.1910177201439334E-6</v>
      </c>
      <c r="I6" s="20">
        <f t="shared" si="0"/>
        <v>6.1910177201439334E-6</v>
      </c>
      <c r="J6" s="20">
        <f t="shared" si="0"/>
        <v>6.1910177201439334E-6</v>
      </c>
      <c r="K6" s="20">
        <f t="shared" si="0"/>
        <v>6.1910177201439334E-6</v>
      </c>
      <c r="L6" s="20">
        <f t="shared" si="0"/>
        <v>6.1910177201439334E-6</v>
      </c>
      <c r="M6" s="20">
        <f t="shared" si="0"/>
        <v>6.1910177201439334E-6</v>
      </c>
      <c r="N6" s="20">
        <f t="shared" si="0"/>
        <v>6.1910177201439334E-6</v>
      </c>
      <c r="O6" s="20">
        <f t="shared" si="0"/>
        <v>6.1910177201439334E-6</v>
      </c>
      <c r="P6" s="20">
        <f t="shared" si="0"/>
        <v>6.1910177201439334E-6</v>
      </c>
      <c r="Q6" s="20">
        <f t="shared" si="0"/>
        <v>6.1910177201439334E-6</v>
      </c>
      <c r="R6" s="20">
        <f t="shared" si="0"/>
        <v>6.1910177201439334E-6</v>
      </c>
      <c r="S6" s="20">
        <f t="shared" si="0"/>
        <v>6.1910177201439334E-6</v>
      </c>
      <c r="T6" s="20">
        <f t="shared" si="0"/>
        <v>6.1910177201439334E-6</v>
      </c>
      <c r="U6" s="20">
        <f t="shared" si="0"/>
        <v>6.1910177201439334E-6</v>
      </c>
      <c r="V6" s="20">
        <f t="shared" si="0"/>
        <v>6.1910177201439334E-6</v>
      </c>
      <c r="W6" s="20">
        <f t="shared" si="0"/>
        <v>6.1910177201439334E-6</v>
      </c>
      <c r="X6" s="20">
        <f t="shared" si="0"/>
        <v>6.1910177201439334E-6</v>
      </c>
      <c r="Y6" s="20">
        <f t="shared" si="0"/>
        <v>6.1910177201439334E-6</v>
      </c>
      <c r="Z6" s="20">
        <f t="shared" si="0"/>
        <v>6.1910177201439334E-6</v>
      </c>
      <c r="AA6" s="20">
        <f t="shared" si="0"/>
        <v>6.1910177201439334E-6</v>
      </c>
      <c r="AB6" s="20">
        <f t="shared" si="0"/>
        <v>6.1910177201439334E-6</v>
      </c>
      <c r="AC6" s="20">
        <f t="shared" si="0"/>
        <v>6.1910177201439334E-6</v>
      </c>
      <c r="AD6" s="20">
        <f t="shared" si="0"/>
        <v>6.1910177201439334E-6</v>
      </c>
      <c r="AE6" s="20">
        <f t="shared" si="0"/>
        <v>6.1910177201439334E-6</v>
      </c>
      <c r="AF6" s="20">
        <f t="shared" si="0"/>
        <v>6.1910177201439334E-6</v>
      </c>
      <c r="AG6" s="20">
        <f t="shared" si="0"/>
        <v>6.1910177201439334E-6</v>
      </c>
      <c r="AH6" s="20">
        <f t="shared" si="0"/>
        <v>6.1910177201439334E-6</v>
      </c>
    </row>
    <row r="7" spans="1:34" s="25" customFormat="1" x14ac:dyDescent="0.25">
      <c r="A7" s="25" t="s">
        <v>124</v>
      </c>
      <c r="B7" s="44">
        <f>'low temp fuel type shifting'!A18</f>
        <v>6.1627003297695804E-6</v>
      </c>
      <c r="C7" s="20">
        <f t="shared" si="1"/>
        <v>6.1627003297695804E-6</v>
      </c>
      <c r="D7" s="20">
        <f t="shared" si="1"/>
        <v>6.1627003297695804E-6</v>
      </c>
      <c r="E7" s="20">
        <f t="shared" si="1"/>
        <v>6.1627003297695804E-6</v>
      </c>
      <c r="F7" s="20">
        <f t="shared" si="1"/>
        <v>6.1627003297695804E-6</v>
      </c>
      <c r="G7" s="20">
        <f t="shared" si="1"/>
        <v>6.1627003297695804E-6</v>
      </c>
      <c r="H7" s="20">
        <f t="shared" si="1"/>
        <v>6.1627003297695804E-6</v>
      </c>
      <c r="I7" s="20">
        <f t="shared" si="1"/>
        <v>6.1627003297695804E-6</v>
      </c>
      <c r="J7" s="20">
        <f t="shared" si="1"/>
        <v>6.1627003297695804E-6</v>
      </c>
      <c r="K7" s="20">
        <f t="shared" si="1"/>
        <v>6.1627003297695804E-6</v>
      </c>
      <c r="L7" s="20">
        <f t="shared" si="1"/>
        <v>6.1627003297695804E-6</v>
      </c>
      <c r="M7" s="20">
        <f t="shared" si="1"/>
        <v>6.1627003297695804E-6</v>
      </c>
      <c r="N7" s="20">
        <f t="shared" si="1"/>
        <v>6.1627003297695804E-6</v>
      </c>
      <c r="O7" s="20">
        <f t="shared" si="1"/>
        <v>6.1627003297695804E-6</v>
      </c>
      <c r="P7" s="20">
        <f t="shared" si="1"/>
        <v>6.1627003297695804E-6</v>
      </c>
      <c r="Q7" s="20">
        <f t="shared" si="1"/>
        <v>6.1627003297695804E-6</v>
      </c>
      <c r="R7" s="20">
        <f t="shared" si="1"/>
        <v>6.1627003297695804E-6</v>
      </c>
      <c r="S7" s="20">
        <f t="shared" si="0"/>
        <v>6.1627003297695804E-6</v>
      </c>
      <c r="T7" s="20">
        <f t="shared" si="0"/>
        <v>6.1627003297695804E-6</v>
      </c>
      <c r="U7" s="20">
        <f t="shared" si="0"/>
        <v>6.1627003297695804E-6</v>
      </c>
      <c r="V7" s="20">
        <f t="shared" si="0"/>
        <v>6.1627003297695804E-6</v>
      </c>
      <c r="W7" s="20">
        <f t="shared" si="0"/>
        <v>6.1627003297695804E-6</v>
      </c>
      <c r="X7" s="20">
        <f t="shared" si="0"/>
        <v>6.1627003297695804E-6</v>
      </c>
      <c r="Y7" s="20">
        <f t="shared" si="0"/>
        <v>6.1627003297695804E-6</v>
      </c>
      <c r="Z7" s="20">
        <f t="shared" si="0"/>
        <v>6.1627003297695804E-6</v>
      </c>
      <c r="AA7" s="20">
        <f t="shared" si="0"/>
        <v>6.1627003297695804E-6</v>
      </c>
      <c r="AB7" s="20">
        <f t="shared" si="0"/>
        <v>6.1627003297695804E-6</v>
      </c>
      <c r="AC7" s="20">
        <f t="shared" si="0"/>
        <v>6.1627003297695804E-6</v>
      </c>
      <c r="AD7" s="20">
        <f t="shared" si="0"/>
        <v>6.1627003297695804E-6</v>
      </c>
      <c r="AE7" s="20">
        <f t="shared" si="0"/>
        <v>6.1627003297695804E-6</v>
      </c>
      <c r="AF7" s="20">
        <f t="shared" si="0"/>
        <v>6.1627003297695804E-6</v>
      </c>
      <c r="AG7" s="20">
        <f t="shared" si="0"/>
        <v>6.1627003297695804E-6</v>
      </c>
      <c r="AH7" s="20">
        <f t="shared" si="0"/>
        <v>6.1627003297695804E-6</v>
      </c>
    </row>
    <row r="8" spans="1:34" x14ac:dyDescent="0.25">
      <c r="A8" t="s">
        <v>40</v>
      </c>
      <c r="B8" s="20">
        <v>0</v>
      </c>
      <c r="C8" s="28">
        <f t="shared" si="1"/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0"/>
        <v>0</v>
      </c>
      <c r="X8" s="28">
        <f t="shared" si="0"/>
        <v>0</v>
      </c>
      <c r="Y8" s="28">
        <f t="shared" si="0"/>
        <v>0</v>
      </c>
      <c r="Z8" s="28">
        <f t="shared" si="0"/>
        <v>0</v>
      </c>
      <c r="AA8" s="28">
        <f t="shared" si="0"/>
        <v>0</v>
      </c>
      <c r="AB8" s="28">
        <f t="shared" si="0"/>
        <v>0</v>
      </c>
      <c r="AC8" s="28">
        <f t="shared" si="0"/>
        <v>0</v>
      </c>
      <c r="AD8" s="28">
        <f t="shared" si="0"/>
        <v>0</v>
      </c>
      <c r="AE8" s="28">
        <f t="shared" si="0"/>
        <v>0</v>
      </c>
      <c r="AF8" s="28">
        <f t="shared" si="0"/>
        <v>0</v>
      </c>
      <c r="AG8" s="28">
        <f t="shared" si="0"/>
        <v>0</v>
      </c>
      <c r="AH8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early retirement</vt:lpstr>
      <vt:lpstr>cogen and WHR</vt:lpstr>
      <vt:lpstr>efficiency</vt:lpstr>
      <vt:lpstr>med and high temp fuel shifting</vt:lpstr>
      <vt:lpstr>low temp fuel type shifting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2015-06-29T21:21:54Z</dcterms:created>
  <dcterms:modified xsi:type="dcterms:W3CDTF">2022-07-21T21:51:46Z</dcterms:modified>
</cp:coreProperties>
</file>