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SYIEUEFbIPaF\"/>
    </mc:Choice>
  </mc:AlternateContent>
  <xr:revisionPtr revIDLastSave="0" documentId="13_ncr:1_{583D8F56-BA9A-4554-A7B4-97607820984D}" xr6:coauthVersionLast="47" xr6:coauthVersionMax="47" xr10:uidLastSave="{00000000-0000-0000-0000-000000000000}"/>
  <bookViews>
    <workbookView xWindow="1410" yWindow="1520" windowWidth="17790" windowHeight="9120" xr2:uid="{910269CE-FD31-46D7-B2D8-8AF36ED85333}"/>
  </bookViews>
  <sheets>
    <sheet name="About" sheetId="1" r:id="rId1"/>
    <sheet name="Efficiency Improvements" sheetId="8" r:id="rId2"/>
    <sheet name="Machine Drive" sheetId="10" r:id="rId3"/>
    <sheet name="Heat pumps" sheetId="5" r:id="rId4"/>
    <sheet name="Boilers" sheetId="6" r:id="rId5"/>
    <sheet name="Med Temp" sheetId="9" r:id="rId6"/>
    <sheet name="High Temp" sheetId="12" r:id="rId7"/>
    <sheet name="Cooling" sheetId="11" r:id="rId8"/>
    <sheet name="Electrochemical" sheetId="14" r:id="rId9"/>
    <sheet name="Other" sheetId="15" r:id="rId10"/>
    <sheet name="References" sheetId="16" r:id="rId11"/>
    <sheet name="SYIEUEFbIPaF" sheetId="2" r:id="rId12"/>
  </sheets>
  <externalReferences>
    <externalReference r:id="rId13"/>
    <externalReference r:id="rId14"/>
    <externalReference r:id="rId15"/>
    <externalReference r:id="rId16"/>
  </externalReferences>
  <definedNames>
    <definedName name="base.year">#REF!</definedName>
    <definedName name="CH4_to_CO2e">'[2]Cross-Page Data'!$C$12</definedName>
    <definedName name="CH4GWP">#REF!</definedName>
    <definedName name="coal.past">#REF!</definedName>
    <definedName name="Constants.Density.Diesel">#REF!</definedName>
    <definedName name="Constants.Density.Ethanol">#REF!</definedName>
    <definedName name="Constants.Density.JetFuel">#REF!</definedName>
    <definedName name="Constants.Density.MotorSpirit">#REF!</definedName>
    <definedName name="Conversion.to.average.power">#REF!</definedName>
    <definedName name="Conversion.water.L">#REF!</definedName>
    <definedName name="Conversion.water.units">#REF!</definedName>
    <definedName name="Conversions.Area.m2">#REF!</definedName>
    <definedName name="Conversions.Area.Units">#REF!</definedName>
    <definedName name="Conversions.Energy.Joules">#REF!</definedName>
    <definedName name="Conversions.Energy.Units">#REF!</definedName>
    <definedName name="Conversions.Money.GBP">#REF!</definedName>
    <definedName name="Conversions.Money.Units">#REF!</definedName>
    <definedName name="Conversions.Power.Units">#REF!</definedName>
    <definedName name="Conversions.Power.Watts">#REF!</definedName>
    <definedName name="Cost.Capital.Scenario">#REF!</definedName>
    <definedName name="Cost.Finance.Scenario">#REF!</definedName>
    <definedName name="Cost.Fuel.Scenario">#REF!</definedName>
    <definedName name="Cost.Infrastructure.Scenario">#REF!</definedName>
    <definedName name="cpi_2010to2012">#REF!</definedName>
    <definedName name="cpi_2013to2012">#REF!</definedName>
    <definedName name="cpi_2014to2012">#REF!</definedName>
    <definedName name="cpi_2016to2012">#REF!</definedName>
    <definedName name="csp.capacity">#REF!</definedName>
    <definedName name="D">#REF!</definedName>
    <definedName name="discount_factors">#REF!</definedName>
    <definedName name="EF.BlastFurnaceGas.CO2">#REF!</definedName>
    <definedName name="EF.Diesel.CH4">#REF!</definedName>
    <definedName name="EF.Diesel.CO2">#REF!</definedName>
    <definedName name="EF.Diesel.N2O">#REF!</definedName>
    <definedName name="EF.IndustrialCoal.CH4">#REF!</definedName>
    <definedName name="EF.IndustrialCoal.CO2">#REF!</definedName>
    <definedName name="EF.IndustrialCoal.N2O">#REF!</definedName>
    <definedName name="EF.NaturalGas.CH4">#REF!</definedName>
    <definedName name="EF.NaturalGas.CO2">#REF!</definedName>
    <definedName name="EF.NaturalGas.N2O">#REF!</definedName>
    <definedName name="GBP">#REF!</definedName>
    <definedName name="gigwatts_to_megawatts">[3]About!$A$31</definedName>
    <definedName name="growth.scenario">#REF!</definedName>
    <definedName name="GWP.CH4">#REF!</definedName>
    <definedName name="GWP.N2O">#REF!</definedName>
    <definedName name="GWPCH4">#REF!</definedName>
    <definedName name="GWPN2O">#REF!</definedName>
    <definedName name="h">#REF!</definedName>
    <definedName name="I.01">#REF!</definedName>
    <definedName name="I.a.scenario">#REF!</definedName>
    <definedName name="I.b.scenario">#REF!</definedName>
    <definedName name="I.b.scenario.efficiency">#REF!</definedName>
    <definedName name="I.c.scenario">#REF!</definedName>
    <definedName name="I.c.scenario.fuelmix">#REF!</definedName>
    <definedName name="II.scenario">#REF!</definedName>
    <definedName name="III.scenario">#REF!</definedName>
    <definedName name="input.choice">#REF!</definedName>
    <definedName name="INR">#REF!</definedName>
    <definedName name="INRb">#REF!</definedName>
    <definedName name="INRCr">#REF!</definedName>
    <definedName name="INRLac">#REF!</definedName>
    <definedName name="INRt">#REF!</definedName>
    <definedName name="IV.a.scenario">#REF!</definedName>
    <definedName name="IV.b.scenario">#REF!</definedName>
    <definedName name="IV.c.1.scenario">#REF!</definedName>
    <definedName name="iv.c.2.scenario">#REF!</definedName>
    <definedName name="IV.d.scenario">#REF!</definedName>
    <definedName name="IV.e.scenario">#REF!</definedName>
    <definedName name="IV.f.scenario">#REF!</definedName>
    <definedName name="IX.a.scenario">#REF!</definedName>
    <definedName name="MGBP">#REF!</definedName>
    <definedName name="Minesize.xv.b">#REF!</definedName>
    <definedName name="N2O_to_CO2e">'[2]Cross-Page Data'!$C$13</definedName>
    <definedName name="N2OGWP">#REF!</definedName>
    <definedName name="nuclear.past">#REF!</definedName>
    <definedName name="plantsize.I.b">#REF!</definedName>
    <definedName name="Plantsize.II">#REF!</definedName>
    <definedName name="Plantsize.III">#REF!</definedName>
    <definedName name="plantsize.iv.a">#REF!</definedName>
    <definedName name="plantsize.iv.b">#REF!</definedName>
    <definedName name="Plantsize.iv.c.1">#REF!</definedName>
    <definedName name="plantsize.iv.c.2">#REF!</definedName>
    <definedName name="plantsize.iv.d">#REF!</definedName>
    <definedName name="predefined.scenario">#REF!</definedName>
    <definedName name="Preferences.AreaUnits">#REF!</definedName>
    <definedName name="preferences.energyunits">#REF!</definedName>
    <definedName name="Preferences.moneyunits">#REF!</definedName>
    <definedName name="Preferences.PowerUnits">#REF!</definedName>
    <definedName name="Preferences.Unit.Energy">#REF!</definedName>
    <definedName name="Preferences.Unit.Power">#REF!</definedName>
    <definedName name="Preferences.waterunit">#REF!</definedName>
    <definedName name="Print_Area_MI">#REF!</definedName>
    <definedName name="Reliability.scenario">#REF!</definedName>
    <definedName name="small_hydro.capacity">#REF!</definedName>
    <definedName name="target.year">#REF!</definedName>
    <definedName name="Unit.acre">#REF!</definedName>
    <definedName name="unit.bcm">#REF!</definedName>
    <definedName name="Unit.boe">#REF!</definedName>
    <definedName name="Unit.calorie">#REF!</definedName>
    <definedName name="Unit.day">#REF!</definedName>
    <definedName name="Unit.GJ">#REF!</definedName>
    <definedName name="Unit.GW">#REF!</definedName>
    <definedName name="Unit.GWh">#REF!</definedName>
    <definedName name="Unit.ha">#REF!</definedName>
    <definedName name="Unit.hour">#REF!</definedName>
    <definedName name="Unit.J">#REF!</definedName>
    <definedName name="unit.kcng">#REF!</definedName>
    <definedName name="unit.kgb">#REF!</definedName>
    <definedName name="unit.kgce">#REF!</definedName>
    <definedName name="unit.kghe">#REF!</definedName>
    <definedName name="unit.kglpge">#REF!</definedName>
    <definedName name="Unit.km2">#REF!</definedName>
    <definedName name="Unit.kW">#REF!</definedName>
    <definedName name="Unit.kWh">#REF!</definedName>
    <definedName name="unit.L">#REF!</definedName>
    <definedName name="unit.latfe">#REF!</definedName>
    <definedName name="unit.lcng">#REF!</definedName>
    <definedName name="unit.lde">#REF!</definedName>
    <definedName name="unit.lke">#REF!</definedName>
    <definedName name="unit.lpe">#REF!</definedName>
    <definedName name="Unit.m2">#REF!</definedName>
    <definedName name="Unit.m3">#REF!</definedName>
    <definedName name="unit.MCM">#REF!</definedName>
    <definedName name="Unit.minute">#REF!</definedName>
    <definedName name="Unit.MJ">#REF!</definedName>
    <definedName name="unit.mmbtu">#REF!</definedName>
    <definedName name="unit.mmscm">#REF!</definedName>
    <definedName name="unit.mtcce">#REF!</definedName>
    <definedName name="Unit.Mtce">#REF!</definedName>
    <definedName name="unit.mtde">#REF!</definedName>
    <definedName name="unit.mticce">#REF!</definedName>
    <definedName name="unit.mtice">#REF!</definedName>
    <definedName name="unit.mtle">#REF!</definedName>
    <definedName name="Unit.Mtoe">#REF!</definedName>
    <definedName name="Unit.MW">#REF!</definedName>
    <definedName name="Unit.MWh">#REF!</definedName>
    <definedName name="Unit.PJ">#REF!</definedName>
    <definedName name="unit.scm">#REF!</definedName>
    <definedName name="unit.scmb">#REF!</definedName>
    <definedName name="unit.tce">#REF!</definedName>
    <definedName name="unit.ticce">#REF!</definedName>
    <definedName name="unit.tice">#REF!</definedName>
    <definedName name="Unit.TJ">#REF!</definedName>
    <definedName name="Unit.toe">#REF!</definedName>
    <definedName name="Unit.TWh">#REF!</definedName>
    <definedName name="Unit.W">#REF!</definedName>
    <definedName name="Unit.year">#REF!</definedName>
    <definedName name="unit_conv">[4]About!$A$123</definedName>
    <definedName name="USD_Bn">#REF!</definedName>
    <definedName name="USD_mn">#REF!</definedName>
    <definedName name="USD2012_">#REF!</definedName>
    <definedName name="v.a.scenario">#REF!</definedName>
    <definedName name="V.b.scenario">#REF!</definedName>
    <definedName name="V.c.scenario">#REF!</definedName>
    <definedName name="VI.a.scenario">#REF!</definedName>
    <definedName name="VII.a.scenario">#REF!</definedName>
    <definedName name="VII.b.scenario">#REF!</definedName>
    <definedName name="X.a.economy">#REF!</definedName>
    <definedName name="X.a.epi">#REF!</definedName>
    <definedName name="X.a.floorspace">#REF!</definedName>
    <definedName name="X.b.ac">#REF!</definedName>
    <definedName name="X.b.ecbc">#REF!</definedName>
    <definedName name="x.b.floorspace">#REF!</definedName>
    <definedName name="XI.cement.fuel">#REF!</definedName>
    <definedName name="XI.fuelmix">#REF!</definedName>
    <definedName name="XI.scenario">#REF!</definedName>
    <definedName name="XI.steel.fuel">#REF!</definedName>
    <definedName name="XII.a.scenario">#REF!</definedName>
    <definedName name="XII.a.scenario.EVs">#REF!</definedName>
    <definedName name="XII.a.scenario.mode">#REF!</definedName>
    <definedName name="XII.a.scenario.pub_pri">#REF!</definedName>
    <definedName name="XII.b.mode">#REF!</definedName>
    <definedName name="XII.b.scenario">#REF!</definedName>
    <definedName name="XIII.a.chulhas">#REF!</definedName>
    <definedName name="XIII.a.scenario.fuelsplit">#REF!</definedName>
    <definedName name="XIII.b">#REF!</definedName>
    <definedName name="XIV.scenario">#REF!</definedName>
    <definedName name="XIV.scenario.fuelsplit">#REF!</definedName>
    <definedName name="xv.a.scenario">#REF!</definedName>
    <definedName name="xv.b.scenario">#REF!</definedName>
    <definedName name="XV.c.scenario">#REF!</definedName>
    <definedName name="xvi.scenario.fuelspl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I12" i="2"/>
  <c r="I11" i="2"/>
  <c r="I10" i="2"/>
  <c r="I9" i="2"/>
  <c r="I8" i="2"/>
  <c r="I7" i="2"/>
  <c r="I6" i="2"/>
  <c r="I5" i="2"/>
  <c r="I4" i="2"/>
  <c r="I3" i="2"/>
  <c r="I2" i="2"/>
  <c r="T43" i="15"/>
  <c r="S43" i="15"/>
  <c r="T42" i="15"/>
  <c r="S42" i="15"/>
  <c r="T41" i="15"/>
  <c r="S41" i="15"/>
  <c r="I41" i="15"/>
  <c r="H41" i="15"/>
  <c r="C41" i="15"/>
  <c r="F41" i="15" s="1"/>
  <c r="B41" i="15"/>
  <c r="T40" i="15"/>
  <c r="S40" i="15"/>
  <c r="T39" i="15"/>
  <c r="S39" i="15"/>
  <c r="T38" i="15"/>
  <c r="C38" i="15" s="1"/>
  <c r="S38" i="15"/>
  <c r="B38" i="15" s="1"/>
  <c r="I38" i="15"/>
  <c r="H38" i="15"/>
  <c r="T37" i="15"/>
  <c r="S37" i="15"/>
  <c r="T36" i="15"/>
  <c r="S36" i="15"/>
  <c r="I36" i="15"/>
  <c r="H36" i="15"/>
  <c r="C36" i="15"/>
  <c r="G36" i="15" s="1"/>
  <c r="B36" i="15"/>
  <c r="B9" i="15"/>
  <c r="C9" i="15" s="1"/>
  <c r="C5" i="15"/>
  <c r="C11" i="15" s="1"/>
  <c r="B11" i="15" s="1"/>
  <c r="B5" i="15"/>
  <c r="C4" i="15"/>
  <c r="G14" i="12"/>
  <c r="E2" i="2"/>
  <c r="E8" i="2"/>
  <c r="E13" i="2"/>
  <c r="E12" i="2"/>
  <c r="E11" i="2"/>
  <c r="E4" i="2"/>
  <c r="E3" i="2"/>
  <c r="E9" i="2" s="1"/>
  <c r="G7" i="12"/>
  <c r="G21" i="12"/>
  <c r="H4" i="2"/>
  <c r="H5" i="2" s="1"/>
  <c r="H6" i="2" s="1"/>
  <c r="H7" i="2" s="1"/>
  <c r="H8" i="2" s="1"/>
  <c r="H9" i="2" s="1"/>
  <c r="H10" i="2" s="1"/>
  <c r="H11" i="2" s="1"/>
  <c r="H12" i="2" s="1"/>
  <c r="H13" i="2" s="1"/>
  <c r="H3" i="2"/>
  <c r="H2" i="2"/>
  <c r="B13" i="14"/>
  <c r="B12" i="14"/>
  <c r="G38" i="15" l="1"/>
  <c r="F38" i="15"/>
  <c r="B10" i="15"/>
  <c r="C10" i="15" s="1"/>
  <c r="C12" i="15"/>
  <c r="B12" i="15" s="1"/>
  <c r="B15" i="15"/>
  <c r="F36" i="15"/>
  <c r="G41" i="15"/>
  <c r="E10" i="2"/>
  <c r="E5" i="2"/>
  <c r="E6" i="2"/>
  <c r="E7" i="2"/>
  <c r="G19" i="12"/>
  <c r="E8" i="12"/>
  <c r="E4" i="12"/>
  <c r="G4" i="12" s="1"/>
  <c r="L24" i="11" l="1"/>
  <c r="F13" i="2"/>
  <c r="F12" i="2"/>
  <c r="F11" i="2"/>
  <c r="F10" i="2"/>
  <c r="F9" i="2"/>
  <c r="F8" i="2"/>
  <c r="F7" i="2"/>
  <c r="F6" i="2"/>
  <c r="F5" i="2"/>
  <c r="F4" i="2"/>
  <c r="F3" i="2"/>
  <c r="F2" i="2"/>
  <c r="N24" i="11"/>
  <c r="M24" i="11"/>
  <c r="L32" i="11"/>
  <c r="L31" i="11"/>
  <c r="L30" i="11"/>
  <c r="L29" i="11"/>
  <c r="L27" i="11"/>
  <c r="L26" i="11"/>
  <c r="L25" i="11"/>
  <c r="K4" i="11"/>
  <c r="J4" i="11"/>
  <c r="J36" i="10"/>
  <c r="G4" i="2" s="1"/>
  <c r="J30" i="10"/>
  <c r="J31" i="10" s="1"/>
  <c r="G2" i="2" s="1"/>
  <c r="O12" i="10"/>
  <c r="O7" i="10"/>
  <c r="O8" i="10"/>
  <c r="O9" i="10"/>
  <c r="O10" i="10"/>
  <c r="O11" i="10"/>
  <c r="O6" i="10"/>
  <c r="M12" i="10"/>
  <c r="G10" i="2" l="1"/>
  <c r="G5" i="2"/>
  <c r="G12" i="2"/>
  <c r="G8" i="2"/>
  <c r="G3" i="2"/>
  <c r="G11" i="2"/>
  <c r="G7" i="2"/>
  <c r="G13" i="2"/>
  <c r="G9" i="2"/>
  <c r="G6" i="2"/>
  <c r="M13" i="10"/>
  <c r="O13" i="10" s="1"/>
  <c r="D5" i="2"/>
  <c r="D6" i="2" s="1"/>
  <c r="D7" i="2" s="1"/>
  <c r="D8" i="2" s="1"/>
  <c r="D9" i="2" s="1"/>
  <c r="D10" i="2" s="1"/>
  <c r="D11" i="2" s="1"/>
  <c r="D12" i="2" s="1"/>
  <c r="D13" i="2" s="1"/>
  <c r="D4" i="2"/>
  <c r="D3" i="2"/>
  <c r="D2" i="2"/>
  <c r="N6" i="9"/>
  <c r="O6" i="9" s="1"/>
  <c r="K15" i="9"/>
  <c r="K14" i="9"/>
  <c r="K13" i="9"/>
  <c r="K12" i="9"/>
  <c r="K8" i="9"/>
  <c r="K5" i="9"/>
  <c r="K7" i="9"/>
  <c r="K6" i="9"/>
  <c r="J13" i="9"/>
  <c r="N5" i="9"/>
  <c r="O5" i="9" s="1"/>
  <c r="J6" i="9"/>
  <c r="M14" i="10" l="1"/>
  <c r="O14" i="10" s="1"/>
  <c r="M15" i="10" l="1"/>
  <c r="O15" i="10" s="1"/>
  <c r="K30" i="10" s="1"/>
  <c r="K31" i="10" s="1"/>
  <c r="C13" i="2" l="1"/>
  <c r="C12" i="2"/>
  <c r="C11" i="2"/>
  <c r="C10" i="2"/>
  <c r="C9" i="2"/>
  <c r="C8" i="2"/>
  <c r="C7" i="2"/>
  <c r="C6" i="2"/>
  <c r="C5" i="2"/>
  <c r="C4" i="2"/>
  <c r="C3" i="2"/>
  <c r="C2" i="2"/>
  <c r="B2" i="2"/>
  <c r="C25" i="5"/>
  <c r="B13" i="2"/>
  <c r="B12" i="2"/>
  <c r="B11" i="2"/>
  <c r="B9" i="2"/>
  <c r="B8" i="2"/>
  <c r="B10" i="2"/>
  <c r="B6" i="2"/>
  <c r="B5" i="2"/>
  <c r="B4" i="2"/>
  <c r="B3" i="2"/>
  <c r="D23" i="6"/>
  <c r="D22" i="6"/>
  <c r="D21" i="6"/>
  <c r="D20" i="6"/>
  <c r="D19" i="6"/>
  <c r="D18" i="6"/>
  <c r="D17" i="6"/>
  <c r="J28" i="8"/>
  <c r="I28" i="8" a="1"/>
  <c r="I28" i="8" s="1"/>
  <c r="J27" i="8"/>
  <c r="I27" i="8" a="1"/>
  <c r="I27" i="8" s="1"/>
  <c r="K27" i="8" s="1"/>
  <c r="M27" i="8" s="1"/>
  <c r="J26" i="8"/>
  <c r="I26" i="8" a="1"/>
  <c r="I26" i="8" s="1"/>
  <c r="K26" i="8" s="1"/>
  <c r="M26" i="8" s="1"/>
  <c r="J25" i="8"/>
  <c r="I25" i="8" a="1"/>
  <c r="I25" i="8" s="1"/>
  <c r="J24" i="8"/>
  <c r="I24" i="8" a="1"/>
  <c r="I24" i="8" s="1"/>
  <c r="K24" i="8" s="1"/>
  <c r="M24" i="8" s="1"/>
  <c r="J23" i="8"/>
  <c r="I23" i="8" a="1"/>
  <c r="I23" i="8" s="1"/>
  <c r="J22" i="8"/>
  <c r="I22" i="8" a="1"/>
  <c r="I22" i="8" s="1"/>
  <c r="J21" i="8"/>
  <c r="I21" i="8" a="1"/>
  <c r="I21" i="8" s="1"/>
  <c r="J20" i="8"/>
  <c r="I20" i="8" a="1"/>
  <c r="I20" i="8" s="1"/>
  <c r="K20" i="8" l="1"/>
  <c r="M20" i="8" s="1"/>
  <c r="K21" i="8"/>
  <c r="M21" i="8" s="1"/>
  <c r="K25" i="8"/>
  <c r="M25" i="8" s="1"/>
  <c r="K23" i="8"/>
  <c r="M23" i="8" s="1"/>
  <c r="K22" i="8"/>
  <c r="M22" i="8" s="1"/>
  <c r="K28" i="8"/>
  <c r="M2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<sst xmlns="http://schemas.openxmlformats.org/spreadsheetml/2006/main" count="311" uniqueCount="249">
  <si>
    <t>Source:</t>
  </si>
  <si>
    <t>Unit: dimensionless</t>
  </si>
  <si>
    <t>Notes</t>
  </si>
  <si>
    <t>SYIEUEFbIPaF Start Year Industrial Equipment Unit Energy Factor by Industrial Process and Fuel</t>
  </si>
  <si>
    <t>This file should contain unit energy factors for industrial equipment</t>
  </si>
  <si>
    <t xml:space="preserve">subscripted by industrial process and fuel. </t>
  </si>
  <si>
    <t>As each industrial process represents a distinct need for energy -- for example</t>
  </si>
  <si>
    <t>taking in energy to boil water vs. to power a fan -- the efficiencies of each process</t>
  </si>
  <si>
    <t xml:space="preserve">cannot be compared against each other. The user should define the metric used </t>
  </si>
  <si>
    <t xml:space="preserve">for each process below.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</si>
  <si>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</si>
  <si>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</si>
  <si>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</si>
  <si>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</si>
  <si>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</si>
  <si>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</si>
  <si>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</si>
  <si>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</si>
  <si>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</si>
  <si>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</si>
  <si>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</si>
  <si>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</si>
  <si>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</si>
  <si>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</si>
  <si>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</si>
  <si>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</si>
  <si>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</si>
  <si>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</si>
  <si>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green hydrogen if</t>
  </si>
  <si>
    <t>low carbon hydrogen if</t>
  </si>
  <si>
    <t xml:space="preserve">COP: </t>
  </si>
  <si>
    <t>Based on Arpagaus et al. curve, assuming a temperature lift of around 55 C (e.g., industries using waste heat as the heat source, boosting 45 C to 100 C or similar)</t>
  </si>
  <si>
    <t>Industrial heat pump efficiency</t>
  </si>
  <si>
    <t>Arpagaus et al.</t>
  </si>
  <si>
    <t>High temperature heat pumps: Market overview, state of the art, research status, refrigerants, and application potentials</t>
  </si>
  <si>
    <t>https://www.sciencedirect.com/science/article/pii/S0360544218305759</t>
  </si>
  <si>
    <t>Figure 8</t>
  </si>
  <si>
    <t>Industrial boilers</t>
  </si>
  <si>
    <t>Energy Information Administration</t>
  </si>
  <si>
    <t>Assumptions to the Annual Energy Outlook 2025: Industrial Demand Module</t>
  </si>
  <si>
    <t>https://www.eia.gov/outlooks/aeo/assumptions/</t>
  </si>
  <si>
    <t>Table 3</t>
  </si>
  <si>
    <t>Energy Intensity Improvements</t>
  </si>
  <si>
    <t>UEC 2018 (trillion British thermal</t>
  </si>
  <si>
    <t>REI 2050</t>
  </si>
  <si>
    <t>improvement</t>
  </si>
  <si>
    <t>End use</t>
  </si>
  <si>
    <t>Fuel</t>
  </si>
  <si>
    <t>units per billion 2012$ of shipments)</t>
  </si>
  <si>
    <t>existing</t>
  </si>
  <si>
    <t>new REI</t>
  </si>
  <si>
    <t>over model run</t>
  </si>
  <si>
    <t>annual improvement</t>
  </si>
  <si>
    <t>Heat</t>
  </si>
  <si>
    <t>Natural gas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</si>
  <si>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</si>
  <si>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</si>
  <si>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</si>
  <si>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</si>
  <si>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</si>
  <si>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</si>
  <si>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</si>
  <si>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https://www.sciencedirect.com/science/article/pii/S2666792422000075</t>
  </si>
  <si>
    <t>Schoenberger et al.</t>
  </si>
  <si>
    <t>Table 2</t>
  </si>
  <si>
    <t>Boiler fuel type</t>
  </si>
  <si>
    <t>Efficiency (%)</t>
  </si>
  <si>
    <t>Coal</t>
  </si>
  <si>
    <t>LPG &amp; NGL</t>
  </si>
  <si>
    <t>Diesel</t>
  </si>
  <si>
    <t>Residual fuel oil</t>
  </si>
  <si>
    <t>Coke &amp; breeze</t>
  </si>
  <si>
    <t>Energy intensity</t>
  </si>
  <si>
    <t>Electric and gas-fired ovens</t>
  </si>
  <si>
    <t>DOE (EERE)</t>
  </si>
  <si>
    <t>Energy Savings Potential and RD&amp;D Opportunities for Commercial Building Appliances (2015 Update)</t>
  </si>
  <si>
    <t>https://www.energy.gov/sites/prod/files/2016/06/f32/DOE-BTO%20Comml%20Appl%20Report%20-%20Full%20Report_0.pdf</t>
  </si>
  <si>
    <t>Oven Types</t>
  </si>
  <si>
    <t>Convection</t>
  </si>
  <si>
    <t>Deck</t>
  </si>
  <si>
    <t>Combination</t>
  </si>
  <si>
    <t>Conveyor</t>
  </si>
  <si>
    <t>Saturation</t>
  </si>
  <si>
    <t>Efficiency</t>
  </si>
  <si>
    <t>Fleet efficiency</t>
  </si>
  <si>
    <t>Fleet Energy Intensity</t>
  </si>
  <si>
    <t>gas</t>
  </si>
  <si>
    <t>elec</t>
  </si>
  <si>
    <t>Electrification potential of U.S. industrial boilers and assessment of the GHG emissions impact</t>
  </si>
  <si>
    <t>level by horsepower range. Premium Efficiency levels</t>
  </si>
  <si>
    <t>Motor Size Bin</t>
  </si>
  <si>
    <t>(%)</t>
  </si>
  <si>
    <t>86.4—90.1</t>
  </si>
  <si>
    <t>[6.0, 21.0)</t>
  </si>
  <si>
    <t>89.2_93.1</t>
  </si>
  <si>
    <t>92_94.7</t>
  </si>
  <si>
    <t>94.1-95.9</t>
  </si>
  <si>
    <t>Average Efficiency of Industrial Installed Base (%)</t>
  </si>
  <si>
    <t>Average Efficiency of Commercial Installed Base (%)</t>
  </si>
  <si>
    <t>94.5_96.2</t>
  </si>
  <si>
    <t>94.5-96.2</t>
  </si>
  <si>
    <t>N/A</t>
  </si>
  <si>
    <t>[1.0, 6.0)</t>
  </si>
  <si>
    <t>[21.0. 51.0)</t>
  </si>
  <si>
    <t>[51.0, 101.0)</t>
  </si>
  <si>
    <t>[101.0, 201.0)</t>
  </si>
  <si>
    <t>[201.0. 501.0)</t>
  </si>
  <si>
    <t>[501.0, 1,001.0)</t>
  </si>
  <si>
    <t>[1,001.0, 2,001.0)</t>
  </si>
  <si>
    <t>[2,001.0, 5,001.0)</t>
  </si>
  <si>
    <t>[5,001.0, ino</t>
  </si>
  <si>
    <t>Premium Efficiency Performance Level (%)</t>
  </si>
  <si>
    <t>Annual Electricity Consumption (TWh/yr)</t>
  </si>
  <si>
    <t>Industry-wide Efficiency</t>
  </si>
  <si>
    <t>Potential</t>
  </si>
  <si>
    <t>advanced motor % improvement at full load (permanent magnet)</t>
  </si>
  <si>
    <t xml:space="preserve">Implementation of variable frequency drives on variably underloaded motor systems </t>
  </si>
  <si>
    <t>reduction in motor drive efficiency due to low load inefficiency</t>
  </si>
  <si>
    <t>https://www.epa.gov/general-conformity/general-conformity-training-modules-appendix-sample-emissions-calculations</t>
  </si>
  <si>
    <t>Avg Energy Intensity</t>
  </si>
  <si>
    <t>https://www.energy.gov/sites/prod/files/2017/06/f35/CHP-Absorption%20Chiller-compliant.pdf</t>
  </si>
  <si>
    <t>Chiller</t>
  </si>
  <si>
    <r>
      <t>COP = 3.516/(</t>
    </r>
    <r>
      <rPr>
        <sz val="11"/>
        <color theme="1"/>
        <rFont val="Aptos Narrow"/>
        <family val="2"/>
        <scheme val="minor"/>
      </rPr>
      <t>kW</t>
    </r>
    <r>
      <rPr>
        <sz val="8"/>
        <color rgb="FF444444"/>
        <rFont val="Segoeui"/>
      </rPr>
      <t>/ton)</t>
    </r>
  </si>
  <si>
    <t>Electric chillers</t>
  </si>
  <si>
    <t>Florida Power &amp; Light</t>
  </si>
  <si>
    <t>undated</t>
  </si>
  <si>
    <t>Water-Cooled Chillers</t>
  </si>
  <si>
    <t>https://www.fpl.com/content/dam/fplgp/us/en/business/save/programs/pdf/water-cooled-chillers-primer.pdf</t>
  </si>
  <si>
    <t>Natural gas-fired chillers</t>
  </si>
  <si>
    <t>EnergistX</t>
  </si>
  <si>
    <t>500 Ton Natural Gas-Fired Absorption Chiller replacement of Aged Centrifugal Electric Chiller</t>
  </si>
  <si>
    <t>https://enrgistx.com/natural-gas-fired-chillers/</t>
  </si>
  <si>
    <t>positive</t>
  </si>
  <si>
    <t>&lt;75 t</t>
  </si>
  <si>
    <t>75-150</t>
  </si>
  <si>
    <t>150-300</t>
  </si>
  <si>
    <t>&gt;300</t>
  </si>
  <si>
    <t>centrifugal</t>
  </si>
  <si>
    <t>&lt;150</t>
  </si>
  <si>
    <t>300-600</t>
  </si>
  <si>
    <t>&gt;600t</t>
  </si>
  <si>
    <t>kW/t</t>
  </si>
  <si>
    <t>COP</t>
  </si>
  <si>
    <t>Avg COP</t>
  </si>
  <si>
    <t>Avg Intensity</t>
  </si>
  <si>
    <t>indst/BIEEI</t>
  </si>
  <si>
    <t>Table 3: Energy efficiency of the installed base compared to the Premium Efficiency performance</t>
  </si>
  <si>
    <t>Example w/ efficiency of 0.48-0.55 kW/ton</t>
  </si>
  <si>
    <t>http://heattreatconsortium.com/metals-advisor/electric-arc-furnace/electric-arc-furnace-energy-consumption/#:~:text=Energy%20consumption%20varies%20from%20350-700%20kWh/ton%20of,burners%20reduces%20electric%20consumption%20to%20425%20kWh/ton.</t>
  </si>
  <si>
    <t>Electric arc furnaces</t>
  </si>
  <si>
    <t>HeatTreat Technologies</t>
  </si>
  <si>
    <t>Electric Arc Furnace: Energy Consumption</t>
  </si>
  <si>
    <t>standard EAF energy intensity:</t>
  </si>
  <si>
    <t>https://usea.org/sites/default/files/012012_CO2%20abatement%20in%20the%20iron%20and%20steel%20industry_ccc193.pdf</t>
  </si>
  <si>
    <t>kWh/ton</t>
  </si>
  <si>
    <t>theoretical minimum</t>
  </si>
  <si>
    <t>https://www.advancedenergy.com/en-us/about/news/blog/improving-scrap-steel-efficiency-with-arc-furnace-optimization-techniques/</t>
  </si>
  <si>
    <t>https://www.chnzbtech.com/news/electric-arc-furnace-in-steel-making.html</t>
  </si>
  <si>
    <t>Avg:</t>
  </si>
  <si>
    <t>Electric Arc Furnaces</t>
  </si>
  <si>
    <t>Coal cement kilns</t>
  </si>
  <si>
    <t>https://www.sciencedirect.com/science/article/abs/pii/S0196890414007596</t>
  </si>
  <si>
    <t>alkaline water electrolyzer efficiency</t>
  </si>
  <si>
    <t>Natural gas glass-melting furnace</t>
  </si>
  <si>
    <t>current energy intensity</t>
  </si>
  <si>
    <t>kWh/tonne</t>
  </si>
  <si>
    <t>practical minimum energy intensity</t>
  </si>
  <si>
    <t>"thermal efficiency"</t>
  </si>
  <si>
    <t>kiln energy intensity (w/o waste heat capture)</t>
  </si>
  <si>
    <t>kiln energy intensity (incl waste heat capture)</t>
  </si>
  <si>
    <t>https://www.energy.gov/eere/fuelcells/technical-targets-liquid-alkaline-electrolysis</t>
  </si>
  <si>
    <t>long-term target efficiency</t>
  </si>
  <si>
    <t>https://www.energy.gov/eere/fuelcells/technical-targets-proton-exchange-membrane-electrolysis</t>
  </si>
  <si>
    <t>average</t>
  </si>
  <si>
    <t>intensity</t>
  </si>
  <si>
    <t>energy intensity</t>
  </si>
  <si>
    <t>Diesel generator / NG combustion turbine</t>
  </si>
  <si>
    <t>Ag tractors (mobile equipment)</t>
  </si>
  <si>
    <t>Tractor</t>
  </si>
  <si>
    <t>η</t>
  </si>
  <si>
    <t>nom P [kW]</t>
  </si>
  <si>
    <t>nom w [rpm]</t>
  </si>
  <si>
    <t>reference</t>
  </si>
  <si>
    <r>
      <t xml:space="preserve">ref 19 // </t>
    </r>
    <r>
      <rPr>
        <i/>
        <sz val="11"/>
        <color theme="1"/>
        <rFont val="Aptos Narrow"/>
        <family val="2"/>
        <scheme val="minor"/>
      </rPr>
      <t>open circles are added via post processing and represent the weighted</t>
    </r>
  </si>
  <si>
    <t>unkn.</t>
  </si>
  <si>
    <t>average load &amp; engine speeds from ref 20 scaled by nominal engine speeds</t>
  </si>
  <si>
    <t>4WD / MFWD</t>
  </si>
  <si>
    <t>245/127</t>
  </si>
  <si>
    <t xml:space="preserve">Electric </t>
  </si>
  <si>
    <t>PM Electric Motor</t>
  </si>
  <si>
    <t>150 (overload)</t>
  </si>
  <si>
    <t>charging adjusted</t>
  </si>
  <si>
    <t>22,25</t>
  </si>
  <si>
    <t>Custom autonomous</t>
  </si>
  <si>
    <t>Simulated autonomous</t>
  </si>
  <si>
    <t>Reduction in fuel use</t>
  </si>
  <si>
    <t>Average</t>
  </si>
  <si>
    <r>
      <t xml:space="preserve">ref 21 // </t>
    </r>
    <r>
      <rPr>
        <i/>
        <sz val="11"/>
        <color theme="1"/>
        <rFont val="Aptos Narrow"/>
        <family val="2"/>
        <scheme val="minor"/>
      </rPr>
      <t>open circles are added via post processing and represent the weighted</t>
    </r>
  </si>
  <si>
    <t>Ref 20</t>
  </si>
  <si>
    <t>(from figure)</t>
  </si>
  <si>
    <t>Tables 2-5</t>
  </si>
  <si>
    <t>weighted values</t>
  </si>
  <si>
    <t>max t at speed</t>
  </si>
  <si>
    <t>load (fig 16)</t>
  </si>
  <si>
    <t>speed on fig 2</t>
  </si>
  <si>
    <t>speed on fig 14</t>
  </si>
  <si>
    <t>torque on fig 2</t>
  </si>
  <si>
    <t>torque on fig 14</t>
  </si>
  <si>
    <t>% of total field time</t>
  </si>
  <si>
    <t>weighted average torque %</t>
  </si>
  <si>
    <t>weighted average engine speed</t>
  </si>
  <si>
    <t>weighted-average torque</t>
  </si>
  <si>
    <t>weighted-average engine speed</t>
  </si>
  <si>
    <t>Field operation</t>
  </si>
  <si>
    <t>t (%)</t>
  </si>
  <si>
    <t>w (s^-1)</t>
  </si>
  <si>
    <t>TS-I</t>
  </si>
  <si>
    <t>TS-II</t>
  </si>
  <si>
    <t>TS-III</t>
  </si>
  <si>
    <t>NH3 application</t>
  </si>
  <si>
    <t>Field cultivation</t>
  </si>
  <si>
    <t>Corn planting</t>
  </si>
  <si>
    <t>Reference Number</t>
  </si>
  <si>
    <t>Author</t>
  </si>
  <si>
    <t>Year</t>
  </si>
  <si>
    <t>Document</t>
  </si>
  <si>
    <t>URL</t>
  </si>
  <si>
    <t>Page or Table</t>
  </si>
  <si>
    <t>D. Friso</t>
  </si>
  <si>
    <t>Brake Thermal Efficiency and BSFC of Diesel  Engines: Mathematical Modeling and Comparison  between Diesel Oil and Biodiesel Fueling</t>
  </si>
  <si>
    <t>https://www.m-hikari.com/ams/ams-2014/ams-129-132-2014/frisoAMS129-132-2014-1.pdf</t>
  </si>
  <si>
    <t>S. Pitla, J.D. Luck, J. Werner, N. Line, S.A. Shearer</t>
  </si>
  <si>
    <t xml:space="preserve">In-field fuel use and load states of agricultural field machinery </t>
  </si>
  <si>
    <t>https://www.sciencedirect.com/science/article/pii/S0168169916000041</t>
  </si>
  <si>
    <t>D. Troncon, L. Alberti</t>
  </si>
  <si>
    <t>Case of Study of the Electrification of a Tractor: Electric Motor Performance Requirements and Design</t>
  </si>
  <si>
    <t>https://www.mdpi.com/1996-1073/13/9/2197</t>
  </si>
  <si>
    <t>Z. Shao, S. Anup</t>
  </si>
  <si>
    <t>Incentives for electrifying agricultural tractors in India</t>
  </si>
  <si>
    <t>https://theicct.org/publication/india-hvs-evs-incentives-elec-tractors-india-oct22/</t>
  </si>
  <si>
    <t>O. Lagnelov et al.</t>
  </si>
  <si>
    <t>Cost analysis of autonomous battery electric field tractors in agriculture</t>
  </si>
  <si>
    <t>https://pub.epsilon.slu.se/id/document/20368600</t>
  </si>
  <si>
    <t>J. Engstrom and O. Lagnelov</t>
  </si>
  <si>
    <t>An Autonomous Electric Powered Tractor—Simulation of All Operations on a Swedish Dairy Farm</t>
  </si>
  <si>
    <t>https://www.davidpublisher.com/Public/uploads/Contribute/5ba1b8c2036b0.pdf</t>
  </si>
  <si>
    <t>U.S. Department of Energy</t>
  </si>
  <si>
    <t>Where the Energy Goes: Electric Cars</t>
  </si>
  <si>
    <t>https://www.fueleconomy.gov/feg/atv-ev.shtml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</si>
</sst>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color rgb="FF444444"/>
      <name val="Segoeui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0" fontId="4" fillId="3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9" fontId="0" fillId="0" borderId="0" xfId="0" applyNumberFormat="1"/>
    <xf numFmtId="164" fontId="0" fillId="0" borderId="0" xfId="0" applyNumberFormat="1"/>
    <xf numFmtId="10" fontId="0" fillId="0" borderId="0" xfId="1" applyNumberFormat="1" applyFont="1"/>
    <xf numFmtId="9" fontId="0" fillId="0" borderId="0" xfId="1" applyFont="1"/>
    <xf numFmtId="49" fontId="0" fillId="0" borderId="0" xfId="0" applyNumberFormat="1"/>
    <xf numFmtId="0" fontId="6" fillId="0" borderId="0" xfId="2"/>
    <xf numFmtId="10" fontId="0" fillId="0" borderId="0" xfId="0" applyNumberFormat="1"/>
    <xf numFmtId="1" fontId="0" fillId="0" borderId="0" xfId="0" applyNumberFormat="1"/>
    <xf numFmtId="0" fontId="7" fillId="0" borderId="0" xfId="0" applyFont="1"/>
    <xf numFmtId="164" fontId="0" fillId="4" borderId="0" xfId="0" applyNumberFormat="1" applyFill="1"/>
    <xf numFmtId="0" fontId="0" fillId="5" borderId="0" xfId="0" applyFill="1"/>
    <xf numFmtId="0" fontId="1" fillId="5" borderId="0" xfId="0" applyFont="1" applyFill="1"/>
    <xf numFmtId="165" fontId="0" fillId="0" borderId="0" xfId="0" applyNumberFormat="1"/>
    <xf numFmtId="0" fontId="1" fillId="6" borderId="0" xfId="0" applyFont="1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2" borderId="0" xfId="0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318279</xdr:colOff>
      <xdr:row>15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63C3DF-CCCC-4AFD-898D-1055F930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204909</xdr:colOff>
      <xdr:row>3</xdr:row>
      <xdr:rowOff>219504</xdr:rowOff>
    </xdr:from>
    <xdr:to>
      <xdr:col>7</xdr:col>
      <xdr:colOff>224728</xdr:colOff>
      <xdr:row>23</xdr:row>
      <xdr:rowOff>71579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F759E-9EBD-2DF0-71AF-8B38B8C88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818" y="808322"/>
          <a:ext cx="3691274" cy="4158530"/>
        </a:xfrm>
        <a:prstGeom prst="rect">
          <a:avLst/>
        </a:prstGeom>
      </xdr:spPr>
    </xdr:pic>
    <xdr:clientData/>
  </xdr:twoCellAnchor>
  <xdr:twoCellAnchor editAs="oneCell">
    <xdr:from>
      <xdr:col>0</xdr:col>
      <xdr:colOff>519545</xdr:colOff>
      <xdr:row>25</xdr:row>
      <xdr:rowOff>146047</xdr:rowOff>
    </xdr:from>
    <xdr:to>
      <xdr:col>7</xdr:col>
      <xdr:colOff>440508</xdr:colOff>
      <xdr:row>42</xdr:row>
      <xdr:rowOff>110544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0E3E24-3036-AF12-FA7A-5720A97BC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9545" y="5433865"/>
          <a:ext cx="4204327" cy="32947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8</xdr:col>
      <xdr:colOff>1005323</xdr:colOff>
      <xdr:row>56</xdr:row>
      <xdr:rowOff>149931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BCE123-1A1F-1BAC-BF76-ABF42D4DF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909" y="9017000"/>
          <a:ext cx="5658141" cy="25020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420009</xdr:colOff>
      <xdr:row>22</xdr:row>
      <xdr:rowOff>10085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0931B2-48B7-31FE-D102-0A15217D4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6516009" cy="40105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2</xdr:col>
      <xdr:colOff>69851</xdr:colOff>
      <xdr:row>12</xdr:row>
      <xdr:rowOff>75741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E7F1F7-DD10-B866-3C26-38DA008F4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90500"/>
          <a:ext cx="4191000" cy="217124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260350</xdr:colOff>
      <xdr:row>19</xdr:row>
      <xdr:rowOff>74831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92FB7-775E-BE13-2FB3-9D02CB9D0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3914775" cy="350383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1</xdr:rowOff>
    </xdr:from>
    <xdr:to>
      <xdr:col>7</xdr:col>
      <xdr:colOff>49586</xdr:colOff>
      <xdr:row>34</xdr:row>
      <xdr:rowOff>38101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38C4D9-BC2B-FC13-D09B-8370A58ED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000501"/>
          <a:ext cx="3704011" cy="2514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136071</xdr:colOff>
      <xdr:row>2</xdr:row>
      <xdr:rowOff>140607</xdr:rowOff>
    </xdr:from>
    <xdr:to>
      <xdr:col>7</xdr:col>
      <xdr:colOff>133257</xdr:colOff>
      <xdr:row>16</xdr:row>
      <xdr:rowOff>103868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D4CC03-C475-2CA2-6BF7-300D0CA688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3857" y="512536"/>
          <a:ext cx="3643900" cy="25667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8</xdr:col>
      <xdr:colOff>272143</xdr:colOff>
      <xdr:row>32</xdr:row>
      <xdr:rowOff>6248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34F602-8206-4492-55A3-3D6533A66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786" y="3905250"/>
          <a:ext cx="4526643" cy="20518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14</xdr:col>
      <xdr:colOff>216087</xdr:colOff>
      <xdr:row>15</xdr:row>
      <xdr:rowOff>164826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E30D4C-512C-469E-94E6-11987F1327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07150" y="736600"/>
          <a:ext cx="4483287" cy="2190476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20</xdr:row>
      <xdr:rowOff>0</xdr:rowOff>
    </xdr:from>
    <xdr:to>
      <xdr:col>11</xdr:col>
      <xdr:colOff>122869</xdr:colOff>
      <xdr:row>31</xdr:row>
      <xdr:rowOff>160057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C863150-523E-4012-902A-13C2F61B0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07150" y="3683000"/>
          <a:ext cx="2561269" cy="21857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nO'Brien\Models\EPS\US\eps-us\InputData\indst\PIFURfE\Perc%20Indst%20Fuel%20Use%20Reduction%20for%20Elec.xlsx" TargetMode="External"/><Relationship Id="rId1" Type="http://schemas.openxmlformats.org/officeDocument/2006/relationships/externalLinkPath" Target="/Users/DanO'Brien/Models/EPS/US/eps-us/InputData/indst/PIFURfE/Perc%20Indst%20Fuel%20Use%20Reduction%20for%20Elec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EIA MECS Table 5.2"/>
      <sheetName val="Med-High Temp Heat"/>
      <sheetName val="Low Temp Heat"/>
      <sheetName val="Cooling"/>
      <sheetName val="Other"/>
      <sheetName val="Efficiencies"/>
      <sheetName val="Temperature Breakdown"/>
      <sheetName val="References"/>
      <sheetName val="Mapping"/>
      <sheetName val="PIFURf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nergy.gov/sites/prod/files/2016/06/f32/DOE-BTO%20Comml%20Appl%20Report%20-%20Full%20Report_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dpi.com/1996-1073/13/9/2197" TargetMode="External"/><Relationship Id="rId7" Type="http://schemas.openxmlformats.org/officeDocument/2006/relationships/hyperlink" Target="https://www.fueleconomy.gov/feg/atv-ev.shtml" TargetMode="External"/><Relationship Id="rId2" Type="http://schemas.openxmlformats.org/officeDocument/2006/relationships/hyperlink" Target="https://www.sciencedirect.com/science/article/pii/S0168169916000041" TargetMode="External"/><Relationship Id="rId1" Type="http://schemas.openxmlformats.org/officeDocument/2006/relationships/hyperlink" Target="https://www.m-hikari.com/ams/ams-2014/ams-129-132-2014/frisoAMS129-132-2014-1.pdf" TargetMode="External"/><Relationship Id="rId6" Type="http://schemas.openxmlformats.org/officeDocument/2006/relationships/hyperlink" Target="https://www.davidpublisher.com/Public/uploads/Contribute/5ba1b8c2036b0.pdf" TargetMode="External"/><Relationship Id="rId5" Type="http://schemas.openxmlformats.org/officeDocument/2006/relationships/hyperlink" Target="https://pub.epsilon.slu.se/id/document/20368600" TargetMode="External"/><Relationship Id="rId4" Type="http://schemas.openxmlformats.org/officeDocument/2006/relationships/hyperlink" Target="https://theicct.org/publication/india-hvs-evs-incentives-elec-tractors-india-oct2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90AE5-9E06-4EDB-8D15-DE332404A026}">
  <dimension ref="A1:B58"/>
  <sheetViews>
    <sheetView tabSelected="1" workbookViewId="0">
      <selection activeCell="B49" sqref="B49"/>
    </sheetView>
  </sheetViews>
  <sheetFormatPr defaultRowHeight="14.5"/>
  <cols>
    <col min="2" max="2" width="51.1796875" customWidth="1"/>
  </cols>
  <sheetData>
    <row r="1" spans="1:2">
      <c r="A1" s="1" t="s">
        <v>3</v>
      </c>
    </row>
    <row r="3" spans="1:2">
      <c r="A3" s="1" t="s">
        <v>0</v>
      </c>
      <c r="B3" s="4" t="s">
        <v>42</v>
      </c>
    </row>
    <row r="4" spans="1:2">
      <c r="B4" t="s">
        <v>38</v>
      </c>
    </row>
    <row r="5" spans="1:2">
      <c r="B5" s="5">
        <v>2025</v>
      </c>
    </row>
    <row r="6" spans="1:2">
      <c r="B6" t="s">
        <v>39</v>
      </c>
    </row>
    <row r="7" spans="1:2">
      <c r="B7" t="s">
        <v>40</v>
      </c>
    </row>
    <row r="8" spans="1:2">
      <c r="B8" t="s">
        <v>41</v>
      </c>
    </row>
    <row r="10" spans="1:2">
      <c r="B10" s="6" t="s">
        <v>32</v>
      </c>
    </row>
    <row r="11" spans="1:2">
      <c r="B11" s="7" t="s">
        <v>33</v>
      </c>
    </row>
    <row r="12" spans="1:2">
      <c r="B12" s="8">
        <v>2018</v>
      </c>
    </row>
    <row r="13" spans="1:2">
      <c r="B13" s="7" t="s">
        <v>34</v>
      </c>
    </row>
    <row r="14" spans="1:2">
      <c r="B14" s="7" t="s">
        <v>35</v>
      </c>
    </row>
    <row r="15" spans="1:2">
      <c r="B15" s="7" t="s">
        <v>36</v>
      </c>
    </row>
    <row r="17" spans="2:2">
      <c r="B17" s="4" t="s">
        <v>37</v>
      </c>
    </row>
    <row r="18" spans="2:2">
      <c r="B18" t="s">
        <v>63</v>
      </c>
    </row>
    <row r="19" spans="2:2">
      <c r="B19" s="5">
        <v>2022</v>
      </c>
    </row>
    <row r="20" spans="2:2">
      <c r="B20" t="s">
        <v>88</v>
      </c>
    </row>
    <row r="21" spans="2:2">
      <c r="B21" t="s">
        <v>62</v>
      </c>
    </row>
    <row r="22" spans="2:2">
      <c r="B22" t="s">
        <v>64</v>
      </c>
    </row>
    <row r="24" spans="2:2">
      <c r="B24" s="4" t="s">
        <v>73</v>
      </c>
    </row>
    <row r="25" spans="2:2">
      <c r="B25" t="s">
        <v>74</v>
      </c>
    </row>
    <row r="26" spans="2:2">
      <c r="B26" s="15">
        <v>2016</v>
      </c>
    </row>
    <row r="27" spans="2:2">
      <c r="B27" t="s">
        <v>75</v>
      </c>
    </row>
    <row r="28" spans="2:2">
      <c r="B28" s="16" t="s">
        <v>76</v>
      </c>
    </row>
    <row r="30" spans="2:2">
      <c r="B30" s="4" t="s">
        <v>123</v>
      </c>
    </row>
    <row r="31" spans="2:2">
      <c r="B31" t="s">
        <v>124</v>
      </c>
    </row>
    <row r="32" spans="2:2">
      <c r="B32" t="s">
        <v>125</v>
      </c>
    </row>
    <row r="33" spans="2:2">
      <c r="B33" t="s">
        <v>126</v>
      </c>
    </row>
    <row r="34" spans="2:2">
      <c r="B34" t="s">
        <v>127</v>
      </c>
    </row>
    <row r="36" spans="2:2">
      <c r="B36" s="4" t="s">
        <v>128</v>
      </c>
    </row>
    <row r="37" spans="2:2">
      <c r="B37" t="s">
        <v>129</v>
      </c>
    </row>
    <row r="38" spans="2:2">
      <c r="B38" t="s">
        <v>125</v>
      </c>
    </row>
    <row r="39" spans="2:2">
      <c r="B39" t="s">
        <v>130</v>
      </c>
    </row>
    <row r="40" spans="2:2">
      <c r="B40" t="s">
        <v>131</v>
      </c>
    </row>
    <row r="43" spans="2:2">
      <c r="B43" t="s">
        <v>118</v>
      </c>
    </row>
    <row r="45" spans="2:2">
      <c r="B45" s="4" t="s">
        <v>149</v>
      </c>
    </row>
    <row r="46" spans="2:2">
      <c r="B46" t="s">
        <v>150</v>
      </c>
    </row>
    <row r="47" spans="2:2">
      <c r="B47" t="s">
        <v>125</v>
      </c>
    </row>
    <row r="48" spans="2:2">
      <c r="B48" t="s">
        <v>151</v>
      </c>
    </row>
    <row r="49" spans="1:2">
      <c r="B49" t="s">
        <v>148</v>
      </c>
    </row>
    <row r="51" spans="1:2">
      <c r="A51" s="1" t="s">
        <v>2</v>
      </c>
    </row>
    <row r="52" spans="1:2">
      <c r="A52" t="s">
        <v>4</v>
      </c>
    </row>
    <row r="53" spans="1:2">
      <c r="A53" t="s">
        <v>5</v>
      </c>
    </row>
    <row r="55" spans="1:2">
      <c r="A55" t="s">
        <v>6</v>
      </c>
    </row>
    <row r="56" spans="1:2">
      <c r="A56" t="s">
        <v>7</v>
      </c>
    </row>
    <row r="57" spans="1:2">
      <c r="A57" t="s">
        <v>8</v>
      </c>
    </row>
    <row r="58" spans="1:2">
      <c r="A58" t="s">
        <v>9</v>
      </c>
    </row>
  </sheetData>
  <hyperlinks>
    <hyperlink ref="B28" r:id="rId1" xr:uid="{58323666-7507-428D-A27D-530007A172F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E7CD-1195-47A7-9F7A-06312F92713C}">
  <dimension ref="A1:M28"/>
  <sheetViews>
    <sheetView topLeftCell="A13" zoomScale="84" workbookViewId="0">
      <selection activeCell="M24" sqref="B24:M24"/>
    </sheetView>
  </sheetViews>
  <sheetFormatPr defaultRowHeight="14.5"/>
  <cols>
    <col min="2" max="2" width="15.453125" bestFit="1" customWidth="1"/>
    <col min="3" max="3" width="10.81640625" bestFit="1" customWidth="1"/>
    <col min="4" max="4" width="34" bestFit="1" customWidth="1"/>
    <col min="5" max="7" width="8.1796875" bestFit="1" customWidth="1"/>
    <col min="11" max="11" width="15.26953125" bestFit="1" customWidth="1"/>
  </cols>
  <sheetData>
    <row r="1" spans="1:1">
      <c r="A1" t="s">
        <v>145</v>
      </c>
    </row>
    <row r="18" spans="2:13">
      <c r="D18" t="s">
        <v>43</v>
      </c>
      <c r="E18" t="s">
        <v>44</v>
      </c>
      <c r="F18">
        <v>2018</v>
      </c>
      <c r="G18">
        <v>2050</v>
      </c>
      <c r="K18" t="s">
        <v>45</v>
      </c>
    </row>
    <row r="19" spans="2:13">
      <c r="B19" t="s">
        <v>46</v>
      </c>
      <c r="C19" t="s">
        <v>47</v>
      </c>
      <c r="D19" t="s">
        <v>48</v>
      </c>
      <c r="E19" t="s">
        <v>49</v>
      </c>
      <c r="F19" t="s">
        <v>50</v>
      </c>
      <c r="G19" t="s">
        <v>50</v>
      </c>
      <c r="I19">
        <v>2021</v>
      </c>
      <c r="J19">
        <v>2050</v>
      </c>
      <c r="K19" t="s">
        <v>51</v>
      </c>
      <c r="M19" t="s">
        <v>52</v>
      </c>
    </row>
    <row r="20" spans="2:13">
      <c r="B20" t="s">
        <v>53</v>
      </c>
      <c r="C20" t="s">
        <v>54</v>
      </c>
      <c r="D20">
        <v>0.218</v>
      </c>
      <c r="E20">
        <v>0.84399999999999997</v>
      </c>
      <c r="F20">
        <v>0.96499999999999997</v>
      </c>
      <c r="G20">
        <v>0.81200000000000006</v>
      </c>
      <c r="I20" s="12" cm="1">
        <f t="array" ref="I20">TREND(F20:G20,$F$18:$G$18,$I$19)</f>
        <v>0.95065624999999976</v>
      </c>
      <c r="J20">
        <f>G20</f>
        <v>0.81200000000000006</v>
      </c>
      <c r="K20" s="13">
        <f>1-J20/I20</f>
        <v>0.14585319351763559</v>
      </c>
      <c r="M20" s="13">
        <f>1-(1-K20)^(1/($J$19-$I$19))</f>
        <v>5.4215327566901061E-3</v>
      </c>
    </row>
    <row r="21" spans="2:13">
      <c r="B21" t="s">
        <v>53</v>
      </c>
      <c r="C21" t="s">
        <v>55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12" cm="1">
        <f t="array" ref="I21">TREND(F21:G21,$F$18:$G$18,$I$19)</f>
        <v>0.9790312499999998</v>
      </c>
      <c r="J21">
        <f t="shared" ref="J21:J28" si="0">G21</f>
        <v>0.93100000000000005</v>
      </c>
      <c r="K21" s="13">
        <f t="shared" ref="K21:K28" si="1">1-J21/I21</f>
        <v>4.9059976379711823E-2</v>
      </c>
      <c r="M21" s="13">
        <f t="shared" ref="M21:M28" si="2">1-(1-K21)^(1/($J$19-$I$19))</f>
        <v>1.7331269176886765E-3</v>
      </c>
    </row>
    <row r="22" spans="2:13">
      <c r="B22" t="s">
        <v>53</v>
      </c>
      <c r="C22" t="s">
        <v>56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12" cm="1">
        <f t="array" ref="I22">TREND(F22:G22,$F$18:$G$18,$I$19)</f>
        <v>0.95084375000000065</v>
      </c>
      <c r="J22">
        <f t="shared" si="0"/>
        <v>0.81399999999999995</v>
      </c>
      <c r="K22" s="13">
        <f t="shared" si="1"/>
        <v>0.14391823051894759</v>
      </c>
      <c r="M22" s="13">
        <f t="shared" si="2"/>
        <v>5.3439247221002129E-3</v>
      </c>
    </row>
    <row r="23" spans="2:13">
      <c r="B23" t="s">
        <v>57</v>
      </c>
      <c r="C23" t="s">
        <v>55</v>
      </c>
      <c r="D23">
        <v>3.9E-2</v>
      </c>
      <c r="E23">
        <v>0.91400000000000003</v>
      </c>
      <c r="F23">
        <v>0.97</v>
      </c>
      <c r="G23">
        <v>0.89</v>
      </c>
      <c r="I23" s="12" cm="1">
        <f t="array" ref="I23">TREND(F23:G23,$F$18:$G$18,$I$19)</f>
        <v>0.96249999999999947</v>
      </c>
      <c r="J23">
        <f t="shared" si="0"/>
        <v>0.89</v>
      </c>
      <c r="K23" s="13">
        <f t="shared" si="1"/>
        <v>7.5324675324674795E-2</v>
      </c>
      <c r="M23" s="13">
        <f t="shared" si="2"/>
        <v>2.6967917075848558E-3</v>
      </c>
    </row>
    <row r="24" spans="2:13">
      <c r="B24" t="s">
        <v>58</v>
      </c>
      <c r="C24" t="s">
        <v>54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12" cm="1">
        <f t="array" ref="I24">TREND(F24:G24,$F$18:$G$18,$I$19)</f>
        <v>0.9479375000000001</v>
      </c>
      <c r="J24">
        <f t="shared" si="0"/>
        <v>0.81200000000000006</v>
      </c>
      <c r="K24" s="13">
        <f t="shared" si="1"/>
        <v>0.14340344168260044</v>
      </c>
      <c r="M24" s="13">
        <f t="shared" si="2"/>
        <v>5.3233059513549952E-3</v>
      </c>
    </row>
    <row r="25" spans="2:13">
      <c r="B25" t="s">
        <v>58</v>
      </c>
      <c r="C25" t="s">
        <v>55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12" cm="1">
        <f t="array" ref="I25">TREND(F25:G25,$F$18:$G$18,$I$19)</f>
        <v>0.97603125000000013</v>
      </c>
      <c r="J25">
        <f t="shared" si="0"/>
        <v>0.89900000000000002</v>
      </c>
      <c r="K25" s="13">
        <f t="shared" si="1"/>
        <v>7.8922934076137485E-2</v>
      </c>
      <c r="M25" s="13">
        <f t="shared" si="2"/>
        <v>2.8308672369490306E-3</v>
      </c>
    </row>
    <row r="26" spans="2:13">
      <c r="B26" t="s">
        <v>59</v>
      </c>
      <c r="C26" t="s">
        <v>55</v>
      </c>
      <c r="D26">
        <v>1E-3</v>
      </c>
      <c r="E26">
        <v>0.90900000000000003</v>
      </c>
      <c r="F26">
        <v>0.97099999999999997</v>
      </c>
      <c r="G26">
        <v>0.83699999999999997</v>
      </c>
      <c r="I26" s="12" cm="1">
        <f t="array" ref="I26">TREND(F26:G26,$F$18:$G$18,$I$19)</f>
        <v>0.9584375000000005</v>
      </c>
      <c r="J26">
        <f t="shared" si="0"/>
        <v>0.83699999999999997</v>
      </c>
      <c r="K26" s="13">
        <f t="shared" si="1"/>
        <v>0.1267036191718296</v>
      </c>
      <c r="M26" s="13">
        <f t="shared" si="2"/>
        <v>4.6608383495440053E-3</v>
      </c>
    </row>
    <row r="27" spans="2:13">
      <c r="B27" t="s">
        <v>60</v>
      </c>
      <c r="C27" t="s">
        <v>54</v>
      </c>
      <c r="D27">
        <v>1.0999999999999999E-2</v>
      </c>
      <c r="E27">
        <v>0.872</v>
      </c>
      <c r="F27">
        <v>0.94599999999999995</v>
      </c>
      <c r="G27">
        <v>0.82</v>
      </c>
      <c r="I27" s="12" cm="1">
        <f t="array" ref="I27">TREND(F27:G27,$F$18:$G$18,$I$19)</f>
        <v>0.93418749999999839</v>
      </c>
      <c r="J27">
        <f t="shared" si="0"/>
        <v>0.82</v>
      </c>
      <c r="K27" s="13">
        <f t="shared" si="1"/>
        <v>0.12223188599718859</v>
      </c>
      <c r="M27" s="13">
        <f t="shared" si="2"/>
        <v>4.4855245842795322E-3</v>
      </c>
    </row>
    <row r="28" spans="2:13">
      <c r="B28" t="s">
        <v>61</v>
      </c>
      <c r="C28" t="s">
        <v>55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12" cm="1">
        <f t="array" ref="I28">TREND(F28:G28,$F$18:$G$18,$I$19)</f>
        <v>0.96440625000000058</v>
      </c>
      <c r="J28">
        <f t="shared" si="0"/>
        <v>0.89100000000000001</v>
      </c>
      <c r="K28" s="13">
        <f t="shared" si="1"/>
        <v>7.611548556430503E-2</v>
      </c>
      <c r="M28" s="13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6737B-14AA-41CE-9388-6419CF592696}">
  <dimension ref="H2:O36"/>
  <sheetViews>
    <sheetView topLeftCell="A22" zoomScale="70" workbookViewId="0">
      <selection activeCell="J39" sqref="J39:L39"/>
    </sheetView>
  </sheetViews>
  <sheetFormatPr defaultRowHeight="14.5"/>
  <cols>
    <col min="8" max="8" width="14.7265625" customWidth="1"/>
    <col min="9" max="9" width="16.453125" bestFit="1" customWidth="1"/>
    <col min="10" max="10" width="23.1796875" customWidth="1"/>
    <col min="11" max="11" width="30.7265625" customWidth="1"/>
    <col min="12" max="12" width="22.1796875" customWidth="1"/>
    <col min="13" max="13" width="3" bestFit="1" customWidth="1"/>
    <col min="14" max="14" width="23.1796875" customWidth="1"/>
  </cols>
  <sheetData>
    <row r="2" spans="8:15">
      <c r="H2" t="s">
        <v>146</v>
      </c>
    </row>
    <row r="3" spans="8:15">
      <c r="H3" t="s">
        <v>89</v>
      </c>
    </row>
    <row r="4" spans="8:15" s="9" customFormat="1" ht="43.5">
      <c r="I4" s="9" t="s">
        <v>90</v>
      </c>
      <c r="J4" s="9" t="s">
        <v>97</v>
      </c>
      <c r="K4" s="9" t="s">
        <v>98</v>
      </c>
      <c r="L4" s="9" t="s">
        <v>111</v>
      </c>
      <c r="N4" s="9" t="s">
        <v>115</v>
      </c>
    </row>
    <row r="5" spans="8:15">
      <c r="L5" t="s">
        <v>91</v>
      </c>
    </row>
    <row r="6" spans="8:15">
      <c r="I6" t="s">
        <v>102</v>
      </c>
      <c r="J6">
        <v>83</v>
      </c>
      <c r="K6">
        <v>82</v>
      </c>
      <c r="L6" t="s">
        <v>92</v>
      </c>
      <c r="M6">
        <v>90.1</v>
      </c>
      <c r="N6">
        <v>3.2</v>
      </c>
      <c r="O6">
        <f>SUM(M6:N6)</f>
        <v>93.3</v>
      </c>
    </row>
    <row r="7" spans="8:15">
      <c r="I7" t="s">
        <v>93</v>
      </c>
      <c r="J7">
        <v>89</v>
      </c>
      <c r="K7">
        <v>89</v>
      </c>
      <c r="L7" t="s">
        <v>94</v>
      </c>
      <c r="M7">
        <v>93.1</v>
      </c>
      <c r="N7">
        <v>1.5</v>
      </c>
      <c r="O7">
        <f t="shared" ref="O7:O15" si="0">SUM(M7:N7)</f>
        <v>94.6</v>
      </c>
    </row>
    <row r="8" spans="8:15">
      <c r="I8" t="s">
        <v>103</v>
      </c>
      <c r="J8">
        <v>92</v>
      </c>
      <c r="K8">
        <v>91</v>
      </c>
      <c r="L8" t="s">
        <v>95</v>
      </c>
      <c r="M8">
        <v>94.7</v>
      </c>
      <c r="N8">
        <v>1</v>
      </c>
      <c r="O8">
        <f t="shared" si="0"/>
        <v>95.7</v>
      </c>
    </row>
    <row r="9" spans="8:15">
      <c r="I9" t="s">
        <v>104</v>
      </c>
      <c r="J9">
        <v>93</v>
      </c>
      <c r="K9">
        <v>92</v>
      </c>
      <c r="L9" t="s">
        <v>96</v>
      </c>
      <c r="M9">
        <v>95.9</v>
      </c>
      <c r="N9">
        <v>1</v>
      </c>
      <c r="O9">
        <f t="shared" si="0"/>
        <v>96.9</v>
      </c>
    </row>
    <row r="10" spans="8:15">
      <c r="I10" t="s">
        <v>105</v>
      </c>
      <c r="J10">
        <v>93</v>
      </c>
      <c r="K10">
        <v>93</v>
      </c>
      <c r="L10" t="s">
        <v>99</v>
      </c>
      <c r="M10">
        <v>96.2</v>
      </c>
      <c r="N10">
        <v>0.7</v>
      </c>
      <c r="O10">
        <f t="shared" si="0"/>
        <v>96.9</v>
      </c>
    </row>
    <row r="11" spans="8:15">
      <c r="I11" t="s">
        <v>106</v>
      </c>
      <c r="J11">
        <v>93</v>
      </c>
      <c r="K11">
        <v>94</v>
      </c>
      <c r="L11" t="s">
        <v>100</v>
      </c>
      <c r="M11">
        <v>96.2</v>
      </c>
      <c r="N11">
        <v>0.8</v>
      </c>
      <c r="O11">
        <f t="shared" si="0"/>
        <v>97</v>
      </c>
    </row>
    <row r="12" spans="8:15">
      <c r="I12" t="s">
        <v>107</v>
      </c>
      <c r="J12">
        <v>93</v>
      </c>
      <c r="K12">
        <v>94</v>
      </c>
      <c r="M12">
        <f>M11</f>
        <v>96.2</v>
      </c>
      <c r="O12">
        <f>SUM(M12:N12)</f>
        <v>96.2</v>
      </c>
    </row>
    <row r="13" spans="8:15">
      <c r="I13" t="s">
        <v>108</v>
      </c>
      <c r="J13">
        <v>92</v>
      </c>
      <c r="K13">
        <v>95</v>
      </c>
      <c r="M13">
        <f>M12</f>
        <v>96.2</v>
      </c>
      <c r="O13">
        <f t="shared" si="0"/>
        <v>96.2</v>
      </c>
    </row>
    <row r="14" spans="8:15">
      <c r="I14" t="s">
        <v>109</v>
      </c>
      <c r="J14">
        <v>86</v>
      </c>
      <c r="K14">
        <v>95</v>
      </c>
      <c r="M14">
        <f>M13</f>
        <v>96.2</v>
      </c>
      <c r="O14">
        <f t="shared" si="0"/>
        <v>96.2</v>
      </c>
    </row>
    <row r="15" spans="8:15">
      <c r="I15" t="s">
        <v>110</v>
      </c>
      <c r="J15">
        <v>91</v>
      </c>
      <c r="K15" t="s">
        <v>101</v>
      </c>
      <c r="M15">
        <f>M14</f>
        <v>96.2</v>
      </c>
      <c r="O15">
        <f t="shared" si="0"/>
        <v>96.2</v>
      </c>
    </row>
    <row r="17" spans="9:12">
      <c r="J17" t="s">
        <v>112</v>
      </c>
    </row>
    <row r="18" spans="9:12">
      <c r="I18" t="s">
        <v>102</v>
      </c>
      <c r="J18" s="18">
        <v>25.980397752045299</v>
      </c>
      <c r="L18" t="s">
        <v>116</v>
      </c>
    </row>
    <row r="19" spans="9:12">
      <c r="I19" t="s">
        <v>93</v>
      </c>
      <c r="J19" s="18">
        <v>67.647063795395397</v>
      </c>
      <c r="L19" s="11">
        <v>0.08</v>
      </c>
    </row>
    <row r="20" spans="9:12">
      <c r="I20" t="s">
        <v>103</v>
      </c>
      <c r="J20" s="18">
        <v>86.928108261286297</v>
      </c>
      <c r="L20" t="s">
        <v>117</v>
      </c>
    </row>
    <row r="21" spans="9:12">
      <c r="I21" t="s">
        <v>104</v>
      </c>
      <c r="J21" s="18">
        <v>71.895427750300499</v>
      </c>
    </row>
    <row r="22" spans="9:12">
      <c r="I22" t="s">
        <v>105</v>
      </c>
      <c r="J22" s="18">
        <v>64.379085998847998</v>
      </c>
    </row>
    <row r="23" spans="9:12">
      <c r="I23" t="s">
        <v>106</v>
      </c>
      <c r="J23" s="18">
        <v>94.281049327759803</v>
      </c>
    </row>
    <row r="24" spans="9:12">
      <c r="I24" t="s">
        <v>107</v>
      </c>
      <c r="J24" s="18">
        <v>62.908497785553301</v>
      </c>
    </row>
    <row r="25" spans="9:12">
      <c r="I25" t="s">
        <v>108</v>
      </c>
      <c r="J25" s="18">
        <v>34.803927031813501</v>
      </c>
    </row>
    <row r="26" spans="9:12">
      <c r="I26" t="s">
        <v>109</v>
      </c>
      <c r="J26" s="18">
        <v>17.6470525756977</v>
      </c>
    </row>
    <row r="27" spans="9:12">
      <c r="I27" t="s">
        <v>110</v>
      </c>
      <c r="J27" s="18">
        <v>17.156856504599499</v>
      </c>
    </row>
    <row r="29" spans="9:12">
      <c r="J29" s="1" t="s">
        <v>113</v>
      </c>
      <c r="K29" s="1" t="s">
        <v>114</v>
      </c>
    </row>
    <row r="30" spans="9:12">
      <c r="J30" s="14">
        <f>SUMPRODUCT(J6:J15,J18:J27)/SUM(J18:J27)/100-L19</f>
        <v>0.83510069121733521</v>
      </c>
      <c r="K30" s="14">
        <f>SUMPRODUCT(O6:O15,J18:J27)/SUM(J18:J27)/100</f>
        <v>0.96096573455108358</v>
      </c>
    </row>
    <row r="31" spans="9:12">
      <c r="J31">
        <f>1/J30</f>
        <v>1.1974603907252062</v>
      </c>
      <c r="K31">
        <f>1/K30</f>
        <v>1.0406198307030701</v>
      </c>
    </row>
    <row r="34" spans="10:11">
      <c r="J34" t="s">
        <v>176</v>
      </c>
    </row>
    <row r="35" spans="10:11">
      <c r="J35" s="11">
        <v>0.4</v>
      </c>
      <c r="K35" s="16"/>
    </row>
    <row r="36" spans="10:11">
      <c r="J36">
        <f>1/J35</f>
        <v>2.5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25B5-8F49-4EFF-9AFE-787745135977}">
  <dimension ref="B24:D25"/>
  <sheetViews>
    <sheetView zoomScale="63" workbookViewId="0">
      <selection activeCell="F27" sqref="F27"/>
    </sheetView>
  </sheetViews>
  <sheetFormatPr defaultRowHeight="14.5"/>
  <sheetData>
    <row r="24" spans="2:4">
      <c r="B24" t="s">
        <v>30</v>
      </c>
      <c r="C24">
        <v>3</v>
      </c>
      <c r="D24" t="s">
        <v>31</v>
      </c>
    </row>
    <row r="25" spans="2:4">
      <c r="B25" t="s">
        <v>72</v>
      </c>
      <c r="C25">
        <f>1/C24</f>
        <v>0.33333333333333331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FBB6-6DA6-4445-A3B7-9FDC2FA0643B}">
  <dimension ref="B2:D23"/>
  <sheetViews>
    <sheetView zoomScale="75" workbookViewId="0">
      <selection activeCell="D30" sqref="D30"/>
    </sheetView>
  </sheetViews>
  <sheetFormatPr defaultRowHeight="14.5"/>
  <cols>
    <col min="2" max="2" width="61.81640625" bestFit="1" customWidth="1"/>
    <col min="3" max="3" width="12.7265625" bestFit="1" customWidth="1"/>
  </cols>
  <sheetData>
    <row r="2" spans="2:4">
      <c r="B2" s="9"/>
      <c r="C2" s="10"/>
      <c r="D2" s="10"/>
    </row>
    <row r="3" spans="2:4">
      <c r="C3" s="11"/>
    </row>
    <row r="4" spans="2:4">
      <c r="C4" s="11"/>
    </row>
    <row r="5" spans="2:4">
      <c r="C5" s="11"/>
    </row>
    <row r="16" spans="2:4">
      <c r="B16" t="s">
        <v>65</v>
      </c>
      <c r="C16" t="s">
        <v>66</v>
      </c>
    </row>
    <row r="17" spans="2:4">
      <c r="B17" t="s">
        <v>54</v>
      </c>
      <c r="C17">
        <v>0.75</v>
      </c>
      <c r="D17" s="14">
        <f>1/C17</f>
        <v>1.3333333333333333</v>
      </c>
    </row>
    <row r="18" spans="2:4">
      <c r="B18" t="s">
        <v>67</v>
      </c>
      <c r="C18">
        <v>0.81</v>
      </c>
      <c r="D18" s="14">
        <f t="shared" ref="D18:D23" si="0">1/C18</f>
        <v>1.2345679012345678</v>
      </c>
    </row>
    <row r="19" spans="2:4">
      <c r="B19" t="s">
        <v>68</v>
      </c>
      <c r="C19">
        <v>0.82</v>
      </c>
      <c r="D19" s="14">
        <f t="shared" si="0"/>
        <v>1.2195121951219512</v>
      </c>
    </row>
    <row r="20" spans="2:4">
      <c r="B20" t="s">
        <v>69</v>
      </c>
      <c r="C20">
        <v>0.83</v>
      </c>
      <c r="D20" s="14">
        <f t="shared" si="0"/>
        <v>1.2048192771084338</v>
      </c>
    </row>
    <row r="21" spans="2:4">
      <c r="B21" t="s">
        <v>70</v>
      </c>
      <c r="C21">
        <v>0.83</v>
      </c>
      <c r="D21" s="14">
        <f t="shared" si="0"/>
        <v>1.2048192771084338</v>
      </c>
    </row>
    <row r="22" spans="2:4">
      <c r="B22" t="s">
        <v>71</v>
      </c>
      <c r="C22">
        <v>0.7</v>
      </c>
      <c r="D22" s="14">
        <f t="shared" si="0"/>
        <v>1.4285714285714286</v>
      </c>
    </row>
    <row r="23" spans="2:4">
      <c r="B23" t="s">
        <v>61</v>
      </c>
      <c r="C23">
        <v>0.7</v>
      </c>
      <c r="D23" s="14">
        <f t="shared" si="0"/>
        <v>1.4285714285714286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A33F7-3B58-415B-8180-0D752D7B0DBE}">
  <dimension ref="I3:O15"/>
  <sheetViews>
    <sheetView zoomScale="106" workbookViewId="0">
      <selection activeCell="G36" sqref="G36"/>
    </sheetView>
  </sheetViews>
  <sheetFormatPr defaultRowHeight="14.5"/>
  <cols>
    <col min="9" max="9" width="12.453125" bestFit="1" customWidth="1"/>
    <col min="10" max="10" width="10.1796875" bestFit="1" customWidth="1"/>
    <col min="12" max="12" width="12.54296875" customWidth="1"/>
    <col min="13" max="13" width="14" bestFit="1" customWidth="1"/>
  </cols>
  <sheetData>
    <row r="3" spans="9:15">
      <c r="I3" t="s">
        <v>87</v>
      </c>
    </row>
    <row r="4" spans="9:15">
      <c r="I4" t="s">
        <v>77</v>
      </c>
      <c r="J4" t="s">
        <v>82</v>
      </c>
      <c r="K4" t="s">
        <v>83</v>
      </c>
      <c r="N4" t="s">
        <v>84</v>
      </c>
      <c r="O4" t="s">
        <v>85</v>
      </c>
    </row>
    <row r="5" spans="9:15">
      <c r="I5" t="s">
        <v>79</v>
      </c>
      <c r="J5" s="17">
        <v>0.27800000000000002</v>
      </c>
      <c r="K5" s="14">
        <f>AVERAGE(0.4,0.6)</f>
        <v>0.5</v>
      </c>
      <c r="M5" t="s">
        <v>87</v>
      </c>
      <c r="N5" s="11">
        <f>SUMPRODUCT(J5:J8,K5:K8)/SUM(J5:J8)</f>
        <v>0.58107098381070976</v>
      </c>
      <c r="O5">
        <f>1/N5</f>
        <v>1.7209601371624521</v>
      </c>
    </row>
    <row r="6" spans="9:15">
      <c r="I6" t="s">
        <v>78</v>
      </c>
      <c r="J6" s="14">
        <f>SUM(12.1%,31.8%)</f>
        <v>0.439</v>
      </c>
      <c r="K6" s="14">
        <f>AVERAGE(0.5,0.8)</f>
        <v>0.65</v>
      </c>
      <c r="M6" t="s">
        <v>86</v>
      </c>
      <c r="N6" s="11">
        <f>SUMPRODUCT(J12:J15,K12:K15)/SUM(J12:J15)</f>
        <v>0.30566625155666244</v>
      </c>
      <c r="O6">
        <f>1/N6</f>
        <v>3.2715420655938083</v>
      </c>
    </row>
    <row r="7" spans="9:15">
      <c r="I7" t="s">
        <v>80</v>
      </c>
      <c r="J7" s="17">
        <v>4.7E-2</v>
      </c>
      <c r="K7" s="14">
        <f>AVERAGE(0.5,0.8)</f>
        <v>0.65</v>
      </c>
    </row>
    <row r="8" spans="9:15">
      <c r="I8" t="s">
        <v>81</v>
      </c>
      <c r="J8" s="17">
        <v>3.9E-2</v>
      </c>
      <c r="K8" s="14">
        <f>AVERAGE(0.2,0.4)</f>
        <v>0.30000000000000004</v>
      </c>
    </row>
    <row r="10" spans="9:15">
      <c r="I10" t="s">
        <v>86</v>
      </c>
    </row>
    <row r="11" spans="9:15">
      <c r="I11" t="s">
        <v>77</v>
      </c>
      <c r="J11" t="s">
        <v>82</v>
      </c>
      <c r="K11" t="s">
        <v>83</v>
      </c>
    </row>
    <row r="12" spans="9:15">
      <c r="I12" t="s">
        <v>79</v>
      </c>
      <c r="J12" s="17">
        <v>0.27800000000000002</v>
      </c>
      <c r="K12" s="14">
        <f>AVERAGE(0.2,0.3)</f>
        <v>0.25</v>
      </c>
    </row>
    <row r="13" spans="9:15">
      <c r="I13" t="s">
        <v>78</v>
      </c>
      <c r="J13" s="14">
        <f>SUM(12.1%,31.8%)</f>
        <v>0.439</v>
      </c>
      <c r="K13" s="14">
        <f>AVERAGE(0.3,0.4)</f>
        <v>0.35</v>
      </c>
    </row>
    <row r="14" spans="9:15">
      <c r="I14" t="s">
        <v>80</v>
      </c>
      <c r="J14" s="17">
        <v>4.7E-2</v>
      </c>
      <c r="K14" s="14">
        <f>AVERAGE(0.3,0.4)</f>
        <v>0.35</v>
      </c>
    </row>
    <row r="15" spans="9:15">
      <c r="I15" t="s">
        <v>81</v>
      </c>
      <c r="J15" s="17">
        <v>3.9E-2</v>
      </c>
      <c r="K15" s="14">
        <f>AVERAGE(0.1,0.2)</f>
        <v>0.15000000000000002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2796E-BC60-4177-9FEB-8E9F5425DFFA}">
  <dimension ref="A2:I21"/>
  <sheetViews>
    <sheetView workbookViewId="0">
      <selection activeCell="G12" sqref="G12"/>
    </sheetView>
  </sheetViews>
  <sheetFormatPr defaultRowHeight="14.5"/>
  <sheetData>
    <row r="2" spans="1:9">
      <c r="A2" s="22" t="s">
        <v>159</v>
      </c>
      <c r="B2" s="21"/>
      <c r="C2" s="21"/>
      <c r="D2" s="21"/>
      <c r="E2" s="21"/>
      <c r="F2" s="21"/>
      <c r="G2" s="21"/>
      <c r="H2" s="21"/>
      <c r="I2" s="21"/>
    </row>
    <row r="3" spans="1:9">
      <c r="B3" t="s">
        <v>152</v>
      </c>
      <c r="E3" t="s">
        <v>158</v>
      </c>
      <c r="G3" t="s">
        <v>167</v>
      </c>
    </row>
    <row r="4" spans="1:9">
      <c r="A4" t="s">
        <v>148</v>
      </c>
      <c r="B4">
        <v>425</v>
      </c>
      <c r="C4" t="s">
        <v>154</v>
      </c>
      <c r="E4">
        <f>AVERAGE(B4:B6)</f>
        <v>421.66666666666669</v>
      </c>
      <c r="G4">
        <f>B9/E4</f>
        <v>0.71146245059288538</v>
      </c>
    </row>
    <row r="5" spans="1:9">
      <c r="A5" t="s">
        <v>156</v>
      </c>
      <c r="B5">
        <v>440</v>
      </c>
      <c r="C5" t="s">
        <v>154</v>
      </c>
    </row>
    <row r="6" spans="1:9">
      <c r="A6" t="s">
        <v>157</v>
      </c>
      <c r="B6">
        <v>400</v>
      </c>
      <c r="C6" t="s">
        <v>154</v>
      </c>
      <c r="G6" t="s">
        <v>175</v>
      </c>
    </row>
    <row r="7" spans="1:9">
      <c r="B7" t="s">
        <v>155</v>
      </c>
      <c r="G7">
        <f>1/G4</f>
        <v>1.4055555555555554</v>
      </c>
    </row>
    <row r="8" spans="1:9">
      <c r="A8" t="s">
        <v>153</v>
      </c>
      <c r="B8">
        <v>361</v>
      </c>
      <c r="C8" t="s">
        <v>154</v>
      </c>
      <c r="E8">
        <f>AVERAGE(B8:B9)</f>
        <v>330.5</v>
      </c>
    </row>
    <row r="9" spans="1:9">
      <c r="A9" t="s">
        <v>156</v>
      </c>
      <c r="B9">
        <v>300</v>
      </c>
      <c r="C9" t="s">
        <v>154</v>
      </c>
    </row>
    <row r="11" spans="1:9">
      <c r="A11" s="22" t="s">
        <v>160</v>
      </c>
      <c r="B11" s="21"/>
      <c r="C11" s="21"/>
      <c r="D11" s="21"/>
      <c r="E11" s="21"/>
      <c r="F11" s="21"/>
      <c r="G11" s="21"/>
      <c r="H11" s="21"/>
      <c r="I11" s="21"/>
    </row>
    <row r="12" spans="1:9">
      <c r="B12" t="s">
        <v>168</v>
      </c>
    </row>
    <row r="13" spans="1:9">
      <c r="A13" t="s">
        <v>161</v>
      </c>
      <c r="B13" s="23">
        <v>0.504</v>
      </c>
      <c r="G13" t="s">
        <v>175</v>
      </c>
    </row>
    <row r="14" spans="1:9">
      <c r="B14" t="s">
        <v>169</v>
      </c>
      <c r="G14">
        <f>1/B13</f>
        <v>1.9841269841269842</v>
      </c>
    </row>
    <row r="15" spans="1:9">
      <c r="A15" t="s">
        <v>161</v>
      </c>
      <c r="B15" s="23">
        <v>0.55100000000000005</v>
      </c>
    </row>
    <row r="17" spans="1:9">
      <c r="A17" s="22" t="s">
        <v>163</v>
      </c>
      <c r="B17" s="22"/>
      <c r="C17" s="22"/>
      <c r="D17" s="22"/>
      <c r="E17" s="22"/>
      <c r="F17" s="22"/>
      <c r="G17" s="22"/>
      <c r="H17" s="22"/>
      <c r="I17" s="22"/>
    </row>
    <row r="18" spans="1:9">
      <c r="B18" t="s">
        <v>164</v>
      </c>
      <c r="G18" t="s">
        <v>167</v>
      </c>
    </row>
    <row r="19" spans="1:9">
      <c r="B19">
        <v>1100</v>
      </c>
      <c r="C19" t="s">
        <v>165</v>
      </c>
      <c r="G19">
        <f>B21/B19</f>
        <v>0.72090909090909094</v>
      </c>
    </row>
    <row r="20" spans="1:9">
      <c r="B20" t="s">
        <v>166</v>
      </c>
      <c r="G20" t="s">
        <v>175</v>
      </c>
    </row>
    <row r="21" spans="1:9">
      <c r="B21">
        <v>793</v>
      </c>
      <c r="C21" t="s">
        <v>165</v>
      </c>
      <c r="G21">
        <f>1/G19</f>
        <v>1.3871374527112232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DABE4-2D06-45EB-ACBA-FE104E27935D}">
  <dimension ref="B2:N32"/>
  <sheetViews>
    <sheetView zoomScale="118" workbookViewId="0">
      <selection activeCell="O8" sqref="O8"/>
    </sheetView>
  </sheetViews>
  <sheetFormatPr defaultRowHeight="14.5"/>
  <cols>
    <col min="10" max="11" width="12" bestFit="1" customWidth="1"/>
  </cols>
  <sheetData>
    <row r="2" spans="2:11">
      <c r="B2" t="s">
        <v>121</v>
      </c>
    </row>
    <row r="3" spans="2:11">
      <c r="J3" t="s">
        <v>143</v>
      </c>
      <c r="K3" t="s">
        <v>119</v>
      </c>
    </row>
    <row r="4" spans="2:11">
      <c r="I4">
        <v>0.7</v>
      </c>
      <c r="J4">
        <f>AVERAGE(I4:I10)</f>
        <v>1.1142857142857143</v>
      </c>
      <c r="K4" s="1">
        <f>1/J4</f>
        <v>0.89743589743589736</v>
      </c>
    </row>
    <row r="5" spans="2:11">
      <c r="I5">
        <v>0.74</v>
      </c>
    </row>
    <row r="6" spans="2:11">
      <c r="I6">
        <v>0.79</v>
      </c>
    </row>
    <row r="7" spans="2:11">
      <c r="I7">
        <v>1.42</v>
      </c>
    </row>
    <row r="8" spans="2:11">
      <c r="I8">
        <v>1.42</v>
      </c>
    </row>
    <row r="9" spans="2:11">
      <c r="I9">
        <v>1.35</v>
      </c>
    </row>
    <row r="10" spans="2:11">
      <c r="I10">
        <v>1.38</v>
      </c>
    </row>
    <row r="18" spans="2:14">
      <c r="B18" t="s">
        <v>120</v>
      </c>
    </row>
    <row r="19" spans="2:14">
      <c r="B19" t="s">
        <v>147</v>
      </c>
    </row>
    <row r="21" spans="2:14">
      <c r="I21" s="19" t="s">
        <v>122</v>
      </c>
    </row>
    <row r="23" spans="2:14">
      <c r="J23" t="s">
        <v>132</v>
      </c>
      <c r="K23" t="s">
        <v>141</v>
      </c>
      <c r="L23" t="s">
        <v>142</v>
      </c>
      <c r="M23" t="s">
        <v>143</v>
      </c>
      <c r="N23" t="s">
        <v>144</v>
      </c>
    </row>
    <row r="24" spans="2:14">
      <c r="J24" t="s">
        <v>133</v>
      </c>
      <c r="K24">
        <v>0.79</v>
      </c>
      <c r="L24">
        <f>3.516/K24</f>
        <v>4.4506329113924048</v>
      </c>
      <c r="M24">
        <f>AVERAGE(L24:L27,L29:L32)</f>
        <v>5.257859508045363</v>
      </c>
      <c r="N24">
        <f>1/M24</f>
        <v>0.19019146450563021</v>
      </c>
    </row>
    <row r="25" spans="2:14">
      <c r="J25" t="s">
        <v>134</v>
      </c>
      <c r="K25">
        <v>0.79</v>
      </c>
      <c r="L25">
        <f t="shared" ref="L25:L32" si="0">3.516/K25</f>
        <v>4.4506329113924048</v>
      </c>
    </row>
    <row r="26" spans="2:14">
      <c r="J26" t="s">
        <v>135</v>
      </c>
      <c r="K26">
        <v>0.71699999999999997</v>
      </c>
      <c r="L26">
        <f t="shared" si="0"/>
        <v>4.9037656903765692</v>
      </c>
    </row>
    <row r="27" spans="2:14">
      <c r="J27" t="s">
        <v>136</v>
      </c>
      <c r="K27">
        <v>0.63900000000000001</v>
      </c>
      <c r="L27">
        <f t="shared" si="0"/>
        <v>5.5023474178403751</v>
      </c>
    </row>
    <row r="28" spans="2:14">
      <c r="J28" t="s">
        <v>137</v>
      </c>
    </row>
    <row r="29" spans="2:14">
      <c r="J29" t="s">
        <v>138</v>
      </c>
      <c r="K29">
        <v>0.70299999999999996</v>
      </c>
      <c r="L29">
        <f t="shared" si="0"/>
        <v>5.0014224751066862</v>
      </c>
    </row>
    <row r="30" spans="2:14">
      <c r="J30" t="s">
        <v>135</v>
      </c>
      <c r="K30">
        <v>0.63400000000000001</v>
      </c>
      <c r="L30">
        <f t="shared" si="0"/>
        <v>5.5457413249211358</v>
      </c>
    </row>
    <row r="31" spans="2:14">
      <c r="J31" t="s">
        <v>139</v>
      </c>
      <c r="K31">
        <v>0.57599999999999996</v>
      </c>
      <c r="L31">
        <f t="shared" si="0"/>
        <v>6.104166666666667</v>
      </c>
    </row>
    <row r="32" spans="2:14">
      <c r="J32" t="s">
        <v>140</v>
      </c>
      <c r="K32">
        <v>0.57599999999999996</v>
      </c>
      <c r="L32">
        <f t="shared" si="0"/>
        <v>6.104166666666667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F9617-11C7-43F5-9981-C4D048784240}">
  <dimension ref="A2:B13"/>
  <sheetViews>
    <sheetView workbookViewId="0">
      <selection activeCell="B14" sqref="B14"/>
    </sheetView>
  </sheetViews>
  <sheetFormatPr defaultRowHeight="14.5"/>
  <sheetData>
    <row r="2" spans="1:2">
      <c r="B2" t="s">
        <v>162</v>
      </c>
    </row>
    <row r="3" spans="1:2">
      <c r="A3" t="s">
        <v>170</v>
      </c>
      <c r="B3" s="11">
        <v>0.61</v>
      </c>
    </row>
    <row r="4" spans="1:2">
      <c r="B4" t="s">
        <v>171</v>
      </c>
    </row>
    <row r="5" spans="1:2">
      <c r="A5" t="s">
        <v>170</v>
      </c>
      <c r="B5" s="11">
        <v>0.7</v>
      </c>
    </row>
    <row r="7" spans="1:2">
      <c r="B7" t="s">
        <v>162</v>
      </c>
    </row>
    <row r="8" spans="1:2">
      <c r="A8" t="s">
        <v>172</v>
      </c>
      <c r="B8" s="11">
        <v>0.61</v>
      </c>
    </row>
    <row r="9" spans="1:2">
      <c r="B9" t="s">
        <v>171</v>
      </c>
    </row>
    <row r="10" spans="1:2">
      <c r="A10" t="s">
        <v>172</v>
      </c>
      <c r="B10" s="11">
        <v>0.72</v>
      </c>
    </row>
    <row r="12" spans="1:2">
      <c r="A12" t="s">
        <v>173</v>
      </c>
      <c r="B12" s="11">
        <f>AVERAGE(B8,B3)</f>
        <v>0.61</v>
      </c>
    </row>
    <row r="13" spans="1:2">
      <c r="A13" t="s">
        <v>174</v>
      </c>
      <c r="B13">
        <f>1/B12</f>
        <v>1.639344262295082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927FF-B932-47A4-981F-D26F3F21BFFF}">
  <dimension ref="A1:T43"/>
  <sheetViews>
    <sheetView zoomScale="76" zoomScaleNormal="85" workbookViewId="0">
      <selection activeCell="E17" sqref="E17"/>
    </sheetView>
  </sheetViews>
  <sheetFormatPr defaultRowHeight="14.5"/>
  <cols>
    <col min="1" max="1" width="22" bestFit="1" customWidth="1"/>
    <col min="2" max="2" width="11.1796875" bestFit="1" customWidth="1"/>
    <col min="3" max="3" width="14.453125" bestFit="1" customWidth="1"/>
    <col min="4" max="4" width="13.1796875" bestFit="1" customWidth="1"/>
    <col min="5" max="5" width="13.453125" bestFit="1" customWidth="1"/>
  </cols>
  <sheetData>
    <row r="1" spans="1:16">
      <c r="A1" s="24" t="s">
        <v>177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>
      <c r="A2" s="4" t="s">
        <v>69</v>
      </c>
      <c r="B2" s="4"/>
      <c r="C2" s="4"/>
      <c r="D2" s="4"/>
      <c r="E2" s="4"/>
      <c r="F2" s="4"/>
    </row>
    <row r="3" spans="1:16">
      <c r="A3" s="25" t="s">
        <v>178</v>
      </c>
      <c r="B3" s="25" t="s">
        <v>179</v>
      </c>
      <c r="C3" t="s">
        <v>175</v>
      </c>
      <c r="D3" t="s">
        <v>180</v>
      </c>
      <c r="E3" t="s">
        <v>181</v>
      </c>
      <c r="F3" t="s">
        <v>182</v>
      </c>
      <c r="H3" t="s">
        <v>183</v>
      </c>
    </row>
    <row r="4" spans="1:16">
      <c r="A4" s="26" t="s">
        <v>184</v>
      </c>
      <c r="B4" s="27">
        <v>0.30299999999999999</v>
      </c>
      <c r="C4" s="12">
        <f>1/B4</f>
        <v>3.3003300330033003</v>
      </c>
      <c r="D4">
        <v>58.8</v>
      </c>
      <c r="E4">
        <v>2500</v>
      </c>
      <c r="F4">
        <v>19</v>
      </c>
      <c r="H4" s="2" t="s">
        <v>185</v>
      </c>
    </row>
    <row r="5" spans="1:16">
      <c r="A5" s="25" t="s">
        <v>186</v>
      </c>
      <c r="B5" s="27">
        <f>AVERAGE(0.35,0.305,0.266)</f>
        <v>0.307</v>
      </c>
      <c r="C5" s="12">
        <f>1/B5</f>
        <v>3.2573289902280131</v>
      </c>
      <c r="D5" s="28" t="s">
        <v>187</v>
      </c>
      <c r="E5">
        <v>2100</v>
      </c>
      <c r="F5">
        <v>20</v>
      </c>
    </row>
    <row r="7" spans="1:16">
      <c r="A7" s="4" t="s">
        <v>188</v>
      </c>
      <c r="B7" s="29"/>
      <c r="C7" s="29"/>
      <c r="D7" s="29"/>
      <c r="E7" s="29"/>
      <c r="F7" s="29"/>
    </row>
    <row r="8" spans="1:16">
      <c r="A8" s="25" t="s">
        <v>178</v>
      </c>
      <c r="B8" s="25" t="s">
        <v>179</v>
      </c>
      <c r="C8" t="s">
        <v>175</v>
      </c>
    </row>
    <row r="9" spans="1:16">
      <c r="A9" s="25" t="s">
        <v>189</v>
      </c>
      <c r="B9">
        <f>AVERAGE(0.836,0.885,0.905)</f>
        <v>0.87533333333333341</v>
      </c>
      <c r="C9">
        <f>1/B9</f>
        <v>1.1424219345011424</v>
      </c>
      <c r="D9" s="28" t="s">
        <v>190</v>
      </c>
      <c r="E9">
        <v>2600</v>
      </c>
      <c r="F9">
        <v>21</v>
      </c>
    </row>
    <row r="10" spans="1:16">
      <c r="A10" s="26" t="s">
        <v>191</v>
      </c>
      <c r="B10">
        <f>B9*(1-AVERAGE(0.1,0.15))</f>
        <v>0.76591666666666669</v>
      </c>
      <c r="C10">
        <f>1/B10</f>
        <v>1.3056250680013055</v>
      </c>
      <c r="D10" s="28"/>
      <c r="F10" s="28" t="s">
        <v>192</v>
      </c>
    </row>
    <row r="11" spans="1:16">
      <c r="A11" s="25" t="s">
        <v>193</v>
      </c>
      <c r="B11">
        <f>1/C11</f>
        <v>0.64890826648064182</v>
      </c>
      <c r="C11">
        <f>AVERAGE(C4:C5)*(1-AVERAGE(0.52,0.54))</f>
        <v>1.5410498704593585</v>
      </c>
      <c r="D11">
        <v>50</v>
      </c>
      <c r="F11">
        <v>23</v>
      </c>
    </row>
    <row r="12" spans="1:16">
      <c r="A12" s="25" t="s">
        <v>194</v>
      </c>
      <c r="B12">
        <f>1/C12</f>
        <v>0.72615925058548003</v>
      </c>
      <c r="C12">
        <f>AVERAGE(C4:C5)*(1-AVERAGE(0.58))</f>
        <v>1.3771083948785758</v>
      </c>
      <c r="D12" s="28"/>
      <c r="F12">
        <v>24</v>
      </c>
    </row>
    <row r="14" spans="1:16">
      <c r="A14" s="4" t="s">
        <v>195</v>
      </c>
      <c r="B14" s="4"/>
      <c r="C14" s="4"/>
      <c r="D14" s="4"/>
      <c r="E14" s="4"/>
      <c r="F14" s="4"/>
    </row>
    <row r="15" spans="1:16">
      <c r="A15" s="25" t="s">
        <v>196</v>
      </c>
      <c r="B15" s="14">
        <f>(AVERAGE(C4:C5)-AVERAGE(C10:C12))/AVERAGE(C4:C5)</f>
        <v>0.57060049240377109</v>
      </c>
    </row>
    <row r="16" spans="1:16">
      <c r="A16" s="25"/>
      <c r="B16" s="14"/>
    </row>
    <row r="17" spans="8:8">
      <c r="H17" s="2"/>
    </row>
    <row r="19" spans="8:8">
      <c r="H19" t="s">
        <v>197</v>
      </c>
    </row>
    <row r="20" spans="8:8">
      <c r="H20" s="2" t="s">
        <v>185</v>
      </c>
    </row>
    <row r="33" spans="1:20">
      <c r="A33" t="s">
        <v>198</v>
      </c>
      <c r="D33" t="s">
        <v>199</v>
      </c>
    </row>
    <row r="34" spans="1:20">
      <c r="A34" t="s">
        <v>200</v>
      </c>
      <c r="B34" t="s">
        <v>201</v>
      </c>
      <c r="D34" t="s">
        <v>202</v>
      </c>
      <c r="E34" t="s">
        <v>203</v>
      </c>
      <c r="F34" t="s">
        <v>204</v>
      </c>
      <c r="G34" t="s">
        <v>205</v>
      </c>
      <c r="H34" t="s">
        <v>206</v>
      </c>
      <c r="I34" t="s">
        <v>207</v>
      </c>
      <c r="J34" t="s">
        <v>208</v>
      </c>
      <c r="M34" t="s">
        <v>209</v>
      </c>
      <c r="P34" t="s">
        <v>210</v>
      </c>
      <c r="S34" t="s">
        <v>211</v>
      </c>
      <c r="T34" t="s">
        <v>212</v>
      </c>
    </row>
    <row r="35" spans="1:20">
      <c r="A35" t="s">
        <v>213</v>
      </c>
      <c r="B35" t="s">
        <v>214</v>
      </c>
      <c r="C35" t="s">
        <v>215</v>
      </c>
      <c r="J35" t="s">
        <v>216</v>
      </c>
      <c r="K35" t="s">
        <v>217</v>
      </c>
      <c r="L35" t="s">
        <v>218</v>
      </c>
      <c r="M35" t="s">
        <v>216</v>
      </c>
      <c r="N35" t="s">
        <v>217</v>
      </c>
      <c r="O35" t="s">
        <v>218</v>
      </c>
      <c r="P35" t="s">
        <v>216</v>
      </c>
      <c r="Q35" t="s">
        <v>217</v>
      </c>
      <c r="R35" t="s">
        <v>218</v>
      </c>
    </row>
    <row r="36" spans="1:20">
      <c r="A36" t="s">
        <v>219</v>
      </c>
      <c r="B36" s="18">
        <f>AVERAGE(S36:S37)</f>
        <v>41.68</v>
      </c>
      <c r="C36" s="18">
        <f>AVERAGE(T36:T37)</f>
        <v>1840.7550000000001</v>
      </c>
      <c r="D36" s="18">
        <v>213</v>
      </c>
      <c r="E36" s="3">
        <v>0.38</v>
      </c>
      <c r="F36" s="18">
        <f>C36*$E$4/$E$5*2*PI()/60</f>
        <v>229.48025337534443</v>
      </c>
      <c r="G36" s="18">
        <f>C36*$E$9/$E$5</f>
        <v>2279.0300000000002</v>
      </c>
      <c r="H36" s="18">
        <f>E36*D36</f>
        <v>80.94</v>
      </c>
      <c r="I36" s="18">
        <f>150*E36</f>
        <v>57</v>
      </c>
      <c r="J36">
        <v>8</v>
      </c>
      <c r="K36">
        <v>22</v>
      </c>
      <c r="L36">
        <v>70</v>
      </c>
      <c r="M36">
        <v>8</v>
      </c>
      <c r="N36">
        <v>23</v>
      </c>
      <c r="O36">
        <v>52</v>
      </c>
      <c r="P36">
        <v>884</v>
      </c>
      <c r="Q36">
        <v>1711</v>
      </c>
      <c r="R36">
        <v>2009</v>
      </c>
      <c r="S36">
        <f>SUMPRODUCT(J36:L36,M36:O36)/SUM(J36:L36)</f>
        <v>42.1</v>
      </c>
      <c r="T36">
        <f>SUMPRODUCT(P36:R36,J36:L36)/SUM(J36:L36)</f>
        <v>1853.44</v>
      </c>
    </row>
    <row r="37" spans="1:20">
      <c r="B37" s="18"/>
      <c r="C37" s="18"/>
      <c r="D37" s="18"/>
      <c r="E37" s="3"/>
      <c r="J37">
        <v>8</v>
      </c>
      <c r="K37">
        <v>21</v>
      </c>
      <c r="L37">
        <v>71</v>
      </c>
      <c r="M37">
        <v>9</v>
      </c>
      <c r="N37">
        <v>24</v>
      </c>
      <c r="O37">
        <v>50</v>
      </c>
      <c r="P37">
        <v>955</v>
      </c>
      <c r="Q37">
        <v>1718</v>
      </c>
      <c r="R37">
        <v>1959</v>
      </c>
      <c r="S37">
        <f t="shared" ref="S37:S43" si="0">SUMPRODUCT(J37:L37,M37:O37)/SUM(J37:L37)</f>
        <v>41.26</v>
      </c>
      <c r="T37">
        <f t="shared" ref="T37:T43" si="1">SUMPRODUCT(P37:R37,J37:L37)/SUM(J37:L37)</f>
        <v>1828.07</v>
      </c>
    </row>
    <row r="38" spans="1:20">
      <c r="A38" t="s">
        <v>220</v>
      </c>
      <c r="B38" s="18">
        <f>AVERAGE(S38:S40)</f>
        <v>55.79</v>
      </c>
      <c r="C38" s="18">
        <f>AVERAGE(T38:T39)</f>
        <v>1791.8899999999999</v>
      </c>
      <c r="D38" s="18">
        <v>215</v>
      </c>
      <c r="E38" s="3">
        <v>0.48</v>
      </c>
      <c r="F38" s="18">
        <f>C38*$E$4/$E$5*2*PI()/60</f>
        <v>223.3884309540085</v>
      </c>
      <c r="G38" s="18">
        <f>C38*$E$9/$E$5</f>
        <v>2218.5304761904763</v>
      </c>
      <c r="H38" s="18">
        <f>E38*D38</f>
        <v>103.2</v>
      </c>
      <c r="I38" s="18">
        <f>150*E38</f>
        <v>72</v>
      </c>
      <c r="J38">
        <v>4</v>
      </c>
      <c r="K38">
        <v>25</v>
      </c>
      <c r="L38">
        <v>71</v>
      </c>
      <c r="M38">
        <v>13</v>
      </c>
      <c r="N38">
        <v>33</v>
      </c>
      <c r="O38">
        <v>66</v>
      </c>
      <c r="P38">
        <v>1455</v>
      </c>
      <c r="Q38">
        <v>1568</v>
      </c>
      <c r="R38">
        <v>1767</v>
      </c>
      <c r="S38">
        <f t="shared" si="0"/>
        <v>55.63</v>
      </c>
      <c r="T38">
        <f t="shared" si="1"/>
        <v>1704.77</v>
      </c>
    </row>
    <row r="39" spans="1:20">
      <c r="B39" s="18"/>
      <c r="C39" s="18"/>
      <c r="D39" s="18"/>
      <c r="E39" s="3"/>
      <c r="J39">
        <v>3</v>
      </c>
      <c r="K39">
        <v>27</v>
      </c>
      <c r="L39">
        <v>70</v>
      </c>
      <c r="M39">
        <v>13</v>
      </c>
      <c r="N39">
        <v>35</v>
      </c>
      <c r="O39">
        <v>68</v>
      </c>
      <c r="P39">
        <v>1543</v>
      </c>
      <c r="Q39">
        <v>1696</v>
      </c>
      <c r="R39">
        <v>1964</v>
      </c>
      <c r="S39">
        <f t="shared" si="0"/>
        <v>57.44</v>
      </c>
      <c r="T39">
        <f t="shared" si="1"/>
        <v>1879.01</v>
      </c>
    </row>
    <row r="40" spans="1:20">
      <c r="B40" s="18"/>
      <c r="C40" s="18"/>
      <c r="D40" s="18"/>
      <c r="E40" s="3"/>
      <c r="J40">
        <v>3</v>
      </c>
      <c r="K40">
        <v>24</v>
      </c>
      <c r="L40">
        <v>73</v>
      </c>
      <c r="M40">
        <v>13</v>
      </c>
      <c r="N40">
        <v>33</v>
      </c>
      <c r="O40">
        <v>63</v>
      </c>
      <c r="P40">
        <v>905</v>
      </c>
      <c r="Q40">
        <v>1541</v>
      </c>
      <c r="R40">
        <v>1827</v>
      </c>
      <c r="S40">
        <f t="shared" si="0"/>
        <v>54.3</v>
      </c>
      <c r="T40">
        <f t="shared" si="1"/>
        <v>1730.7</v>
      </c>
    </row>
    <row r="41" spans="1:20">
      <c r="A41" t="s">
        <v>221</v>
      </c>
      <c r="B41" s="18">
        <f>AVERAGE(S41:S43)</f>
        <v>73.423333333333332</v>
      </c>
      <c r="C41" s="18">
        <f>AVERAGE(T41:T42)</f>
        <v>1395.97</v>
      </c>
      <c r="D41" s="18">
        <v>220</v>
      </c>
      <c r="E41" s="3">
        <v>0.59</v>
      </c>
      <c r="F41" s="18">
        <f>C41*$E$4/$E$5*2*PI()/60</f>
        <v>174.0305197076089</v>
      </c>
      <c r="G41" s="18">
        <f>C41*$E$9/$E$5</f>
        <v>1728.3438095238096</v>
      </c>
      <c r="H41" s="18">
        <f>E41*D41</f>
        <v>129.79999999999998</v>
      </c>
      <c r="I41" s="18">
        <f>150*E41</f>
        <v>88.5</v>
      </c>
      <c r="J41">
        <v>41</v>
      </c>
      <c r="K41">
        <v>59</v>
      </c>
      <c r="M41">
        <v>37</v>
      </c>
      <c r="N41">
        <v>76</v>
      </c>
      <c r="P41">
        <v>904</v>
      </c>
      <c r="Q41">
        <v>1514</v>
      </c>
      <c r="S41">
        <f t="shared" si="0"/>
        <v>60.01</v>
      </c>
      <c r="T41">
        <f t="shared" si="1"/>
        <v>1263.9000000000001</v>
      </c>
    </row>
    <row r="42" spans="1:20">
      <c r="J42">
        <v>4</v>
      </c>
      <c r="K42">
        <v>96</v>
      </c>
      <c r="M42">
        <v>36</v>
      </c>
      <c r="N42">
        <v>81</v>
      </c>
      <c r="P42">
        <v>1433</v>
      </c>
      <c r="Q42">
        <v>1532</v>
      </c>
      <c r="S42">
        <f t="shared" si="0"/>
        <v>79.2</v>
      </c>
      <c r="T42">
        <f t="shared" si="1"/>
        <v>1528.04</v>
      </c>
    </row>
    <row r="43" spans="1:20">
      <c r="J43">
        <v>2</v>
      </c>
      <c r="K43">
        <v>98</v>
      </c>
      <c r="M43">
        <v>35</v>
      </c>
      <c r="N43">
        <v>82</v>
      </c>
      <c r="P43">
        <v>1492</v>
      </c>
      <c r="Q43">
        <v>1545</v>
      </c>
      <c r="S43">
        <f t="shared" si="0"/>
        <v>81.06</v>
      </c>
      <c r="T43">
        <f t="shared" si="1"/>
        <v>1543.94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4E7A8-D38C-4D74-8F6C-0E5719445AE5}">
  <sheetPr>
    <tabColor theme="1" tint="0.34998626667073579"/>
  </sheetPr>
  <dimension ref="A1:F8"/>
  <sheetViews>
    <sheetView zoomScaleNormal="100" workbookViewId="0">
      <selection activeCell="E17" sqref="E17"/>
    </sheetView>
  </sheetViews>
  <sheetFormatPr defaultRowHeight="14.5"/>
  <cols>
    <col min="1" max="1" width="21.26953125" style="25" customWidth="1"/>
    <col min="2" max="2" width="44.54296875" customWidth="1"/>
    <col min="3" max="3" width="16.54296875" style="25" customWidth="1"/>
    <col min="4" max="4" width="49.26953125" customWidth="1"/>
    <col min="5" max="5" width="58.453125" customWidth="1"/>
    <col min="6" max="6" width="63.81640625" customWidth="1"/>
  </cols>
  <sheetData>
    <row r="1" spans="1:6" s="1" customFormat="1">
      <c r="A1" s="30" t="s">
        <v>222</v>
      </c>
      <c r="B1" s="4" t="s">
        <v>223</v>
      </c>
      <c r="C1" s="31" t="s">
        <v>224</v>
      </c>
      <c r="D1" s="4" t="s">
        <v>225</v>
      </c>
      <c r="E1" s="4" t="s">
        <v>226</v>
      </c>
      <c r="F1" s="4" t="s">
        <v>227</v>
      </c>
    </row>
    <row r="2" spans="1:6">
      <c r="A2" s="25">
        <v>19</v>
      </c>
      <c r="B2" t="s">
        <v>228</v>
      </c>
      <c r="C2" s="25">
        <v>2014</v>
      </c>
      <c r="D2" t="s">
        <v>229</v>
      </c>
      <c r="E2" s="16" t="s">
        <v>230</v>
      </c>
    </row>
    <row r="3" spans="1:6">
      <c r="A3" s="25">
        <v>20</v>
      </c>
      <c r="B3" t="s">
        <v>231</v>
      </c>
      <c r="C3" s="25">
        <v>2016</v>
      </c>
      <c r="D3" t="s">
        <v>232</v>
      </c>
      <c r="E3" s="16" t="s">
        <v>233</v>
      </c>
    </row>
    <row r="4" spans="1:6">
      <c r="A4" s="25">
        <v>21</v>
      </c>
      <c r="B4" t="s">
        <v>234</v>
      </c>
      <c r="C4" s="25">
        <v>2020</v>
      </c>
      <c r="D4" t="s">
        <v>235</v>
      </c>
      <c r="E4" s="16" t="s">
        <v>236</v>
      </c>
    </row>
    <row r="5" spans="1:6">
      <c r="A5" s="25">
        <v>22</v>
      </c>
      <c r="B5" t="s">
        <v>237</v>
      </c>
      <c r="C5" s="25">
        <v>2022</v>
      </c>
      <c r="D5" t="s">
        <v>238</v>
      </c>
      <c r="E5" s="16" t="s">
        <v>239</v>
      </c>
    </row>
    <row r="6" spans="1:6">
      <c r="A6" s="25">
        <v>23</v>
      </c>
      <c r="B6" t="s">
        <v>240</v>
      </c>
      <c r="C6" s="25">
        <v>2021</v>
      </c>
      <c r="D6" t="s">
        <v>241</v>
      </c>
      <c r="E6" s="16" t="s">
        <v>242</v>
      </c>
    </row>
    <row r="7" spans="1:6">
      <c r="A7" s="25">
        <v>24</v>
      </c>
      <c r="B7" t="s">
        <v>243</v>
      </c>
      <c r="C7" s="25">
        <v>2018</v>
      </c>
      <c r="D7" t="s">
        <v>244</v>
      </c>
      <c r="E7" s="16" t="s">
        <v>245</v>
      </c>
    </row>
    <row r="8" spans="1:6">
      <c r="A8" s="25">
        <v>25</v>
      </c>
      <c r="B8" t="s">
        <v>246</v>
      </c>
      <c r="C8" s="25">
        <v>2015</v>
      </c>
      <c r="D8" t="s">
        <v>247</v>
      </c>
      <c r="E8" s="16" t="s">
        <v>248</v>
      </c>
    </row>
  </sheetData>
  <hyperlinks>
    <hyperlink ref="E2" r:id="rId1" xr:uid="{F030474D-2471-411D-A5DB-2465B50281A4}"/>
    <hyperlink ref="E3" r:id="rId2" xr:uid="{7581AE9F-10D7-47BB-9FC5-FBD56CC26639}"/>
    <hyperlink ref="E4" r:id="rId3" xr:uid="{22F06CAC-3534-4B3A-9B71-464A469D83E6}"/>
    <hyperlink ref="E5" r:id="rId4" xr:uid="{D56F411C-30EF-41FC-9CAE-88BC09391044}"/>
    <hyperlink ref="E6" r:id="rId5" xr:uid="{22F9CACC-4A72-499A-8058-F9C2F91522C3}"/>
    <hyperlink ref="E7" r:id="rId6" xr:uid="{69EF00AC-D000-4864-88A0-1F569DF528A6}"/>
    <hyperlink ref="E8" r:id="rId7" xr:uid="{409FB260-F32E-4257-9625-D3CC2ED2A46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BCB7-B0F6-4E3B-8F08-5A1471634CD0}">
  <sheetPr>
    <tabColor theme="3" tint="0.249977111117893"/>
  </sheetPr>
  <dimension ref="A1:I14"/>
  <sheetViews>
    <sheetView zoomScale="78" zoomScaleNormal="70" workbookViewId="0">
      <selection activeCell="F8" sqref="F8"/>
    </sheetView>
  </sheetViews>
  <sheetFormatPr defaultRowHeight="14.5"/>
  <cols>
    <col min="1" max="1" width="45" bestFit="1" customWidth="1"/>
    <col min="2" max="11" width="14.81640625" customWidth="1"/>
  </cols>
  <sheetData>
    <row r="1" spans="1:9">
      <c r="A1" s="2" t="s">
        <v>1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</row>
    <row r="2" spans="1:9">
      <c r="A2" t="s">
        <v>10</v>
      </c>
      <c r="B2" s="12">
        <f>'Heat pumps'!C25</f>
        <v>0.33333333333333331</v>
      </c>
      <c r="C2" s="12">
        <f>B2</f>
        <v>0.33333333333333331</v>
      </c>
      <c r="D2" s="12">
        <f>'Med Temp'!O5</f>
        <v>1.7209601371624521</v>
      </c>
      <c r="E2" s="12">
        <f>'High Temp'!G7</f>
        <v>1.4055555555555554</v>
      </c>
      <c r="F2" s="12">
        <f>Cooling!N24</f>
        <v>0.19019146450563021</v>
      </c>
      <c r="G2" s="12">
        <f>'Machine Drive'!J31</f>
        <v>1.1974603907252062</v>
      </c>
      <c r="H2" s="12">
        <f>Electrochemical!B13</f>
        <v>1.639344262295082</v>
      </c>
      <c r="I2" s="12">
        <f>AVERAGE(Other!C10:C12)</f>
        <v>1.4079277777797465</v>
      </c>
    </row>
    <row r="3" spans="1:9">
      <c r="A3" t="s">
        <v>11</v>
      </c>
      <c r="B3" s="12">
        <f>Boilers!D18</f>
        <v>1.2345679012345678</v>
      </c>
      <c r="C3" s="12">
        <f t="shared" ref="C3:C13" si="0">B3</f>
        <v>1.2345679012345678</v>
      </c>
      <c r="D3" s="12">
        <f>'Med Temp'!O6</f>
        <v>3.2715420655938083</v>
      </c>
      <c r="E3" s="12">
        <f>'High Temp'!G14</f>
        <v>1.9841269841269842</v>
      </c>
      <c r="F3" s="12">
        <f>Cooling!$K$4</f>
        <v>0.89743589743589736</v>
      </c>
      <c r="G3" s="12">
        <f>'Machine Drive'!$J$36</f>
        <v>2.5</v>
      </c>
      <c r="H3" s="12">
        <f>H2</f>
        <v>1.639344262295082</v>
      </c>
      <c r="I3" s="12">
        <f>AVERAGE(Other!C4:C5)</f>
        <v>3.2788295116156565</v>
      </c>
    </row>
    <row r="4" spans="1:9">
      <c r="A4" t="s">
        <v>12</v>
      </c>
      <c r="B4" s="12">
        <f>Boilers!D17</f>
        <v>1.3333333333333333</v>
      </c>
      <c r="C4" s="12">
        <f t="shared" si="0"/>
        <v>1.3333333333333333</v>
      </c>
      <c r="D4" s="12">
        <f>D3</f>
        <v>3.2715420655938083</v>
      </c>
      <c r="E4" s="12">
        <f>'High Temp'!G21</f>
        <v>1.3871374527112232</v>
      </c>
      <c r="F4" s="12">
        <f>Cooling!$K$4</f>
        <v>0.89743589743589736</v>
      </c>
      <c r="G4" s="12">
        <f>'Machine Drive'!$J$36</f>
        <v>2.5</v>
      </c>
      <c r="H4" s="12">
        <f t="shared" ref="H4:H13" si="1">H3</f>
        <v>1.639344262295082</v>
      </c>
      <c r="I4" s="12">
        <f>$I$3</f>
        <v>3.2788295116156565</v>
      </c>
    </row>
    <row r="5" spans="1:9">
      <c r="A5" t="s">
        <v>13</v>
      </c>
      <c r="B5" s="12">
        <f>Boilers!D23</f>
        <v>1.4285714285714286</v>
      </c>
      <c r="C5" s="12">
        <f t="shared" si="0"/>
        <v>1.4285714285714286</v>
      </c>
      <c r="D5" s="12">
        <f t="shared" ref="D5:D13" si="2">D4</f>
        <v>3.2715420655938083</v>
      </c>
      <c r="E5" s="12">
        <f>$E$3</f>
        <v>1.9841269841269842</v>
      </c>
      <c r="F5" s="12">
        <f>Cooling!$K$4</f>
        <v>0.89743589743589736</v>
      </c>
      <c r="G5" s="12">
        <f>'Machine Drive'!$J$36</f>
        <v>2.5</v>
      </c>
      <c r="H5" s="12">
        <f t="shared" si="1"/>
        <v>1.639344262295082</v>
      </c>
      <c r="I5" s="12">
        <f t="shared" ref="I5:I13" si="3">$I$3</f>
        <v>3.2788295116156565</v>
      </c>
    </row>
    <row r="6" spans="1:9">
      <c r="A6" t="s">
        <v>14</v>
      </c>
      <c r="B6" s="12">
        <f>Boilers!D20</f>
        <v>1.2048192771084338</v>
      </c>
      <c r="C6" s="12">
        <f t="shared" si="0"/>
        <v>1.2048192771084338</v>
      </c>
      <c r="D6" s="12">
        <f t="shared" si="2"/>
        <v>3.2715420655938083</v>
      </c>
      <c r="E6" s="12">
        <f t="shared" ref="E6:E10" si="4">$E$3</f>
        <v>1.9841269841269842</v>
      </c>
      <c r="F6" s="12">
        <f>Cooling!$K$4</f>
        <v>0.89743589743589736</v>
      </c>
      <c r="G6" s="12">
        <f>'Machine Drive'!$J$36</f>
        <v>2.5</v>
      </c>
      <c r="H6" s="12">
        <f t="shared" si="1"/>
        <v>1.639344262295082</v>
      </c>
      <c r="I6" s="12">
        <f t="shared" si="3"/>
        <v>3.2788295116156565</v>
      </c>
    </row>
    <row r="7" spans="1:9">
      <c r="A7" t="s">
        <v>15</v>
      </c>
      <c r="B7" s="20">
        <v>1.05</v>
      </c>
      <c r="C7" s="20">
        <f t="shared" si="0"/>
        <v>1.05</v>
      </c>
      <c r="D7" s="12">
        <f t="shared" si="2"/>
        <v>3.2715420655938083</v>
      </c>
      <c r="E7" s="12">
        <f t="shared" si="4"/>
        <v>1.9841269841269842</v>
      </c>
      <c r="F7" s="12">
        <f>Cooling!$K$4</f>
        <v>0.89743589743589736</v>
      </c>
      <c r="G7" s="12">
        <f>'Machine Drive'!$J$36</f>
        <v>2.5</v>
      </c>
      <c r="H7" s="12">
        <f t="shared" si="1"/>
        <v>1.639344262295082</v>
      </c>
      <c r="I7" s="12">
        <f t="shared" si="3"/>
        <v>3.2788295116156565</v>
      </c>
    </row>
    <row r="8" spans="1:9">
      <c r="A8" t="s">
        <v>16</v>
      </c>
      <c r="B8" s="12">
        <f>Boilers!D21</f>
        <v>1.2048192771084338</v>
      </c>
      <c r="C8" s="12">
        <f t="shared" si="0"/>
        <v>1.2048192771084338</v>
      </c>
      <c r="D8" s="12">
        <f t="shared" si="2"/>
        <v>3.2715420655938083</v>
      </c>
      <c r="E8" s="12">
        <f t="shared" si="4"/>
        <v>1.9841269841269842</v>
      </c>
      <c r="F8" s="12">
        <f>Cooling!$K$4</f>
        <v>0.89743589743589736</v>
      </c>
      <c r="G8" s="12">
        <f>'Machine Drive'!$J$36</f>
        <v>2.5</v>
      </c>
      <c r="H8" s="12">
        <f t="shared" si="1"/>
        <v>1.639344262295082</v>
      </c>
      <c r="I8" s="12">
        <f t="shared" si="3"/>
        <v>3.2788295116156565</v>
      </c>
    </row>
    <row r="9" spans="1:9">
      <c r="A9" t="s">
        <v>17</v>
      </c>
      <c r="B9" s="12">
        <f>Boilers!D21</f>
        <v>1.2048192771084338</v>
      </c>
      <c r="C9" s="12">
        <f t="shared" si="0"/>
        <v>1.2048192771084338</v>
      </c>
      <c r="D9" s="12">
        <f t="shared" si="2"/>
        <v>3.2715420655938083</v>
      </c>
      <c r="E9" s="12">
        <f t="shared" si="4"/>
        <v>1.9841269841269842</v>
      </c>
      <c r="F9" s="12">
        <f>Cooling!$K$4</f>
        <v>0.89743589743589736</v>
      </c>
      <c r="G9" s="12">
        <f>'Machine Drive'!$J$36</f>
        <v>2.5</v>
      </c>
      <c r="H9" s="12">
        <f t="shared" si="1"/>
        <v>1.639344262295082</v>
      </c>
      <c r="I9" s="12">
        <f t="shared" si="3"/>
        <v>3.2788295116156565</v>
      </c>
    </row>
    <row r="10" spans="1:9">
      <c r="A10" t="s">
        <v>18</v>
      </c>
      <c r="B10" s="12">
        <f>Boilers!D19</f>
        <v>1.2195121951219512</v>
      </c>
      <c r="C10" s="12">
        <f t="shared" si="0"/>
        <v>1.2195121951219512</v>
      </c>
      <c r="D10" s="12">
        <f t="shared" si="2"/>
        <v>3.2715420655938083</v>
      </c>
      <c r="E10" s="12">
        <f t="shared" si="4"/>
        <v>1.9841269841269842</v>
      </c>
      <c r="F10" s="12">
        <f>Cooling!$K$4</f>
        <v>0.89743589743589736</v>
      </c>
      <c r="G10" s="12">
        <f>'Machine Drive'!$J$36</f>
        <v>2.5</v>
      </c>
      <c r="H10" s="12">
        <f t="shared" si="1"/>
        <v>1.639344262295082</v>
      </c>
      <c r="I10" s="12">
        <f t="shared" si="3"/>
        <v>3.2788295116156565</v>
      </c>
    </row>
    <row r="11" spans="1:9">
      <c r="A11" t="s">
        <v>19</v>
      </c>
      <c r="B11" s="12">
        <f>Boilers!D17</f>
        <v>1.3333333333333333</v>
      </c>
      <c r="C11" s="12">
        <f t="shared" si="0"/>
        <v>1.3333333333333333</v>
      </c>
      <c r="D11" s="12">
        <f t="shared" si="2"/>
        <v>3.2715420655938083</v>
      </c>
      <c r="E11" s="12">
        <f>$E$4</f>
        <v>1.3871374527112232</v>
      </c>
      <c r="F11" s="12">
        <f>Cooling!$K$4</f>
        <v>0.89743589743589736</v>
      </c>
      <c r="G11" s="12">
        <f>'Machine Drive'!$J$36</f>
        <v>2.5</v>
      </c>
      <c r="H11" s="12">
        <f t="shared" si="1"/>
        <v>1.639344262295082</v>
      </c>
      <c r="I11" s="12">
        <f t="shared" si="3"/>
        <v>3.2788295116156565</v>
      </c>
    </row>
    <row r="12" spans="1:9">
      <c r="A12" t="s">
        <v>28</v>
      </c>
      <c r="B12" s="12">
        <f>Boilers!D17</f>
        <v>1.3333333333333333</v>
      </c>
      <c r="C12" s="12">
        <f t="shared" si="0"/>
        <v>1.3333333333333333</v>
      </c>
      <c r="D12" s="12">
        <f t="shared" si="2"/>
        <v>3.2715420655938083</v>
      </c>
      <c r="E12" s="12">
        <f t="shared" ref="E12:E13" si="5">$E$4</f>
        <v>1.3871374527112232</v>
      </c>
      <c r="F12" s="12">
        <f>Cooling!$K$4</f>
        <v>0.89743589743589736</v>
      </c>
      <c r="G12" s="12">
        <f>'Machine Drive'!$J$36</f>
        <v>2.5</v>
      </c>
      <c r="H12" s="12">
        <f t="shared" si="1"/>
        <v>1.639344262295082</v>
      </c>
      <c r="I12" s="12">
        <f t="shared" si="3"/>
        <v>3.2788295116156565</v>
      </c>
    </row>
    <row r="13" spans="1:9">
      <c r="A13" t="s">
        <v>29</v>
      </c>
      <c r="B13" s="12">
        <f>Boilers!D17</f>
        <v>1.3333333333333333</v>
      </c>
      <c r="C13" s="12">
        <f t="shared" si="0"/>
        <v>1.3333333333333333</v>
      </c>
      <c r="D13" s="12">
        <f t="shared" si="2"/>
        <v>3.2715420655938083</v>
      </c>
      <c r="E13" s="12">
        <f t="shared" si="5"/>
        <v>1.3871374527112232</v>
      </c>
      <c r="F13" s="12">
        <f>Cooling!$K$4</f>
        <v>0.89743589743589736</v>
      </c>
      <c r="G13" s="12">
        <f>'Machine Drive'!$J$36</f>
        <v>2.5</v>
      </c>
      <c r="H13" s="12">
        <f t="shared" si="1"/>
        <v>1.639344262295082</v>
      </c>
      <c r="I13" s="12">
        <f t="shared" si="3"/>
        <v>3.2788295116156565</v>
      </c>
    </row>
    <row r="14" spans="1:9">
      <c r="B14" s="3"/>
      <c r="C14" s="3"/>
      <c r="D14" s="3"/>
      <c r="E14" s="3"/>
      <c r="F14" s="3"/>
      <c r="G14" s="3"/>
      <c r="H14" s="3"/>
      <c r="I1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Efficiency Improvements</vt:lpstr>
      <vt:lpstr>Machine Drive</vt:lpstr>
      <vt:lpstr>Heat pumps</vt:lpstr>
      <vt:lpstr>Boilers</vt:lpstr>
      <vt:lpstr>Med Temp</vt:lpstr>
      <vt:lpstr>High Temp</vt:lpstr>
      <vt:lpstr>Cooling</vt:lpstr>
      <vt:lpstr>Electrochemical</vt:lpstr>
      <vt:lpstr>Other</vt:lpstr>
      <vt:lpstr>References</vt:lpstr>
      <vt:lpstr>SYIEUEFbIPaF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2024-08-07T00:42:30Z</dcterms:created>
  <dcterms:modified xsi:type="dcterms:W3CDTF">2025-11-22T16:35:59Z</dcterms:modified>
</cp:coreProperties>
</file>