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24226"/>
  <mc:AlternateContent xmlns:mc="http://schemas.openxmlformats.org/markup-compatibility/2006">
    <mc:Choice Requires="x15">
      <x15ac:absPath xmlns:x15ac="http://schemas.microsoft.com/office/spreadsheetml/2010/11/ac" url="C:\Users\MeganMahajan\Documents\eps-us\InputData\bldgs\SYCEU\"/>
    </mc:Choice>
  </mc:AlternateContent>
  <xr:revisionPtr revIDLastSave="0" documentId="13_ncr:1_{7DB5D545-E42A-48DE-B3AE-7C2A836C03C1}" xr6:coauthVersionLast="47" xr6:coauthVersionMax="47" xr10:uidLastSave="{00000000-0000-0000-0000-000000000000}"/>
  <bookViews>
    <workbookView xWindow="28680" yWindow="-120" windowWidth="29040" windowHeight="1752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SYCEU-urban-residential" sheetId="18" r:id="rId12"/>
    <sheet name="SYCEU-rural-residential" sheetId="30" r:id="rId13"/>
    <sheet name="SYCEU-commercial" sheetId="31" r:id="rId14"/>
  </sheets>
  <externalReferences>
    <externalReference r:id="rId15"/>
    <externalReference r:id="rId16"/>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202" i="34" l="1"/>
  <c r="AF202" i="34"/>
  <c r="AE202" i="34"/>
  <c r="W202" i="34"/>
  <c r="V202" i="34"/>
  <c r="U202" i="34"/>
  <c r="M202" i="34"/>
  <c r="L202" i="34"/>
  <c r="K202" i="34"/>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G199" i="34"/>
  <c r="AF199" i="34"/>
  <c r="AE199" i="34"/>
  <c r="W199" i="34"/>
  <c r="V199" i="34"/>
  <c r="U199" i="34"/>
  <c r="M199" i="34"/>
  <c r="L199" i="34"/>
  <c r="K199"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O195" i="34"/>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N194" i="34"/>
  <c r="O194" i="34" s="1"/>
  <c r="P194" i="34" s="1"/>
  <c r="Q194" i="34" s="1"/>
  <c r="R194" i="34" s="1"/>
  <c r="S194" i="34" s="1"/>
  <c r="M194" i="34"/>
  <c r="L194" i="34"/>
  <c r="K194" i="34"/>
  <c r="O193" i="34"/>
  <c r="P193" i="34" s="1"/>
  <c r="Q193" i="34" s="1"/>
  <c r="R193" i="34" s="1"/>
  <c r="S193" i="34" s="1"/>
  <c r="O192" i="34"/>
  <c r="P192" i="34" s="1"/>
  <c r="Q192" i="34" s="1"/>
  <c r="R192" i="34" s="1"/>
  <c r="S192" i="34" s="1"/>
  <c r="O191" i="34"/>
  <c r="P191" i="34" s="1"/>
  <c r="Q191" i="34" s="1"/>
  <c r="R191" i="34" s="1"/>
  <c r="S191" i="34" s="1"/>
  <c r="O190" i="34"/>
  <c r="P190" i="34" s="1"/>
  <c r="Q190" i="34" s="1"/>
  <c r="R190" i="34" s="1"/>
  <c r="S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O189" i="34" s="1"/>
  <c r="P189" i="34" s="1"/>
  <c r="Q189" i="34" s="1"/>
  <c r="R189" i="34" s="1"/>
  <c r="S189" i="34" s="1"/>
  <c r="N189" i="34"/>
  <c r="M189" i="34"/>
  <c r="L189" i="34"/>
  <c r="K189" i="34"/>
  <c r="AN188" i="34"/>
  <c r="AM188" i="34"/>
  <c r="AL188" i="34"/>
  <c r="AK188" i="34"/>
  <c r="AJ188" i="34"/>
  <c r="AI188" i="34"/>
  <c r="AH188" i="34"/>
  <c r="AG188" i="34"/>
  <c r="AF188" i="34"/>
  <c r="AE188" i="34"/>
  <c r="AD188" i="34"/>
  <c r="AC188" i="34"/>
  <c r="AB188" i="34"/>
  <c r="AA188" i="34"/>
  <c r="Z188" i="34"/>
  <c r="Y188" i="34"/>
  <c r="X188" i="34"/>
  <c r="W188" i="34"/>
  <c r="V188" i="34"/>
  <c r="U188" i="34"/>
  <c r="T188" i="34"/>
  <c r="N188" i="34"/>
  <c r="O188" i="34" s="1"/>
  <c r="P188" i="34" s="1"/>
  <c r="Q188" i="34" s="1"/>
  <c r="R188" i="34" s="1"/>
  <c r="S188" i="34" s="1"/>
  <c r="M188" i="34"/>
  <c r="L188" i="34"/>
  <c r="K188" i="34"/>
  <c r="AN187" i="34"/>
  <c r="AM187" i="34"/>
  <c r="AL187" i="34"/>
  <c r="AK187" i="34"/>
  <c r="AJ187" i="34"/>
  <c r="AI187" i="34"/>
  <c r="AH187" i="34"/>
  <c r="AG187" i="34"/>
  <c r="AF187" i="34"/>
  <c r="AE187" i="34"/>
  <c r="AD187" i="34"/>
  <c r="AC187" i="34"/>
  <c r="AB187" i="34"/>
  <c r="AA187" i="34"/>
  <c r="Z187" i="34"/>
  <c r="Y187" i="34"/>
  <c r="X187" i="34"/>
  <c r="W187" i="34"/>
  <c r="V187" i="34"/>
  <c r="U187" i="34"/>
  <c r="T187" i="34"/>
  <c r="O187" i="34" s="1"/>
  <c r="P187" i="34" s="1"/>
  <c r="Q187" i="34" s="1"/>
  <c r="R187" i="34" s="1"/>
  <c r="S187" i="34" s="1"/>
  <c r="N187" i="34"/>
  <c r="M187" i="34"/>
  <c r="L187" i="34"/>
  <c r="K187" i="34"/>
  <c r="AN186" i="34"/>
  <c r="AM186" i="34"/>
  <c r="AL186" i="34"/>
  <c r="AK186" i="34"/>
  <c r="AJ186" i="34"/>
  <c r="AI186" i="34"/>
  <c r="AH186" i="34"/>
  <c r="AG186" i="34"/>
  <c r="AF186" i="34"/>
  <c r="AE186" i="34"/>
  <c r="AD186" i="34"/>
  <c r="AC186" i="34"/>
  <c r="AB186" i="34"/>
  <c r="AA186" i="34"/>
  <c r="Z186" i="34"/>
  <c r="Y186" i="34"/>
  <c r="X186" i="34"/>
  <c r="W186" i="34"/>
  <c r="V186" i="34"/>
  <c r="U186" i="34"/>
  <c r="T186" i="34"/>
  <c r="N186" i="34"/>
  <c r="O186" i="34" s="1"/>
  <c r="P186" i="34" s="1"/>
  <c r="Q186" i="34" s="1"/>
  <c r="R186" i="34" s="1"/>
  <c r="S186" i="34" s="1"/>
  <c r="M186" i="34"/>
  <c r="L186" i="34"/>
  <c r="K186" i="34"/>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1" i="34"/>
  <c r="M181" i="34"/>
  <c r="L181" i="34"/>
  <c r="K181" i="34"/>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N176" i="34"/>
  <c r="M176" i="34"/>
  <c r="L176" i="34"/>
  <c r="K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5" i="34"/>
  <c r="M175" i="34"/>
  <c r="L175" i="34"/>
  <c r="K175" i="34"/>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3" i="34"/>
  <c r="M173" i="34"/>
  <c r="L173" i="34"/>
  <c r="K173" i="34"/>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60" i="34"/>
  <c r="M160" i="34"/>
  <c r="L160" i="34"/>
  <c r="K160" i="34"/>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9" i="34"/>
  <c r="M149" i="34"/>
  <c r="L149" i="34"/>
  <c r="K149" i="34"/>
  <c r="AN147" i="34"/>
  <c r="AM147" i="34"/>
  <c r="AL147" i="34"/>
  <c r="AK147" i="34"/>
  <c r="AJ147" i="34"/>
  <c r="AI147" i="34"/>
  <c r="AH147" i="34"/>
  <c r="AG147" i="34"/>
  <c r="AF147" i="34"/>
  <c r="AE147" i="34"/>
  <c r="AD147" i="34"/>
  <c r="AC147" i="34"/>
  <c r="AB147" i="34"/>
  <c r="AA147" i="34"/>
  <c r="Z147" i="34"/>
  <c r="Y147" i="34"/>
  <c r="Y202" i="34" s="1"/>
  <c r="X147" i="34"/>
  <c r="X202" i="34" s="1"/>
  <c r="W147" i="34"/>
  <c r="V147" i="34"/>
  <c r="U147" i="34"/>
  <c r="T147" i="34"/>
  <c r="S147" i="34"/>
  <c r="R147" i="34"/>
  <c r="Q147" i="34"/>
  <c r="P147" i="34"/>
  <c r="O147" i="34"/>
  <c r="N147" i="34"/>
  <c r="M147" i="34"/>
  <c r="L147" i="34"/>
  <c r="K147" i="34"/>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2" i="34"/>
  <c r="M142" i="34"/>
  <c r="L142" i="34"/>
  <c r="K142" i="34"/>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N138" i="34"/>
  <c r="M138" i="34"/>
  <c r="L138" i="34"/>
  <c r="K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N137" i="34"/>
  <c r="M137" i="34"/>
  <c r="L137" i="34"/>
  <c r="K137" i="34"/>
  <c r="AN136" i="34"/>
  <c r="AM136" i="34"/>
  <c r="AL136" i="34"/>
  <c r="AK136" i="34"/>
  <c r="AJ136" i="34"/>
  <c r="AI136" i="34"/>
  <c r="AH136" i="34"/>
  <c r="AG136" i="34"/>
  <c r="AF136" i="34"/>
  <c r="AE136" i="34"/>
  <c r="AD136" i="34"/>
  <c r="AC136" i="34"/>
  <c r="AB136" i="34"/>
  <c r="AA136" i="34"/>
  <c r="Z136" i="34"/>
  <c r="Y136" i="34"/>
  <c r="X136" i="34"/>
  <c r="W136" i="34"/>
  <c r="V136" i="34"/>
  <c r="U136" i="34"/>
  <c r="T136" i="34"/>
  <c r="O136" i="34" s="1"/>
  <c r="S136" i="34"/>
  <c r="R136" i="34"/>
  <c r="Q136" i="34"/>
  <c r="P136" i="34"/>
  <c r="N136" i="34"/>
  <c r="M136" i="34"/>
  <c r="L136" i="34"/>
  <c r="K136" i="34"/>
  <c r="AN134" i="34"/>
  <c r="AN202" i="34" s="1"/>
  <c r="AM134" i="34"/>
  <c r="AM202" i="34" s="1"/>
  <c r="AL134" i="34"/>
  <c r="AL202" i="34" s="1"/>
  <c r="AK134" i="34"/>
  <c r="AK202" i="34" s="1"/>
  <c r="AJ134" i="34"/>
  <c r="AJ202" i="34" s="1"/>
  <c r="AI134" i="34"/>
  <c r="AI202" i="34" s="1"/>
  <c r="AH134" i="34"/>
  <c r="AH202" i="34" s="1"/>
  <c r="AG134" i="34"/>
  <c r="AF134" i="34"/>
  <c r="AE134" i="34"/>
  <c r="AD134" i="34"/>
  <c r="AD202" i="34" s="1"/>
  <c r="AC134" i="34"/>
  <c r="AC202" i="34" s="1"/>
  <c r="AB134" i="34"/>
  <c r="AB202" i="34" s="1"/>
  <c r="AA134" i="34"/>
  <c r="AA202" i="34" s="1"/>
  <c r="Z134" i="34"/>
  <c r="Z202" i="34" s="1"/>
  <c r="Y134" i="34"/>
  <c r="X134" i="34"/>
  <c r="W134" i="34"/>
  <c r="V134" i="34"/>
  <c r="U134" i="34"/>
  <c r="T134" i="34"/>
  <c r="T202" i="34" s="1"/>
  <c r="S134" i="34"/>
  <c r="S202" i="34" s="1"/>
  <c r="R134" i="34"/>
  <c r="R202" i="34" s="1"/>
  <c r="Q134" i="34"/>
  <c r="P134" i="34"/>
  <c r="O134" i="34"/>
  <c r="N134" i="34"/>
  <c r="N202" i="34" s="1"/>
  <c r="M134" i="34"/>
  <c r="L134" i="34"/>
  <c r="K134" i="34"/>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9" i="34"/>
  <c r="M129" i="34"/>
  <c r="L129" i="34"/>
  <c r="K129" i="34"/>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N124" i="34"/>
  <c r="M124" i="34"/>
  <c r="L124" i="34"/>
  <c r="K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3" i="34"/>
  <c r="M123" i="34"/>
  <c r="L123" i="34"/>
  <c r="K123" i="34"/>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1" i="34"/>
  <c r="M121" i="34"/>
  <c r="L121" i="34"/>
  <c r="K121" i="34"/>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6" i="34"/>
  <c r="M116" i="34"/>
  <c r="L116" i="34"/>
  <c r="K116" i="34"/>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N111" i="34"/>
  <c r="M111" i="34"/>
  <c r="L111" i="34"/>
  <c r="K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10" i="34"/>
  <c r="M110" i="34"/>
  <c r="L110" i="34"/>
  <c r="K110" i="34"/>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8" i="34"/>
  <c r="M108" i="34"/>
  <c r="L108" i="34"/>
  <c r="K108" i="34"/>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5" i="34"/>
  <c r="M95" i="34"/>
  <c r="L95" i="34"/>
  <c r="K95" i="34"/>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4" i="34"/>
  <c r="M84" i="34"/>
  <c r="L84" i="34"/>
  <c r="K84" i="34"/>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2" i="34"/>
  <c r="M82" i="34"/>
  <c r="L82" i="34"/>
  <c r="K82" i="34"/>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7" i="34"/>
  <c r="M77" i="34"/>
  <c r="L77" i="34"/>
  <c r="K77" i="34"/>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4" i="34"/>
  <c r="M74" i="34"/>
  <c r="L74" i="34"/>
  <c r="K74" i="34"/>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N72" i="34"/>
  <c r="M72" i="34"/>
  <c r="L72" i="34"/>
  <c r="K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1" i="34"/>
  <c r="M71" i="34"/>
  <c r="L71" i="34"/>
  <c r="K71" i="34"/>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9" i="34"/>
  <c r="M69" i="34"/>
  <c r="L69" i="34"/>
  <c r="K69" i="34"/>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4" i="34"/>
  <c r="M64" i="34"/>
  <c r="L64" i="34"/>
  <c r="K64" i="34"/>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N59" i="34"/>
  <c r="M59" i="34"/>
  <c r="L59" i="34"/>
  <c r="K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8" i="34"/>
  <c r="M58" i="34"/>
  <c r="L58" i="34"/>
  <c r="K58" i="34"/>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6" i="34"/>
  <c r="M56" i="34"/>
  <c r="L56" i="34"/>
  <c r="K56" i="34"/>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1" i="34"/>
  <c r="M51" i="34"/>
  <c r="L51" i="34"/>
  <c r="K51" i="34"/>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N46" i="34"/>
  <c r="M46" i="34"/>
  <c r="L46" i="34"/>
  <c r="K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5" i="34"/>
  <c r="M45" i="34"/>
  <c r="L45" i="34"/>
  <c r="K45" i="34"/>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3" i="34"/>
  <c r="M43" i="34"/>
  <c r="L43" i="34"/>
  <c r="K43" i="34"/>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30" i="34"/>
  <c r="M30" i="34"/>
  <c r="L30" i="34"/>
  <c r="K30" i="34"/>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9" i="34"/>
  <c r="M19" i="34"/>
  <c r="L19" i="34"/>
  <c r="K19" i="34"/>
  <c r="AN17" i="34"/>
  <c r="AM17" i="34"/>
  <c r="AL17" i="34"/>
  <c r="AK17" i="34"/>
  <c r="AJ17" i="34"/>
  <c r="AI17" i="34"/>
  <c r="AH17" i="34"/>
  <c r="AG17" i="34"/>
  <c r="AF17" i="34"/>
  <c r="AE17" i="34"/>
  <c r="AD17" i="34"/>
  <c r="AC17" i="34"/>
  <c r="AB17" i="34"/>
  <c r="AA17" i="34"/>
  <c r="Z17" i="34"/>
  <c r="Y17" i="34"/>
  <c r="Y199" i="34" s="1"/>
  <c r="X17" i="34"/>
  <c r="X199" i="34" s="1"/>
  <c r="W17" i="34"/>
  <c r="V17" i="34"/>
  <c r="U17" i="34"/>
  <c r="T17" i="34"/>
  <c r="S17" i="34"/>
  <c r="R17" i="34"/>
  <c r="Q17" i="34"/>
  <c r="P17" i="34"/>
  <c r="O17" i="34"/>
  <c r="N17" i="34"/>
  <c r="M17" i="34"/>
  <c r="L17" i="34"/>
  <c r="K17" i="34"/>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2" i="34"/>
  <c r="M12" i="34"/>
  <c r="L12" i="34"/>
  <c r="K12" i="34"/>
  <c r="AN9" i="34"/>
  <c r="AM9" i="34"/>
  <c r="AL9" i="34"/>
  <c r="AK9" i="34"/>
  <c r="AJ9" i="34"/>
  <c r="AI9" i="34"/>
  <c r="AH9" i="34"/>
  <c r="AG9" i="34"/>
  <c r="AF9" i="34"/>
  <c r="AE9" i="34"/>
  <c r="AD9" i="34"/>
  <c r="AC9" i="34"/>
  <c r="AB9" i="34"/>
  <c r="AA9" i="34"/>
  <c r="Z9" i="34"/>
  <c r="Y9" i="34"/>
  <c r="X9" i="34"/>
  <c r="W9" i="34"/>
  <c r="V9" i="34"/>
  <c r="U9" i="34"/>
  <c r="T9" i="34"/>
  <c r="S9" i="34"/>
  <c r="R9" i="34"/>
  <c r="Q9" i="34"/>
  <c r="P9" i="34"/>
  <c r="O9" i="34"/>
  <c r="N9" i="34"/>
  <c r="M9" i="34"/>
  <c r="L9" i="34"/>
  <c r="K9" i="34"/>
  <c r="AN7" i="34"/>
  <c r="AM7" i="34"/>
  <c r="AL7" i="34"/>
  <c r="AK7" i="34"/>
  <c r="AJ7" i="34"/>
  <c r="AI7" i="34"/>
  <c r="AH7" i="34"/>
  <c r="AG7" i="34"/>
  <c r="AF7" i="34"/>
  <c r="AE7" i="34"/>
  <c r="AD7" i="34"/>
  <c r="AC7" i="34"/>
  <c r="AB7" i="34"/>
  <c r="AA7" i="34"/>
  <c r="Z7" i="34"/>
  <c r="Y7" i="34"/>
  <c r="X7" i="34"/>
  <c r="W7" i="34"/>
  <c r="V7" i="34"/>
  <c r="U7" i="34"/>
  <c r="T7" i="34"/>
  <c r="S7" i="34"/>
  <c r="R7" i="34"/>
  <c r="Q7" i="34"/>
  <c r="P7" i="34"/>
  <c r="O7" i="34"/>
  <c r="N7" i="34"/>
  <c r="M7" i="34"/>
  <c r="L7" i="34"/>
  <c r="K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6" i="34"/>
  <c r="M6" i="34"/>
  <c r="L6" i="34"/>
  <c r="K6" i="34"/>
  <c r="AN4" i="34"/>
  <c r="AN199" i="34" s="1"/>
  <c r="AM4" i="34"/>
  <c r="AM199" i="34" s="1"/>
  <c r="AL4" i="34"/>
  <c r="AL199" i="34" s="1"/>
  <c r="AK4" i="34"/>
  <c r="AK199" i="34" s="1"/>
  <c r="AJ4" i="34"/>
  <c r="AJ199" i="34" s="1"/>
  <c r="AI4" i="34"/>
  <c r="AI199" i="34" s="1"/>
  <c r="AH4" i="34"/>
  <c r="AH199" i="34" s="1"/>
  <c r="AG4" i="34"/>
  <c r="AF4" i="34"/>
  <c r="AE4" i="34"/>
  <c r="AD4" i="34"/>
  <c r="AD199" i="34" s="1"/>
  <c r="AC4" i="34"/>
  <c r="AC199" i="34" s="1"/>
  <c r="AB4" i="34"/>
  <c r="AB199" i="34" s="1"/>
  <c r="AA4" i="34"/>
  <c r="AA199" i="34" s="1"/>
  <c r="Z4" i="34"/>
  <c r="Z199" i="34" s="1"/>
  <c r="Y4" i="34"/>
  <c r="X4" i="34"/>
  <c r="W4" i="34"/>
  <c r="V4" i="34"/>
  <c r="U4" i="34"/>
  <c r="T4" i="34"/>
  <c r="T199" i="34" s="1"/>
  <c r="S4" i="34"/>
  <c r="S199" i="34" s="1"/>
  <c r="R4" i="34"/>
  <c r="R199" i="34" s="1"/>
  <c r="Q4" i="34"/>
  <c r="Q199" i="34" s="1"/>
  <c r="P4" i="34"/>
  <c r="P199" i="34" s="1"/>
  <c r="O4" i="34"/>
  <c r="O199" i="34" s="1"/>
  <c r="N4" i="34"/>
  <c r="N199" i="34" s="1"/>
  <c r="M4" i="34"/>
  <c r="L4" i="34"/>
  <c r="K4" i="34"/>
  <c r="O202" i="34" l="1"/>
  <c r="P202" i="34"/>
  <c r="Q202" i="34"/>
  <c r="E21" i="38" l="1"/>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L15" i="38" l="1"/>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K5" i="33"/>
  <c r="B3" i="18" s="1"/>
  <c r="K14" i="33"/>
  <c r="K15" i="33"/>
  <c r="K18" i="33"/>
  <c r="C3" i="18" s="1"/>
  <c r="K27" i="33"/>
  <c r="K28" i="33"/>
  <c r="K32" i="33"/>
  <c r="E4" i="18" s="1"/>
  <c r="K33" i="33"/>
  <c r="E5" i="18" s="1"/>
  <c r="K40" i="33"/>
  <c r="K41" i="33"/>
  <c r="K49" i="33"/>
  <c r="K53" i="33"/>
  <c r="K54" i="33"/>
  <c r="K66" i="33"/>
  <c r="K67" i="33"/>
  <c r="K78" i="33"/>
  <c r="B11" i="30" s="1"/>
  <c r="K79" i="33"/>
  <c r="K80" i="33"/>
  <c r="K81" i="33"/>
  <c r="K88" i="33"/>
  <c r="C8" i="30" s="1"/>
  <c r="K92" i="33"/>
  <c r="K93" i="33"/>
  <c r="K105" i="33"/>
  <c r="K106" i="33"/>
  <c r="K117" i="33"/>
  <c r="F11" i="30" s="1"/>
  <c r="K118" i="33"/>
  <c r="K119" i="33"/>
  <c r="K131" i="33"/>
  <c r="K132" i="33"/>
  <c r="K144" i="33"/>
  <c r="K145" i="33"/>
  <c r="K152" i="33"/>
  <c r="C7" i="31" s="1"/>
  <c r="K155" i="33"/>
  <c r="C10" i="31" s="1"/>
  <c r="K157" i="33"/>
  <c r="K158" i="33"/>
  <c r="K170" i="33"/>
  <c r="K171" i="33"/>
  <c r="K179" i="33"/>
  <c r="K183" i="33"/>
  <c r="K184" i="33"/>
  <c r="F8" i="31"/>
  <c r="F8" i="18"/>
  <c r="K198" i="33"/>
  <c r="K201" i="33"/>
  <c r="J5" i="34" a="1"/>
  <c r="J5" i="34" s="1"/>
  <c r="J8" i="34" a="1"/>
  <c r="J8" i="34" s="1"/>
  <c r="K8" i="33" s="1"/>
  <c r="B6" i="18" s="1"/>
  <c r="J10" i="34" a="1"/>
  <c r="J10" i="34" s="1"/>
  <c r="K10" i="33" s="1"/>
  <c r="B8" i="18" s="1"/>
  <c r="J11" i="34" a="1"/>
  <c r="J11" i="34" s="1"/>
  <c r="K11" i="33" s="1"/>
  <c r="B9" i="18" s="1"/>
  <c r="J13" i="34" a="1"/>
  <c r="J13" i="34" s="1"/>
  <c r="K13" i="33" s="1"/>
  <c r="B11" i="18" s="1"/>
  <c r="J16" i="34" a="1"/>
  <c r="J16" i="34"/>
  <c r="K16" i="33" s="1"/>
  <c r="J18" i="34" a="1"/>
  <c r="J18" i="34" s="1"/>
  <c r="J20" i="34" a="1"/>
  <c r="J20" i="34"/>
  <c r="K20" i="33" s="1"/>
  <c r="C5" i="18" s="1"/>
  <c r="J21" i="34" a="1"/>
  <c r="J21" i="34" s="1"/>
  <c r="K21" i="33" s="1"/>
  <c r="C6" i="18" s="1"/>
  <c r="J22" i="34" a="1"/>
  <c r="J22" i="34" s="1"/>
  <c r="K22" i="33" s="1"/>
  <c r="C7" i="18" s="1"/>
  <c r="J23" i="34" a="1"/>
  <c r="J23" i="34" s="1"/>
  <c r="K23" i="33" s="1"/>
  <c r="C8" i="18" s="1"/>
  <c r="J24" i="34" a="1"/>
  <c r="J24" i="34"/>
  <c r="K24" i="33" s="1"/>
  <c r="C9" i="18" s="1"/>
  <c r="J25" i="34" a="1"/>
  <c r="J25" i="34" s="1"/>
  <c r="K25" i="33" s="1"/>
  <c r="C10" i="18" s="1"/>
  <c r="J26" i="34" a="1"/>
  <c r="J26" i="34" s="1"/>
  <c r="K26" i="33" s="1"/>
  <c r="C11" i="18" s="1"/>
  <c r="J29" i="34" a="1"/>
  <c r="J29" i="34" s="1"/>
  <c r="K29" i="33" s="1"/>
  <c r="J31" i="34" a="1"/>
  <c r="J31" i="34" s="1"/>
  <c r="K31" i="33" s="1"/>
  <c r="E3" i="18" s="1"/>
  <c r="J32" i="34" a="1"/>
  <c r="J32" i="34" s="1"/>
  <c r="J33" i="34" a="1"/>
  <c r="J33" i="34" s="1"/>
  <c r="J34" i="34" a="1"/>
  <c r="J34" i="34" s="1"/>
  <c r="K34" i="33" s="1"/>
  <c r="E6" i="18" s="1"/>
  <c r="J35" i="34" a="1"/>
  <c r="J35" i="34" s="1"/>
  <c r="K35" i="33" s="1"/>
  <c r="E7" i="18" s="1"/>
  <c r="J36" i="34" a="1"/>
  <c r="J36" i="34" s="1"/>
  <c r="K36" i="33" s="1"/>
  <c r="E8" i="18" s="1"/>
  <c r="J37" i="34" a="1"/>
  <c r="J37" i="34" s="1"/>
  <c r="K37" i="33" s="1"/>
  <c r="E9" i="18" s="1"/>
  <c r="J38" i="34" a="1"/>
  <c r="J38" i="34" s="1"/>
  <c r="K38" i="33" s="1"/>
  <c r="E10" i="18" s="1"/>
  <c r="J39" i="34" a="1"/>
  <c r="J39" i="34" s="1"/>
  <c r="K39" i="33" s="1"/>
  <c r="E11" i="18" s="1"/>
  <c r="J42" i="34" a="1"/>
  <c r="J42" i="34" s="1"/>
  <c r="K42" i="33" s="1"/>
  <c r="J44" i="34" a="1"/>
  <c r="J44" i="34" s="1"/>
  <c r="K44" i="33" s="1"/>
  <c r="F3" i="18" s="1"/>
  <c r="J47" i="34" a="1"/>
  <c r="J47" i="34" s="1"/>
  <c r="K47" i="33" s="1"/>
  <c r="F6" i="18" s="1"/>
  <c r="J48" i="34" a="1"/>
  <c r="J48" i="34" s="1"/>
  <c r="K48" i="33" s="1"/>
  <c r="F7" i="18" s="1"/>
  <c r="J49" i="34" a="1"/>
  <c r="J49" i="34" s="1"/>
  <c r="J50" i="34" a="1"/>
  <c r="J50" i="34" s="1"/>
  <c r="K50" i="33" s="1"/>
  <c r="F9" i="18" s="1"/>
  <c r="J52" i="34" a="1"/>
  <c r="J52" i="34" s="1"/>
  <c r="K52" i="33" s="1"/>
  <c r="F11" i="18" s="1"/>
  <c r="J55" i="34" a="1"/>
  <c r="J55" i="34" s="1"/>
  <c r="K55" i="33" s="1"/>
  <c r="J57" i="34" a="1"/>
  <c r="J57" i="34" s="1"/>
  <c r="K57" i="33" s="1"/>
  <c r="G3" i="18" s="1"/>
  <c r="J60" i="34" a="1"/>
  <c r="J60" i="34" s="1"/>
  <c r="K60" i="33" s="1"/>
  <c r="G6" i="18" s="1"/>
  <c r="J61" i="34" a="1"/>
  <c r="J61" i="34" s="1"/>
  <c r="K61" i="33" s="1"/>
  <c r="G7" i="18" s="1"/>
  <c r="J62" i="34" a="1"/>
  <c r="J62" i="34"/>
  <c r="K62" i="33" s="1"/>
  <c r="G8" i="18" s="1"/>
  <c r="J63" i="34" a="1"/>
  <c r="J63" i="34" s="1"/>
  <c r="K63" i="33" s="1"/>
  <c r="G9" i="18" s="1"/>
  <c r="J65" i="34" a="1"/>
  <c r="J65" i="34" s="1"/>
  <c r="K65" i="33" s="1"/>
  <c r="G11" i="18" s="1"/>
  <c r="J68" i="34" a="1"/>
  <c r="J68" i="34"/>
  <c r="K68" i="33" s="1"/>
  <c r="J70" i="34" a="1"/>
  <c r="J70" i="34" s="1"/>
  <c r="K70" i="33" s="1"/>
  <c r="B3" i="30" s="1"/>
  <c r="J73" i="34" a="1"/>
  <c r="J73" i="34" s="1"/>
  <c r="K73" i="33" s="1"/>
  <c r="B6" i="30" s="1"/>
  <c r="J75" i="34" a="1"/>
  <c r="J75" i="34" s="1"/>
  <c r="K75" i="33" s="1"/>
  <c r="B8" i="30" s="1"/>
  <c r="J76" i="34" a="1"/>
  <c r="J76" i="34" s="1"/>
  <c r="K76" i="33" s="1"/>
  <c r="B9" i="30" s="1"/>
  <c r="J78" i="34" a="1"/>
  <c r="J78" i="34" s="1"/>
  <c r="J81" i="34" a="1"/>
  <c r="J81" i="34" s="1"/>
  <c r="J83" i="34" a="1"/>
  <c r="J83" i="34" s="1"/>
  <c r="K83" i="33" s="1"/>
  <c r="C3" i="30" s="1"/>
  <c r="J85" i="34" a="1"/>
  <c r="J85" i="34" s="1"/>
  <c r="K85" i="33" s="1"/>
  <c r="C5" i="30" s="1"/>
  <c r="J86" i="34" a="1"/>
  <c r="J86" i="34" s="1"/>
  <c r="K86" i="33" s="1"/>
  <c r="C6" i="30" s="1"/>
  <c r="J87" i="34" a="1"/>
  <c r="J87" i="34" s="1"/>
  <c r="K87" i="33" s="1"/>
  <c r="C7" i="30" s="1"/>
  <c r="J88" i="34" a="1"/>
  <c r="J88" i="34" s="1"/>
  <c r="J89" i="34" a="1"/>
  <c r="J89" i="34" s="1"/>
  <c r="K89" i="33" s="1"/>
  <c r="C9" i="30" s="1"/>
  <c r="J90" i="34" a="1"/>
  <c r="J90" i="34" s="1"/>
  <c r="K90" i="33" s="1"/>
  <c r="C10" i="30" s="1"/>
  <c r="J91" i="34" a="1"/>
  <c r="J91" i="34" s="1"/>
  <c r="K91" i="33" s="1"/>
  <c r="C11" i="30" s="1"/>
  <c r="J94" i="34" a="1"/>
  <c r="J94" i="34" s="1"/>
  <c r="K94" i="33" s="1"/>
  <c r="J96" i="34" a="1"/>
  <c r="J96" i="34"/>
  <c r="K96" i="33" s="1"/>
  <c r="E3" i="30" s="1"/>
  <c r="J97" i="34" a="1"/>
  <c r="J97" i="34" s="1"/>
  <c r="K97" i="33" s="1"/>
  <c r="E4" i="30" s="1"/>
  <c r="J98" i="34" a="1"/>
  <c r="J98" i="34" s="1"/>
  <c r="K98" i="33" s="1"/>
  <c r="E5" i="30" s="1"/>
  <c r="J99" i="34" a="1"/>
  <c r="J99" i="34" s="1"/>
  <c r="K99" i="33" s="1"/>
  <c r="E6" i="30" s="1"/>
  <c r="J100" i="34" a="1"/>
  <c r="J100" i="34"/>
  <c r="K100" i="33" s="1"/>
  <c r="E7" i="30" s="1"/>
  <c r="J101" i="34" a="1"/>
  <c r="J101" i="34" s="1"/>
  <c r="K101" i="33" s="1"/>
  <c r="E8" i="30" s="1"/>
  <c r="J102" i="34" a="1"/>
  <c r="J102" i="34" s="1"/>
  <c r="K102" i="33" s="1"/>
  <c r="E9" i="30" s="1"/>
  <c r="J103" i="34" a="1"/>
  <c r="J103" i="34" s="1"/>
  <c r="K103" i="33" s="1"/>
  <c r="E10" i="30" s="1"/>
  <c r="J104" i="34" a="1"/>
  <c r="J104" i="34" s="1"/>
  <c r="K104" i="33" s="1"/>
  <c r="E11" i="30" s="1"/>
  <c r="J107" i="34" a="1"/>
  <c r="J107" i="34" s="1"/>
  <c r="K107" i="33" s="1"/>
  <c r="J109" i="34" a="1"/>
  <c r="J109" i="34" s="1"/>
  <c r="K109" i="33" s="1"/>
  <c r="F3" i="30" s="1"/>
  <c r="J112" i="34" a="1"/>
  <c r="J112" i="34" s="1"/>
  <c r="K112" i="33" s="1"/>
  <c r="F6" i="30" s="1"/>
  <c r="J113" i="34" a="1"/>
  <c r="J113" i="34" s="1"/>
  <c r="K113" i="33" s="1"/>
  <c r="F7" i="30" s="1"/>
  <c r="J114" i="34" a="1"/>
  <c r="J114" i="34"/>
  <c r="K114" i="33" s="1"/>
  <c r="F8" i="30" s="1"/>
  <c r="J115" i="34" a="1"/>
  <c r="J115" i="34" s="1"/>
  <c r="K115" i="33" s="1"/>
  <c r="F9" i="30" s="1"/>
  <c r="J117" i="34" a="1"/>
  <c r="J117" i="34" s="1"/>
  <c r="J120" i="34" a="1"/>
  <c r="J120" i="34"/>
  <c r="K120" i="33" s="1"/>
  <c r="J122" i="34" a="1"/>
  <c r="J122" i="34" s="1"/>
  <c r="K122" i="33" s="1"/>
  <c r="G3" i="30" s="1"/>
  <c r="J125" i="34" a="1"/>
  <c r="J125" i="34" s="1"/>
  <c r="K125" i="33" s="1"/>
  <c r="G6" i="30" s="1"/>
  <c r="J126" i="34" a="1"/>
  <c r="J126" i="34" s="1"/>
  <c r="K126" i="33" s="1"/>
  <c r="G7" i="30" s="1"/>
  <c r="J127" i="34" a="1"/>
  <c r="J127" i="34" s="1"/>
  <c r="K127" i="33" s="1"/>
  <c r="G8" i="30" s="1"/>
  <c r="J128" i="34" a="1"/>
  <c r="J128" i="34" s="1"/>
  <c r="K128" i="33" s="1"/>
  <c r="G9" i="30" s="1"/>
  <c r="J130" i="34" a="1"/>
  <c r="J130" i="34" s="1"/>
  <c r="K130" i="33" s="1"/>
  <c r="G11" i="30" s="1"/>
  <c r="J133" i="34" a="1"/>
  <c r="J133" i="34" s="1"/>
  <c r="K133" i="33" s="1"/>
  <c r="J135" i="34" a="1"/>
  <c r="J135" i="34" s="1"/>
  <c r="K135" i="33" s="1"/>
  <c r="B3" i="31" s="1"/>
  <c r="J139" i="34" a="1"/>
  <c r="J139" i="34" s="1"/>
  <c r="K139" i="33" s="1"/>
  <c r="B7" i="31" s="1"/>
  <c r="J140" i="34" a="1"/>
  <c r="J140" i="34" s="1"/>
  <c r="K140" i="33" s="1"/>
  <c r="B8" i="31" s="1"/>
  <c r="J141" i="34" a="1"/>
  <c r="J141" i="34" s="1"/>
  <c r="K141" i="33" s="1"/>
  <c r="B9" i="31" s="1"/>
  <c r="J143" i="34" a="1"/>
  <c r="J143" i="34" s="1"/>
  <c r="K143" i="33" s="1"/>
  <c r="B11" i="31" s="1"/>
  <c r="J146" i="34" a="1"/>
  <c r="J146" i="34" s="1"/>
  <c r="K146" i="33" s="1"/>
  <c r="J148" i="34" a="1"/>
  <c r="J148" i="34"/>
  <c r="K148" i="33" s="1"/>
  <c r="C3" i="31" s="1"/>
  <c r="J150" i="34" a="1"/>
  <c r="J150" i="34" s="1"/>
  <c r="K150" i="33" s="1"/>
  <c r="C5" i="31" s="1"/>
  <c r="J151" i="34" a="1"/>
  <c r="J151" i="34" s="1"/>
  <c r="K151" i="33" s="1"/>
  <c r="C6" i="31" s="1"/>
  <c r="J152" i="34" a="1"/>
  <c r="J152" i="34"/>
  <c r="J153" i="34" a="1"/>
  <c r="J153" i="34" s="1"/>
  <c r="K153" i="33" s="1"/>
  <c r="C8" i="31" s="1"/>
  <c r="J154" i="34" a="1"/>
  <c r="J154" i="34" s="1"/>
  <c r="K154" i="33" s="1"/>
  <c r="C9" i="31" s="1"/>
  <c r="J155" i="34" a="1"/>
  <c r="J155" i="34" s="1"/>
  <c r="J156" i="34" a="1"/>
  <c r="J156" i="34"/>
  <c r="K156" i="33" s="1"/>
  <c r="C11" i="31" s="1"/>
  <c r="J159" i="34" a="1"/>
  <c r="J159" i="34" s="1"/>
  <c r="K159" i="33" s="1"/>
  <c r="J161" i="34" a="1"/>
  <c r="J161" i="34" s="1"/>
  <c r="K161" i="33" s="1"/>
  <c r="E3" i="31" s="1"/>
  <c r="J162" i="34" a="1"/>
  <c r="J162" i="34" s="1"/>
  <c r="K162" i="33" s="1"/>
  <c r="E4" i="31" s="1"/>
  <c r="J163" i="34" a="1"/>
  <c r="J163" i="34" s="1"/>
  <c r="K163" i="33" s="1"/>
  <c r="E5" i="31" s="1"/>
  <c r="J164" i="34" a="1"/>
  <c r="J164" i="34" s="1"/>
  <c r="K164" i="33" s="1"/>
  <c r="E6" i="31" s="1"/>
  <c r="J165" i="34" a="1"/>
  <c r="J165" i="34" s="1"/>
  <c r="K165" i="33" s="1"/>
  <c r="E7" i="31" s="1"/>
  <c r="J166" i="34" a="1"/>
  <c r="J166" i="34" s="1"/>
  <c r="K166" i="33" s="1"/>
  <c r="E8" i="31" s="1"/>
  <c r="J167" i="34" a="1"/>
  <c r="J167" i="34" s="1"/>
  <c r="K167" i="33" s="1"/>
  <c r="E9" i="31" s="1"/>
  <c r="J168" i="34" a="1"/>
  <c r="J168" i="34" s="1"/>
  <c r="K168" i="33" s="1"/>
  <c r="E10" i="31" s="1"/>
  <c r="J169" i="34" a="1"/>
  <c r="J169" i="34" s="1"/>
  <c r="K169" i="33" s="1"/>
  <c r="E11" i="31" s="1"/>
  <c r="J172" i="34" a="1"/>
  <c r="J172" i="34" s="1"/>
  <c r="K172" i="33" s="1"/>
  <c r="J174" i="34" a="1"/>
  <c r="J174" i="34" s="1"/>
  <c r="K174" i="33" s="1"/>
  <c r="F3" i="31" s="1"/>
  <c r="J177" i="34" a="1"/>
  <c r="J177" i="34" s="1"/>
  <c r="K177" i="33" s="1"/>
  <c r="F6" i="31" s="1"/>
  <c r="J178" i="34" a="1"/>
  <c r="J178" i="34" s="1"/>
  <c r="K178" i="33" s="1"/>
  <c r="F7" i="31" s="1"/>
  <c r="J179" i="34" a="1"/>
  <c r="J179" i="34" s="1"/>
  <c r="J180" i="34" a="1"/>
  <c r="J180" i="34" s="1"/>
  <c r="K180" i="33" s="1"/>
  <c r="F9" i="31" s="1"/>
  <c r="J182" i="34" a="1"/>
  <c r="J182" i="34" s="1"/>
  <c r="K182" i="33" s="1"/>
  <c r="F11" i="31" s="1"/>
  <c r="J185" i="34" a="1"/>
  <c r="J185" i="34" s="1"/>
  <c r="K185" i="33" s="1"/>
  <c r="K197" i="33" s="1"/>
  <c r="J191" i="34" a="1"/>
  <c r="J191" i="34" s="1"/>
  <c r="K191" i="33" s="1"/>
  <c r="G7" i="31" s="1"/>
  <c r="J192" i="34" a="1"/>
  <c r="J192" i="34" s="1"/>
  <c r="K192" i="33" s="1"/>
  <c r="G8" i="31" s="1"/>
  <c r="J195" i="34" a="1"/>
  <c r="J195" i="34" s="1"/>
  <c r="K195" i="33" s="1"/>
  <c r="G11" i="31" s="1"/>
  <c r="J59" i="34" l="1" a="1"/>
  <c r="J59" i="34" s="1"/>
  <c r="K59" i="33" s="1"/>
  <c r="G5" i="18" s="1"/>
  <c r="J124" i="34" a="1"/>
  <c r="J124" i="34" s="1"/>
  <c r="K124" i="33" s="1"/>
  <c r="G5" i="30" s="1"/>
  <c r="J72" i="34" a="1"/>
  <c r="J72" i="34" s="1"/>
  <c r="K72" i="33" s="1"/>
  <c r="B5" i="30" s="1"/>
  <c r="J173" i="34" a="1"/>
  <c r="J173" i="34" s="1"/>
  <c r="K173" i="33" s="1"/>
  <c r="F2" i="31" s="1"/>
  <c r="J193" i="34" a="1"/>
  <c r="J193" i="34" s="1"/>
  <c r="K193" i="33" s="1"/>
  <c r="G9" i="31" s="1"/>
  <c r="J110" i="34" a="1"/>
  <c r="J110" i="34" s="1"/>
  <c r="K110" i="33" s="1"/>
  <c r="F4" i="30" s="1"/>
  <c r="J4" i="34" a="1"/>
  <c r="J4" i="34" s="1"/>
  <c r="K4" i="33" s="1"/>
  <c r="B2" i="18" s="1"/>
  <c r="J160" i="34" a="1"/>
  <c r="J160" i="34" s="1"/>
  <c r="K160" i="33" s="1"/>
  <c r="E2" i="31" s="1"/>
  <c r="J43" i="34" a="1"/>
  <c r="J43" i="34" s="1"/>
  <c r="K43" i="33" s="1"/>
  <c r="F2" i="18" s="1"/>
  <c r="J142" i="34" a="1"/>
  <c r="J142" i="34" s="1"/>
  <c r="K142" i="33" s="1"/>
  <c r="B10" i="31" s="1"/>
  <c r="J84" i="34" a="1"/>
  <c r="J84" i="34" s="1"/>
  <c r="K84" i="33" s="1"/>
  <c r="C4" i="30" s="1"/>
  <c r="J181" i="34" a="1"/>
  <c r="J181" i="34" s="1"/>
  <c r="K181" i="33" s="1"/>
  <c r="F10" i="31" s="1"/>
  <c r="J77" i="34" a="1"/>
  <c r="J77" i="34" s="1"/>
  <c r="K77" i="33" s="1"/>
  <c r="B10" i="30" s="1"/>
  <c r="J17" i="34" a="1"/>
  <c r="J17" i="34" s="1"/>
  <c r="K17" i="33" s="1"/>
  <c r="C2" i="18" s="1"/>
  <c r="J95" i="34" a="1"/>
  <c r="J95" i="34" s="1"/>
  <c r="K95" i="33" s="1"/>
  <c r="E2" i="30" s="1"/>
  <c r="J19" i="34" a="1"/>
  <c r="J19" i="34" s="1"/>
  <c r="K19" i="33" s="1"/>
  <c r="C4" i="18" s="1"/>
  <c r="J138" i="34" a="1"/>
  <c r="J138" i="34" s="1"/>
  <c r="K138" i="33" s="1"/>
  <c r="B6" i="31" s="1"/>
  <c r="J116" i="34" a="1"/>
  <c r="J116" i="34" s="1"/>
  <c r="K116" i="33" s="1"/>
  <c r="F10" i="30" s="1"/>
  <c r="J46" i="34" a="1"/>
  <c r="J46" i="34" s="1"/>
  <c r="K46" i="33" s="1"/>
  <c r="F5" i="18" s="1"/>
  <c r="J9" i="34" a="1"/>
  <c r="J9" i="34" s="1"/>
  <c r="K9" i="33" s="1"/>
  <c r="B7" i="18" s="1"/>
  <c r="J58" i="34" a="1"/>
  <c r="J58" i="34" s="1"/>
  <c r="K58" i="33" s="1"/>
  <c r="G4" i="18" s="1"/>
  <c r="J134" i="34" a="1"/>
  <c r="J134" i="34" s="1"/>
  <c r="K134" i="33" s="1"/>
  <c r="J64" i="34" a="1"/>
  <c r="J64" i="34" s="1"/>
  <c r="K64" i="33" s="1"/>
  <c r="G10" i="18" s="1"/>
  <c r="J147" i="34" a="1"/>
  <c r="J147" i="34" s="1"/>
  <c r="K147" i="33" s="1"/>
  <c r="C2" i="31" s="1"/>
  <c r="J71" i="34" a="1"/>
  <c r="J71" i="34" s="1"/>
  <c r="K71" i="33" s="1"/>
  <c r="B4" i="30" s="1"/>
  <c r="J56" i="34" a="1"/>
  <c r="J56" i="34" s="1"/>
  <c r="K56" i="33" s="1"/>
  <c r="G2" i="18" s="1"/>
  <c r="J176" i="34" a="1"/>
  <c r="J176" i="34" s="1"/>
  <c r="K176" i="33" s="1"/>
  <c r="F5" i="31" s="1"/>
  <c r="J129" i="34" a="1"/>
  <c r="J129" i="34" s="1"/>
  <c r="K129" i="33" s="1"/>
  <c r="G10" i="30" s="1"/>
  <c r="J123" i="34" a="1"/>
  <c r="J123" i="34" s="1"/>
  <c r="K123" i="33" s="1"/>
  <c r="G4" i="30" s="1"/>
  <c r="J108" i="34" a="1"/>
  <c r="J108" i="34" s="1"/>
  <c r="K108" i="33" s="1"/>
  <c r="F2" i="30" s="1"/>
  <c r="J175" i="34" a="1"/>
  <c r="J175" i="34" s="1"/>
  <c r="K175" i="33" s="1"/>
  <c r="F4" i="31" s="1"/>
  <c r="J137" i="34" a="1"/>
  <c r="J137" i="34" s="1"/>
  <c r="K137" i="33" s="1"/>
  <c r="B5" i="31" s="1"/>
  <c r="J69" i="34" a="1"/>
  <c r="J69" i="34" s="1"/>
  <c r="K69" i="33" s="1"/>
  <c r="B2" i="30" s="1"/>
  <c r="J121" i="34" a="1"/>
  <c r="J121" i="34" s="1"/>
  <c r="K121" i="33" s="1"/>
  <c r="G2" i="30" s="1"/>
  <c r="J45" i="34" a="1"/>
  <c r="J45" i="34" s="1"/>
  <c r="K45" i="33" s="1"/>
  <c r="F4" i="18" s="1"/>
  <c r="J7" i="34" a="1"/>
  <c r="J7" i="34" s="1"/>
  <c r="K7" i="33" s="1"/>
  <c r="B5" i="18" s="1"/>
  <c r="J30" i="34" a="1"/>
  <c r="J30" i="34" s="1"/>
  <c r="K30" i="33" s="1"/>
  <c r="E2" i="18" s="1"/>
  <c r="J74" i="34" a="1"/>
  <c r="J74" i="34" s="1"/>
  <c r="K74" i="33" s="1"/>
  <c r="B7" i="30" s="1"/>
  <c r="J51" i="34" a="1"/>
  <c r="J51" i="34" s="1"/>
  <c r="K51" i="33" s="1"/>
  <c r="F10" i="18" s="1"/>
  <c r="J149" i="34" a="1"/>
  <c r="J149" i="34" s="1"/>
  <c r="K149" i="33" s="1"/>
  <c r="C4" i="31" s="1"/>
  <c r="J111" i="34" a="1"/>
  <c r="J111" i="34" s="1"/>
  <c r="K111" i="33" s="1"/>
  <c r="F5" i="30" s="1"/>
  <c r="J82" i="34" a="1"/>
  <c r="J82" i="34" s="1"/>
  <c r="K82" i="33" s="1"/>
  <c r="C2" i="30" s="1"/>
  <c r="J12" i="34" a="1"/>
  <c r="J12" i="34" s="1"/>
  <c r="K12" i="33" s="1"/>
  <c r="B10" i="18" s="1"/>
  <c r="J6" i="34" a="1"/>
  <c r="J6" i="34" s="1"/>
  <c r="K6" i="33" s="1"/>
  <c r="B4" i="18" s="1"/>
  <c r="J136" i="34" l="1" a="1"/>
  <c r="J136" i="34" s="1"/>
  <c r="K136" i="33" s="1"/>
  <c r="B4" i="31" s="1"/>
  <c r="J188" i="34" a="1"/>
  <c r="J188" i="34" s="1"/>
  <c r="K188" i="33" s="1"/>
  <c r="G4" i="31" s="1"/>
  <c r="J189" i="34" a="1"/>
  <c r="J189" i="34" s="1"/>
  <c r="K189" i="33" s="1"/>
  <c r="G5" i="31" s="1"/>
  <c r="J194" i="34" a="1"/>
  <c r="J194" i="34" s="1"/>
  <c r="K194" i="33" s="1"/>
  <c r="G10" i="31" s="1"/>
  <c r="J190" i="34" a="1"/>
  <c r="J190" i="34" s="1"/>
  <c r="K190" i="33" s="1"/>
  <c r="G6" i="31" s="1"/>
  <c r="J187" i="34" a="1"/>
  <c r="J187" i="34" s="1"/>
  <c r="K187" i="33" s="1"/>
  <c r="G3" i="31" s="1"/>
  <c r="B2" i="31"/>
  <c r="K199" i="33"/>
  <c r="K3" i="33" l="1"/>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K199" i="35"/>
  <c r="K202" i="35"/>
  <c r="A81" i="1" l="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J186" i="34" l="1" a="1"/>
  <c r="J186" i="34" s="1"/>
  <c r="K186" i="33" s="1"/>
  <c r="G2" i="31"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<sst xmlns="http://schemas.openxmlformats.org/spreadsheetml/2006/main" count="2158" uniqueCount="652">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</sst>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7">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89">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5181980000000000</c:v>
                </c:pt>
                <c:pt idx="1">
                  <c:v>5259641000000000</c:v>
                </c:pt>
                <c:pt idx="2">
                  <c:v>5170127000000000</c:v>
                </c:pt>
                <c:pt idx="3">
                  <c:v>5250442999999999</c:v>
                </c:pt>
                <c:pt idx="4">
                  <c:v>5307274000000000</c:v>
                </c:pt>
                <c:pt idx="5">
                  <c:v>5362642000000000</c:v>
                </c:pt>
                <c:pt idx="6">
                  <c:v>5422232000000000</c:v>
                </c:pt>
                <c:pt idx="7">
                  <c:v>5474321000000001</c:v>
                </c:pt>
                <c:pt idx="8">
                  <c:v>5502052361822767</c:v>
                </c:pt>
                <c:pt idx="9">
                  <c:v>5524494723645533</c:v>
                </c:pt>
                <c:pt idx="10">
                  <c:v>5544673085468299</c:v>
                </c:pt>
                <c:pt idx="11">
                  <c:v>5566804447291067</c:v>
                </c:pt>
                <c:pt idx="12">
                  <c:v>5588065809113834</c:v>
                </c:pt>
                <c:pt idx="13">
                  <c:v>5607468396007766</c:v>
                </c:pt>
                <c:pt idx="14">
                  <c:v>5636516965542253</c:v>
                </c:pt>
                <c:pt idx="15">
                  <c:v>5670751504001819</c:v>
                </c:pt>
                <c:pt idx="16">
                  <c:v>5708653253289003</c:v>
                </c:pt>
                <c:pt idx="17">
                  <c:v>5744433051528118</c:v>
                </c:pt>
                <c:pt idx="18">
                  <c:v>5782156612781563</c:v>
                </c:pt>
                <c:pt idx="19">
                  <c:v>5820306924876050</c:v>
                </c:pt>
                <c:pt idx="20">
                  <c:v>5861392599829600</c:v>
                </c:pt>
                <c:pt idx="21">
                  <c:v>5923921963206226</c:v>
                </c:pt>
                <c:pt idx="22">
                  <c:v>5990330963982574</c:v>
                </c:pt>
                <c:pt idx="23">
                  <c:v>6060625788898468</c:v>
                </c:pt>
                <c:pt idx="24">
                  <c:v>6134571251214087</c:v>
                </c:pt>
                <c:pt idx="25">
                  <c:v>6213757014745981</c:v>
                </c:pt>
                <c:pt idx="26">
                  <c:v>6297530340567617</c:v>
                </c:pt>
                <c:pt idx="27">
                  <c:v>6383413390813459</c:v>
                </c:pt>
                <c:pt idx="28">
                  <c:v>6471898078976591</c:v>
                </c:pt>
                <c:pt idx="29">
                  <c:v>6566948443129565</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4595165000000000</c:v>
                </c:pt>
                <c:pt idx="1">
                  <c:v>4715115000000000</c:v>
                </c:pt>
                <c:pt idx="2">
                  <c:v>4660196000000000</c:v>
                </c:pt>
                <c:pt idx="3">
                  <c:v>4703230000000000</c:v>
                </c:pt>
                <c:pt idx="4">
                  <c:v>4753829000000000</c:v>
                </c:pt>
                <c:pt idx="5">
                  <c:v>4801607000000000</c:v>
                </c:pt>
                <c:pt idx="6">
                  <c:v>4846558000000000</c:v>
                </c:pt>
                <c:pt idx="7">
                  <c:v>4891556000000000</c:v>
                </c:pt>
                <c:pt idx="8">
                  <c:v>4936389000000000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[4]Calculations!$J$201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[4]Calculations!$K$197:$AN$197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[4]Calculations!$K$201:$AN$201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BFF3-420C-A46B-2285EAE27396}"/>
            </c:ext>
          </c:extLst>
        </c:ser>
        <c:ser>
          <c:idx val="1"/>
          <c:order val="1"/>
          <c:tx>
            <c:strRef>
              <c:f>[4]Calculations!$J$202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[4]Calculations!$K$197:$AN$197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[4]Calculations!$K$202:$AN$202</c:f>
              <c:numCache>
                <c:formatCode>0.000E+00</c:formatCode>
                <c:ptCount val="30"/>
                <c:pt idx="0">
                  <c:v>4595165000000000</c:v>
                </c:pt>
                <c:pt idx="1">
                  <c:v>4715115000000000</c:v>
                </c:pt>
                <c:pt idx="2">
                  <c:v>4660196000000000</c:v>
                </c:pt>
                <c:pt idx="3">
                  <c:v>4703230000000000</c:v>
                </c:pt>
                <c:pt idx="4">
                  <c:v>4753829000000000</c:v>
                </c:pt>
                <c:pt idx="5">
                  <c:v>4801607000000000</c:v>
                </c:pt>
                <c:pt idx="6">
                  <c:v>4846558000000000</c:v>
                </c:pt>
                <c:pt idx="7">
                  <c:v>4891556000000000</c:v>
                </c:pt>
                <c:pt idx="8">
                  <c:v>4936389000000000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BFF3-420C-A46B-2285EAE27396}"/>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4" name="Chart 3">
          <a:extLst>
            <a:ext uri="{FF2B5EF4-FFF2-40B4-BE49-F238E27FC236}">
              <a16:creationId xmlns:a16="http://schemas.microsoft.com/office/drawing/2014/main" id="{060271A0-5DCE-4EBF-BE98-655DE0A270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Users/mmahajan/Documents/eps-us/Start%20Year%20Calibration_2021.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MeganMahajan\Documents\eps-us\InputData\bldgs\BCEU\BAU%20Components%20Energy%20Use.xlsx" TargetMode="External"/><Relationship Id="rId1" Type="http://schemas.openxmlformats.org/officeDocument/2006/relationships/externalLinkPath" Target="/Users/MeganMahajan/Documents/eps-us/InputData/bldgs/BCEU/BAU%20Components%20Energy%20Use.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C:\Users\MeganMahajan\Downloads\BAU%20Components%20Energy%20Use%20(1).xlsx" TargetMode="External"/><Relationship Id="rId1" Type="http://schemas.openxmlformats.org/officeDocument/2006/relationships/externalLinkPath" Target="/Users/MeganMahajan/Downloads/BAU%20Components%20Energy%20Use%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Heat Pump DOE Rule Adjustment"/>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sheetData sheetId="1"/>
      <sheetData sheetId="2">
        <row r="48">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row>
      </sheetData>
      <sheetData sheetId="3"/>
      <sheetData sheetId="4">
        <row r="39">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row>
      </sheetData>
      <sheetData sheetId="5">
        <row r="9">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322118958843257.63</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sheetData sheetId="7"/>
      <sheetData sheetId="8"/>
      <sheetData sheetId="9">
        <row r="18">
          <cell r="B18">
            <v>2022</v>
          </cell>
          <cell r="C18">
            <v>2023</v>
          </cell>
          <cell r="D18">
            <v>2024</v>
          </cell>
          <cell r="E18">
            <v>2025</v>
          </cell>
          <cell r="F18">
            <v>2026</v>
          </cell>
          <cell r="G18">
            <v>2027</v>
          </cell>
          <cell r="H18">
            <v>2028</v>
          </cell>
          <cell r="I18">
            <v>2029</v>
          </cell>
          <cell r="J18">
            <v>2030</v>
          </cell>
          <cell r="K18">
            <v>2031</v>
          </cell>
          <cell r="L18">
            <v>2032</v>
          </cell>
          <cell r="M18">
            <v>2033</v>
          </cell>
          <cell r="N18">
            <v>2034</v>
          </cell>
          <cell r="O18">
            <v>2035</v>
          </cell>
          <cell r="P18">
            <v>2036</v>
          </cell>
          <cell r="Q18">
            <v>2037</v>
          </cell>
          <cell r="R18">
            <v>2038</v>
          </cell>
          <cell r="S18">
            <v>2039</v>
          </cell>
          <cell r="T18">
            <v>2040</v>
          </cell>
          <cell r="U18">
            <v>2041</v>
          </cell>
          <cell r="V18">
            <v>2042</v>
          </cell>
          <cell r="W18">
            <v>2043</v>
          </cell>
          <cell r="X18">
            <v>2044</v>
          </cell>
          <cell r="Y18">
            <v>2045</v>
          </cell>
          <cell r="Z18">
            <v>2046</v>
          </cell>
          <cell r="AA18">
            <v>2047</v>
          </cell>
          <cell r="AB18">
            <v>2048</v>
          </cell>
          <cell r="AC18">
            <v>2049</v>
          </cell>
          <cell r="AD18">
            <v>2050</v>
          </cell>
        </row>
        <row r="34">
          <cell r="B34">
            <v>0.59979700000000002</v>
          </cell>
          <cell r="C34">
            <v>0.59884499999999996</v>
          </cell>
          <cell r="D34">
            <v>0.59878600000000004</v>
          </cell>
          <cell r="E34">
            <v>0.59958199999999995</v>
          </cell>
          <cell r="F34">
            <v>0.59953599999999996</v>
          </cell>
          <cell r="G34">
            <v>0.59912500000000002</v>
          </cell>
          <cell r="H34">
            <v>0.59802</v>
          </cell>
          <cell r="I34">
            <v>0.57987136182276655</v>
          </cell>
          <cell r="J34">
            <v>0.5636297236455331</v>
          </cell>
          <cell r="K34">
            <v>0.54738808546829965</v>
          </cell>
          <cell r="L34">
            <v>0.5311464472910663</v>
          </cell>
          <cell r="M34">
            <v>0.51490480911383274</v>
          </cell>
          <cell r="N34">
            <v>0.49866839600776458</v>
          </cell>
          <cell r="O34">
            <v>0.48299296554225279</v>
          </cell>
          <cell r="P34">
            <v>0.46687150400181937</v>
          </cell>
          <cell r="Q34">
            <v>0.45062725328900338</v>
          </cell>
          <cell r="R34">
            <v>0.43430605152811774</v>
          </cell>
          <cell r="S34">
            <v>0.41802261278156255</v>
          </cell>
          <cell r="T34">
            <v>0.4018009248760509</v>
          </cell>
          <cell r="U34">
            <v>0.38560559982960008</v>
          </cell>
          <cell r="V34">
            <v>0.38566996320622615</v>
          </cell>
          <cell r="W34">
            <v>0.38572696398257394</v>
          </cell>
          <cell r="X34">
            <v>0.38572078889846961</v>
          </cell>
          <cell r="Y34">
            <v>0.385707251214087</v>
          </cell>
          <cell r="Z34">
            <v>0.38578301474598264</v>
          </cell>
          <cell r="AA34">
            <v>0.38584334056761743</v>
          </cell>
          <cell r="AB34">
            <v>0.38586139081346088</v>
          </cell>
          <cell r="AC34">
            <v>0.3859100789765913</v>
          </cell>
          <cell r="AD34">
            <v>0.38603144312956528</v>
          </cell>
        </row>
      </sheetData>
      <sheetData sheetId="10">
        <row r="142">
          <cell r="T142">
            <v>395097968936789.25</v>
          </cell>
          <cell r="U142">
            <v>394587299047779.38</v>
          </cell>
          <cell r="V142">
            <v>394576500521628.63</v>
          </cell>
          <cell r="W142">
            <v>394298838277933.81</v>
          </cell>
          <cell r="X142">
            <v>393792142835134.88</v>
          </cell>
          <cell r="Y142">
            <v>393209217331010.5</v>
          </cell>
          <cell r="Z142">
            <v>392311539268440.69</v>
          </cell>
          <cell r="AA142">
            <v>391188002490874.63</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row r="197">
          <cell r="K197">
            <v>2021</v>
          </cell>
          <cell r="L197">
            <v>2022</v>
          </cell>
          <cell r="M197">
            <v>2023</v>
          </cell>
          <cell r="N197">
            <v>2024</v>
          </cell>
          <cell r="O197">
            <v>2025</v>
          </cell>
          <cell r="P197">
            <v>2026</v>
          </cell>
          <cell r="Q197">
            <v>2027</v>
          </cell>
          <cell r="R197">
            <v>2028</v>
          </cell>
          <cell r="S197">
            <v>2029</v>
          </cell>
          <cell r="T197">
            <v>2030</v>
          </cell>
          <cell r="U197">
            <v>2031</v>
          </cell>
          <cell r="V197">
            <v>2032</v>
          </cell>
          <cell r="W197">
            <v>2033</v>
          </cell>
          <cell r="X197">
            <v>2034</v>
          </cell>
          <cell r="Y197">
            <v>2035</v>
          </cell>
          <cell r="Z197">
            <v>2036</v>
          </cell>
          <cell r="AA197">
            <v>2037</v>
          </cell>
          <cell r="AB197">
            <v>2038</v>
          </cell>
          <cell r="AC197">
            <v>2039</v>
          </cell>
          <cell r="AD197">
            <v>2040</v>
          </cell>
          <cell r="AE197">
            <v>2041</v>
          </cell>
          <cell r="AF197">
            <v>2042</v>
          </cell>
          <cell r="AG197">
            <v>2043</v>
          </cell>
          <cell r="AH197">
            <v>2044</v>
          </cell>
          <cell r="AI197">
            <v>2045</v>
          </cell>
          <cell r="AJ197">
            <v>2046</v>
          </cell>
          <cell r="AK197">
            <v>2047</v>
          </cell>
          <cell r="AL197">
            <v>2048</v>
          </cell>
          <cell r="AM197">
            <v>2049</v>
          </cell>
          <cell r="AN197">
            <v>2050</v>
          </cell>
        </row>
        <row r="201">
          <cell r="J201" t="str">
            <v>aeo</v>
          </cell>
          <cell r="K201">
            <v>4595164000000000</v>
          </cell>
          <cell r="L201">
            <v>4715115000000000</v>
          </cell>
          <cell r="M201">
            <v>4660196000000000</v>
          </cell>
          <cell r="N201">
            <v>4703229000000000</v>
          </cell>
          <cell r="O201">
            <v>4706833000000000</v>
          </cell>
          <cell r="P201">
            <v>4719758000000000</v>
          </cell>
          <cell r="Q201">
            <v>4728219000000000</v>
          </cell>
          <cell r="R201">
            <v>4761503000000000</v>
          </cell>
          <cell r="S201">
            <v>4796856000000000</v>
          </cell>
          <cell r="T201">
            <v>4826465000000000</v>
          </cell>
          <cell r="U201">
            <v>4859533000000000</v>
          </cell>
          <cell r="V201">
            <v>4893326000000000</v>
          </cell>
          <cell r="W201">
            <v>4921360000000000</v>
          </cell>
          <cell r="X201">
            <v>4946467000000000</v>
          </cell>
          <cell r="Y201">
            <v>4972676000000000</v>
          </cell>
          <cell r="Z201">
            <v>4999220000000000</v>
          </cell>
          <cell r="AA201">
            <v>5022711000000000</v>
          </cell>
          <cell r="AB201">
            <v>5044183000000000</v>
          </cell>
          <cell r="AC201">
            <v>5063434000000000</v>
          </cell>
          <cell r="AD201">
            <v>5086228000000000</v>
          </cell>
          <cell r="AE201">
            <v>5112185000000000</v>
          </cell>
          <cell r="AF201">
            <v>5139875000000000</v>
          </cell>
          <cell r="AG201">
            <v>5170059000000000</v>
          </cell>
          <cell r="AH201">
            <v>5201613000000000</v>
          </cell>
          <cell r="AI201">
            <v>5235871000000000</v>
          </cell>
          <cell r="AJ201">
            <v>5273718000000000</v>
          </cell>
          <cell r="AK201">
            <v>5314649000000000</v>
          </cell>
          <cell r="AL201">
            <v>5357429000000000</v>
          </cell>
          <cell r="AM201">
            <v>5401831000000000</v>
          </cell>
          <cell r="AN201">
            <v>5448982000000000</v>
          </cell>
        </row>
        <row r="202">
          <cell r="J202" t="str">
            <v>eps</v>
          </cell>
          <cell r="K202">
            <v>4595165000000000</v>
          </cell>
          <cell r="L202">
            <v>4715115000000000</v>
          </cell>
          <cell r="M202">
            <v>4660196000000000</v>
          </cell>
          <cell r="N202">
            <v>4703230000000000</v>
          </cell>
          <cell r="O202">
            <v>4753829000000000</v>
          </cell>
          <cell r="P202">
            <v>4801607000000000</v>
          </cell>
          <cell r="Q202">
            <v>4846558000000000</v>
          </cell>
          <cell r="R202">
            <v>4891556000000000</v>
          </cell>
          <cell r="S202">
            <v>4936389000000000</v>
          </cell>
          <cell r="T202">
            <v>4826464000000000</v>
          </cell>
          <cell r="U202">
            <v>4859532000000000</v>
          </cell>
          <cell r="V202">
            <v>4893326000000000</v>
          </cell>
          <cell r="W202">
            <v>4921359000000000</v>
          </cell>
          <cell r="X202">
            <v>4946468000000000</v>
          </cell>
          <cell r="Y202">
            <v>4972677000000000</v>
          </cell>
          <cell r="Z202">
            <v>4999221000000000</v>
          </cell>
          <cell r="AA202">
            <v>5022710000000000</v>
          </cell>
          <cell r="AB202">
            <v>5044183000000000</v>
          </cell>
          <cell r="AC202">
            <v>5063434000000000</v>
          </cell>
          <cell r="AD202">
            <v>5086228000000000</v>
          </cell>
          <cell r="AE202">
            <v>5112184000000000</v>
          </cell>
          <cell r="AF202">
            <v>5139875000000000</v>
          </cell>
          <cell r="AG202">
            <v>5170060000000000</v>
          </cell>
          <cell r="AH202">
            <v>5201614000000000</v>
          </cell>
          <cell r="AI202">
            <v>5235870000000000</v>
          </cell>
          <cell r="AJ202">
            <v>5273717000000000</v>
          </cell>
          <cell r="AK202">
            <v>5314650000000000</v>
          </cell>
          <cell r="AL202">
            <v>5357428000000000</v>
          </cell>
          <cell r="AM202">
            <v>5401830000000000</v>
          </cell>
          <cell r="AN202">
            <v>5448984000000000</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sheetData sheetId="1">
        <row r="48">
          <cell r="C48">
            <v>5.1819819999999996</v>
          </cell>
        </row>
      </sheetData>
      <sheetData sheetId="2">
        <row r="48">
          <cell r="C48">
            <v>5.2596420000000004</v>
          </cell>
          <cell r="D48">
            <v>5.1701290000000002</v>
          </cell>
          <cell r="E48">
            <v>5.2504400000000002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9">
          <cell r="C39">
            <v>4.5951639999999996</v>
          </cell>
        </row>
      </sheetData>
      <sheetData sheetId="4">
        <row r="39">
          <cell r="C39">
            <v>4.7151149999999999</v>
          </cell>
          <cell r="D39">
            <v>4.660196</v>
          </cell>
          <cell r="E39">
            <v>4.7032290000000003</v>
          </cell>
        </row>
      </sheetData>
      <sheetData sheetId="5">
        <row r="9">
          <cell r="F9">
            <v>336352809191520</v>
          </cell>
          <cell r="G9">
            <v>340014333941918.56</v>
          </cell>
          <cell r="H9">
            <v>334090249852084.81</v>
          </cell>
          <cell r="I9">
            <v>316395560235523.94</v>
          </cell>
        </row>
      </sheetData>
      <sheetData sheetId="6"/>
      <sheetData sheetId="7"/>
      <sheetData sheetId="8"/>
      <sheetData sheetId="9">
        <row r="142">
          <cell r="K142">
            <v>359363595342854.44</v>
          </cell>
          <cell r="L142">
            <v>409805170050857.56</v>
          </cell>
          <cell r="M142">
            <v>409851692868979.25</v>
          </cell>
          <cell r="N142">
            <v>396667877678779.75</v>
          </cell>
        </row>
        <row r="181">
          <cell r="K181">
            <v>10852745732625.082</v>
          </cell>
          <cell r="L181">
            <v>11862979563175.609</v>
          </cell>
          <cell r="M181">
            <v>11727372604938.438</v>
          </cell>
          <cell r="N181">
            <v>12264827768223.652</v>
          </cell>
        </row>
        <row r="185">
          <cell r="K185">
            <v>2021</v>
          </cell>
          <cell r="L185">
            <v>2022</v>
          </cell>
          <cell r="M185">
            <v>2023</v>
          </cell>
          <cell r="N185">
            <v>2024</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
  <sheetViews>
    <sheetView tabSelected="1" workbookViewId="0">
      <selection activeCell="C79" sqref="C79"/>
    </sheetView>
  </sheetViews>
  <sheetFormatPr defaultRowHeight="15"/>
  <cols>
    <col min="1" max="1" width="12.42578125" customWidth="1"/>
    <col min="2" max="2" width="61.42578125" customWidth="1"/>
    <col min="3" max="3" width="19.28515625" customWidth="1"/>
  </cols>
  <sheetData>
    <row r="1" spans="1:2">
      <c r="A1" s="1" t="s">
        <v>80</v>
      </c>
    </row>
    <row r="3" spans="1:2">
      <c r="A3" s="1" t="s">
        <v>0</v>
      </c>
      <c r="B3" s="2" t="s">
        <v>84</v>
      </c>
    </row>
    <row r="4" spans="1:2">
      <c r="B4" t="s">
        <v>72</v>
      </c>
    </row>
    <row r="5" spans="1:2">
      <c r="B5" s="4">
        <v>2021</v>
      </c>
    </row>
    <row r="6" spans="1:2">
      <c r="B6" t="s">
        <v>502</v>
      </c>
    </row>
    <row r="7" spans="1:2">
      <c r="B7" s="5" t="s">
        <v>471</v>
      </c>
    </row>
    <row r="8" spans="1:2">
      <c r="B8" t="s">
        <v>73</v>
      </c>
    </row>
    <row r="10" spans="1:2">
      <c r="B10" s="2" t="s">
        <v>82</v>
      </c>
    </row>
    <row r="11" spans="1:2">
      <c r="B11" t="s">
        <v>72</v>
      </c>
    </row>
    <row r="12" spans="1:2">
      <c r="B12" s="4">
        <v>2021</v>
      </c>
    </row>
    <row r="13" spans="1:2">
      <c r="B13" t="s">
        <v>502</v>
      </c>
    </row>
    <row r="14" spans="1:2">
      <c r="B14" s="5" t="s">
        <v>471</v>
      </c>
    </row>
    <row r="15" spans="1:2">
      <c r="B15" t="s">
        <v>74</v>
      </c>
    </row>
    <row r="17" spans="1:2">
      <c r="B17" s="2" t="s">
        <v>83</v>
      </c>
    </row>
    <row r="18" spans="1:2">
      <c r="B18" t="s">
        <v>85</v>
      </c>
    </row>
    <row r="19" spans="1:2">
      <c r="B19" s="4">
        <v>2013</v>
      </c>
    </row>
    <row r="20" spans="1:2">
      <c r="B20" t="s">
        <v>340</v>
      </c>
    </row>
    <row r="21" spans="1:2">
      <c r="B21" s="5" t="s">
        <v>341</v>
      </c>
    </row>
    <row r="22" spans="1:2">
      <c r="B22" t="s">
        <v>342</v>
      </c>
    </row>
    <row r="24" spans="1:2">
      <c r="B24" s="2" t="s">
        <v>158</v>
      </c>
    </row>
    <row r="25" spans="1:2">
      <c r="B25" t="s">
        <v>159</v>
      </c>
    </row>
    <row r="26" spans="1:2">
      <c r="B26" s="4">
        <v>2020</v>
      </c>
    </row>
    <row r="27" spans="1:2">
      <c r="B27" t="s">
        <v>160</v>
      </c>
    </row>
    <row r="28" spans="1:2">
      <c r="B28" s="5" t="s">
        <v>500</v>
      </c>
    </row>
    <row r="29" spans="1:2">
      <c r="B29" s="5" t="s">
        <v>501</v>
      </c>
    </row>
    <row r="30" spans="1:2">
      <c r="B30" t="s">
        <v>161</v>
      </c>
    </row>
    <row r="32" spans="1:2">
      <c r="A32" s="1" t="s">
        <v>86</v>
      </c>
    </row>
    <row r="33" spans="1:2">
      <c r="A33" t="s">
        <v>457</v>
      </c>
    </row>
    <row r="34" spans="1:2" ht="15.75" thickBot="1">
      <c r="A34" t="s">
        <v>464</v>
      </c>
    </row>
    <row r="35" spans="1:2" ht="15.75" thickBot="1">
      <c r="A35" s="13">
        <v>2020</v>
      </c>
    </row>
    <row r="37" spans="1:2">
      <c r="A37" t="s">
        <v>458</v>
      </c>
    </row>
    <row r="38" spans="1:2">
      <c r="A38" t="s">
        <v>459</v>
      </c>
    </row>
    <row r="39" spans="1:2">
      <c r="A39" t="s">
        <v>460</v>
      </c>
    </row>
    <row r="40" spans="1:2">
      <c r="A40" t="s">
        <v>461</v>
      </c>
    </row>
    <row r="41" spans="1:2">
      <c r="A41" t="s">
        <v>462</v>
      </c>
    </row>
    <row r="43" spans="1:2">
      <c r="A43" s="2" t="s">
        <v>463</v>
      </c>
      <c r="B43" s="12"/>
    </row>
    <row r="45" spans="1:2">
      <c r="A45" s="1" t="s">
        <v>113</v>
      </c>
    </row>
    <row r="46" spans="1:2">
      <c r="A46" t="s">
        <v>114</v>
      </c>
    </row>
    <row r="47" spans="1:2">
      <c r="A47" t="s">
        <v>115</v>
      </c>
    </row>
    <row r="48" spans="1:2">
      <c r="A48" t="s">
        <v>116</v>
      </c>
    </row>
    <row r="50" spans="1:3">
      <c r="A50" t="s">
        <v>117</v>
      </c>
    </row>
    <row r="51" spans="1:3">
      <c r="A51" t="s">
        <v>118</v>
      </c>
    </row>
    <row r="52" spans="1:3">
      <c r="A52" t="s">
        <v>120</v>
      </c>
    </row>
    <row r="53" spans="1:3">
      <c r="A53" t="s">
        <v>119</v>
      </c>
    </row>
    <row r="55" spans="1:3">
      <c r="A55" s="1" t="s">
        <v>102</v>
      </c>
    </row>
    <row r="56" spans="1:3">
      <c r="A56" t="s">
        <v>103</v>
      </c>
    </row>
    <row r="57" spans="1:3">
      <c r="A57" t="s">
        <v>104</v>
      </c>
    </row>
    <row r="58" spans="1:3">
      <c r="A58" t="s">
        <v>105</v>
      </c>
    </row>
    <row r="59" spans="1:3">
      <c r="A59" t="s">
        <v>450</v>
      </c>
    </row>
    <row r="60" spans="1:3">
      <c r="B60" t="s">
        <v>106</v>
      </c>
    </row>
    <row r="61" spans="1:3">
      <c r="B61" t="s">
        <v>107</v>
      </c>
    </row>
    <row r="62" spans="1:3">
      <c r="B62" t="s">
        <v>108</v>
      </c>
      <c r="C62" s="3">
        <v>0.04</v>
      </c>
    </row>
    <row r="63" spans="1:3">
      <c r="B63" t="s">
        <v>451</v>
      </c>
    </row>
    <row r="64" spans="1:3">
      <c r="A64" s="1" t="s">
        <v>109</v>
      </c>
    </row>
    <row r="65" spans="1:2">
      <c r="A65" t="s">
        <v>110</v>
      </c>
    </row>
    <row r="66" spans="1:2">
      <c r="A66" t="s">
        <v>111</v>
      </c>
    </row>
    <row r="67" spans="1:2">
      <c r="A67" t="s">
        <v>112</v>
      </c>
    </row>
    <row r="68" spans="1:2">
      <c r="A68" t="s">
        <v>87</v>
      </c>
    </row>
    <row r="69" spans="1:2">
      <c r="A69" t="s">
        <v>88</v>
      </c>
    </row>
    <row r="70" spans="1:2">
      <c r="A70" t="s">
        <v>89</v>
      </c>
    </row>
    <row r="71" spans="1:2">
      <c r="A71" t="s">
        <v>90</v>
      </c>
    </row>
    <row r="72" spans="1:2">
      <c r="A72" t="s">
        <v>91</v>
      </c>
    </row>
    <row r="74" spans="1:2">
      <c r="A74" t="s">
        <v>98</v>
      </c>
    </row>
    <row r="75" spans="1:2">
      <c r="A75" t="s">
        <v>99</v>
      </c>
    </row>
    <row r="76" spans="1:2">
      <c r="A76" t="s">
        <v>100</v>
      </c>
    </row>
    <row r="77" spans="1:2">
      <c r="A77" t="s">
        <v>101</v>
      </c>
    </row>
    <row r="79" spans="1:2">
      <c r="A79" s="1" t="s">
        <v>443</v>
      </c>
    </row>
    <row r="80" spans="1:2">
      <c r="A80" s="9">
        <f>'RECS HC2.1'!B24/('RECS HC2.1'!B24+'RECS HC2.1'!B27)</f>
        <v>0.81308184246741677</v>
      </c>
      <c r="B80" t="s">
        <v>137</v>
      </c>
    </row>
    <row r="81" spans="1:2">
      <c r="A81" s="9">
        <f>'RECS HC2.1'!B27/('RECS HC2.1'!B24+'RECS HC2.1'!B27)</f>
        <v>0.18691815753258317</v>
      </c>
      <c r="B81" t="s">
        <v>138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defaultRowHeight="15" customHeight="1"/>
  <cols>
    <col min="1" max="1" width="36.7109375" customWidth="1"/>
    <col min="2" max="2" width="45.7109375" customWidth="1"/>
  </cols>
  <sheetData>
    <row r="1" spans="1:35" ht="15" customHeight="1" thickBot="1">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c r="A147" s="43"/>
      <c r="B147" s="82" t="s">
        <v>545</v>
      </c>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c r="AA147" s="82"/>
      <c r="AB147" s="82"/>
      <c r="AC147" s="82"/>
      <c r="AD147" s="82"/>
      <c r="AE147" s="82"/>
      <c r="AF147" s="82"/>
      <c r="AG147" s="82"/>
      <c r="AH147" s="82"/>
    </row>
    <row r="148" spans="1:34" ht="15" customHeight="1">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c r="B161" s="53" t="s">
        <v>467</v>
      </c>
    </row>
    <row r="162" spans="2:2" ht="15" customHeight="1">
      <c r="B162" s="53" t="s">
        <v>557</v>
      </c>
    </row>
    <row r="163" spans="2:2" ht="15" customHeight="1">
      <c r="B163" s="53" t="s">
        <v>558</v>
      </c>
    </row>
    <row r="164" spans="2:2" ht="15" customHeight="1">
      <c r="B164" s="53" t="s">
        <v>559</v>
      </c>
    </row>
    <row r="165" spans="2:2" ht="15" customHeight="1">
      <c r="B165" s="53" t="s">
        <v>560</v>
      </c>
    </row>
    <row r="166" spans="2:2" ht="15" customHeight="1">
      <c r="B166" s="53" t="s">
        <v>561</v>
      </c>
    </row>
    <row r="167" spans="2:2" ht="15" customHeight="1">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defaultRowHeight="15" customHeight="1"/>
  <cols>
    <col min="1" max="1" width="30.5703125" customWidth="1"/>
    <col min="2" max="2" width="45.7109375" customWidth="1"/>
  </cols>
  <sheetData>
    <row r="1" spans="1:35" ht="15" customHeight="1" thickBot="1">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c r="A122" s="43"/>
      <c r="B122" s="82" t="s">
        <v>545</v>
      </c>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row>
    <row r="123" spans="1:35" ht="15" customHeight="1">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c r="B129" s="53" t="s">
        <v>580</v>
      </c>
    </row>
    <row r="130" spans="2:2" ht="15" customHeight="1">
      <c r="B130" s="53" t="s">
        <v>581</v>
      </c>
    </row>
    <row r="131" spans="2:2" ht="15" customHeight="1">
      <c r="B131" s="53" t="s">
        <v>582</v>
      </c>
    </row>
    <row r="132" spans="2:2" ht="15" customHeight="1">
      <c r="B132" s="53" t="s">
        <v>121</v>
      </c>
    </row>
    <row r="133" spans="2:2" ht="15" customHeight="1">
      <c r="B133" s="53" t="s">
        <v>469</v>
      </c>
    </row>
    <row r="134" spans="2:2" ht="15" customHeight="1">
      <c r="B134" s="53" t="s">
        <v>470</v>
      </c>
    </row>
    <row r="135" spans="2:2" ht="15" customHeight="1">
      <c r="B135" s="53" t="s">
        <v>583</v>
      </c>
    </row>
    <row r="136" spans="2:2" ht="15" customHeight="1">
      <c r="B136" s="53" t="s">
        <v>558</v>
      </c>
    </row>
    <row r="137" spans="2:2" ht="15" customHeight="1">
      <c r="B137" s="53" t="s">
        <v>559</v>
      </c>
    </row>
    <row r="138" spans="2:2" ht="15" customHeight="1">
      <c r="B138" s="53" t="s">
        <v>560</v>
      </c>
    </row>
    <row r="139" spans="2:2" ht="15" customHeight="1">
      <c r="B139" s="53" t="s">
        <v>561</v>
      </c>
    </row>
    <row r="140" spans="2:2" ht="15" customHeight="1">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defaultRowHeight="15"/>
  <cols>
    <col min="1" max="1" width="26" customWidth="1"/>
    <col min="2" max="2" width="10.140625" bestFit="1" customWidth="1"/>
    <col min="3" max="3" width="12.140625" bestFit="1" customWidth="1"/>
    <col min="4" max="28" width="9.42578125" bestFit="1" customWidth="1"/>
    <col min="29" max="29" width="9.5703125" bestFit="1" customWidth="1"/>
    <col min="30" max="31" width="9.42578125" bestFit="1" customWidth="1"/>
    <col min="32" max="35" width="9.5703125" bestFit="1" customWidth="1"/>
  </cols>
  <sheetData>
    <row r="1" spans="1:35">
      <c r="A1" t="s">
        <v>92</v>
      </c>
      <c r="B1">
        <v>354871</v>
      </c>
      <c r="C1" t="s">
        <v>93</v>
      </c>
    </row>
    <row r="2" spans="1:35">
      <c r="A2" t="s">
        <v>94</v>
      </c>
      <c r="B2" s="6">
        <v>947817120</v>
      </c>
      <c r="C2" t="s">
        <v>95</v>
      </c>
    </row>
    <row r="3" spans="1:35">
      <c r="A3" t="s">
        <v>92</v>
      </c>
      <c r="B3" s="6">
        <f>B1*B2</f>
        <v>336352809191520</v>
      </c>
      <c r="C3" t="s">
        <v>96</v>
      </c>
    </row>
    <row r="5" spans="1:35">
      <c r="A5" t="s">
        <v>343</v>
      </c>
    </row>
    <row r="6" spans="1:35">
      <c r="A6" t="s">
        <v>344</v>
      </c>
    </row>
    <row r="8" spans="1:35">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339259270349999.13</v>
      </c>
      <c r="N9" s="7">
        <f>$B$3*('AEO Table 5'!O61/'AEO Table 5'!$C61)</f>
        <v>338325004984217.63</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330980463384384.13</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323917001279016.13</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defaultRowHeight="15"/>
  <cols>
    <col min="1" max="1" width="31.7109375" customWidth="1"/>
    <col min="2" max="7" width="10.85546875" customWidth="1"/>
    <col min="257" max="257" width="31.7109375" customWidth="1"/>
    <col min="258" max="263" width="10.85546875" customWidth="1"/>
    <col min="513" max="513" width="31.7109375" customWidth="1"/>
    <col min="514" max="519" width="10.85546875" customWidth="1"/>
    <col min="769" max="769" width="31.7109375" customWidth="1"/>
    <col min="770" max="775" width="10.85546875" customWidth="1"/>
    <col min="1025" max="1025" width="31.7109375" customWidth="1"/>
    <col min="1026" max="1031" width="10.85546875" customWidth="1"/>
    <col min="1281" max="1281" width="31.7109375" customWidth="1"/>
    <col min="1282" max="1287" width="10.85546875" customWidth="1"/>
    <col min="1537" max="1537" width="31.7109375" customWidth="1"/>
    <col min="1538" max="1543" width="10.85546875" customWidth="1"/>
    <col min="1793" max="1793" width="31.7109375" customWidth="1"/>
    <col min="1794" max="1799" width="10.85546875" customWidth="1"/>
    <col min="2049" max="2049" width="31.7109375" customWidth="1"/>
    <col min="2050" max="2055" width="10.85546875" customWidth="1"/>
    <col min="2305" max="2305" width="31.7109375" customWidth="1"/>
    <col min="2306" max="2311" width="10.85546875" customWidth="1"/>
    <col min="2561" max="2561" width="31.7109375" customWidth="1"/>
    <col min="2562" max="2567" width="10.85546875" customWidth="1"/>
    <col min="2817" max="2817" width="31.7109375" customWidth="1"/>
    <col min="2818" max="2823" width="10.85546875" customWidth="1"/>
    <col min="3073" max="3073" width="31.7109375" customWidth="1"/>
    <col min="3074" max="3079" width="10.85546875" customWidth="1"/>
    <col min="3329" max="3329" width="31.7109375" customWidth="1"/>
    <col min="3330" max="3335" width="10.85546875" customWidth="1"/>
    <col min="3585" max="3585" width="31.7109375" customWidth="1"/>
    <col min="3586" max="3591" width="10.85546875" customWidth="1"/>
    <col min="3841" max="3841" width="31.7109375" customWidth="1"/>
    <col min="3842" max="3847" width="10.85546875" customWidth="1"/>
    <col min="4097" max="4097" width="31.7109375" customWidth="1"/>
    <col min="4098" max="4103" width="10.85546875" customWidth="1"/>
    <col min="4353" max="4353" width="31.7109375" customWidth="1"/>
    <col min="4354" max="4359" width="10.85546875" customWidth="1"/>
    <col min="4609" max="4609" width="31.7109375" customWidth="1"/>
    <col min="4610" max="4615" width="10.85546875" customWidth="1"/>
    <col min="4865" max="4865" width="31.7109375" customWidth="1"/>
    <col min="4866" max="4871" width="10.85546875" customWidth="1"/>
    <col min="5121" max="5121" width="31.7109375" customWidth="1"/>
    <col min="5122" max="5127" width="10.85546875" customWidth="1"/>
    <col min="5377" max="5377" width="31.7109375" customWidth="1"/>
    <col min="5378" max="5383" width="10.85546875" customWidth="1"/>
    <col min="5633" max="5633" width="31.7109375" customWidth="1"/>
    <col min="5634" max="5639" width="10.85546875" customWidth="1"/>
    <col min="5889" max="5889" width="31.7109375" customWidth="1"/>
    <col min="5890" max="5895" width="10.85546875" customWidth="1"/>
    <col min="6145" max="6145" width="31.7109375" customWidth="1"/>
    <col min="6146" max="6151" width="10.85546875" customWidth="1"/>
    <col min="6401" max="6401" width="31.7109375" customWidth="1"/>
    <col min="6402" max="6407" width="10.85546875" customWidth="1"/>
    <col min="6657" max="6657" width="31.7109375" customWidth="1"/>
    <col min="6658" max="6663" width="10.85546875" customWidth="1"/>
    <col min="6913" max="6913" width="31.7109375" customWidth="1"/>
    <col min="6914" max="6919" width="10.85546875" customWidth="1"/>
    <col min="7169" max="7169" width="31.7109375" customWidth="1"/>
    <col min="7170" max="7175" width="10.85546875" customWidth="1"/>
    <col min="7425" max="7425" width="31.7109375" customWidth="1"/>
    <col min="7426" max="7431" width="10.85546875" customWidth="1"/>
    <col min="7681" max="7681" width="31.7109375" customWidth="1"/>
    <col min="7682" max="7687" width="10.85546875" customWidth="1"/>
    <col min="7937" max="7937" width="31.7109375" customWidth="1"/>
    <col min="7938" max="7943" width="10.85546875" customWidth="1"/>
    <col min="8193" max="8193" width="31.7109375" customWidth="1"/>
    <col min="8194" max="8199" width="10.85546875" customWidth="1"/>
    <col min="8449" max="8449" width="31.7109375" customWidth="1"/>
    <col min="8450" max="8455" width="10.85546875" customWidth="1"/>
    <col min="8705" max="8705" width="31.7109375" customWidth="1"/>
    <col min="8706" max="8711" width="10.85546875" customWidth="1"/>
    <col min="8961" max="8961" width="31.7109375" customWidth="1"/>
    <col min="8962" max="8967" width="10.85546875" customWidth="1"/>
    <col min="9217" max="9217" width="31.7109375" customWidth="1"/>
    <col min="9218" max="9223" width="10.85546875" customWidth="1"/>
    <col min="9473" max="9473" width="31.7109375" customWidth="1"/>
    <col min="9474" max="9479" width="10.85546875" customWidth="1"/>
    <col min="9729" max="9729" width="31.7109375" customWidth="1"/>
    <col min="9730" max="9735" width="10.85546875" customWidth="1"/>
    <col min="9985" max="9985" width="31.7109375" customWidth="1"/>
    <col min="9986" max="9991" width="10.85546875" customWidth="1"/>
    <col min="10241" max="10241" width="31.7109375" customWidth="1"/>
    <col min="10242" max="10247" width="10.85546875" customWidth="1"/>
    <col min="10497" max="10497" width="31.7109375" customWidth="1"/>
    <col min="10498" max="10503" width="10.85546875" customWidth="1"/>
    <col min="10753" max="10753" width="31.7109375" customWidth="1"/>
    <col min="10754" max="10759" width="10.85546875" customWidth="1"/>
    <col min="11009" max="11009" width="31.7109375" customWidth="1"/>
    <col min="11010" max="11015" width="10.85546875" customWidth="1"/>
    <col min="11265" max="11265" width="31.7109375" customWidth="1"/>
    <col min="11266" max="11271" width="10.85546875" customWidth="1"/>
    <col min="11521" max="11521" width="31.7109375" customWidth="1"/>
    <col min="11522" max="11527" width="10.85546875" customWidth="1"/>
    <col min="11777" max="11777" width="31.7109375" customWidth="1"/>
    <col min="11778" max="11783" width="10.85546875" customWidth="1"/>
    <col min="12033" max="12033" width="31.7109375" customWidth="1"/>
    <col min="12034" max="12039" width="10.85546875" customWidth="1"/>
    <col min="12289" max="12289" width="31.7109375" customWidth="1"/>
    <col min="12290" max="12295" width="10.85546875" customWidth="1"/>
    <col min="12545" max="12545" width="31.7109375" customWidth="1"/>
    <col min="12546" max="12551" width="10.85546875" customWidth="1"/>
    <col min="12801" max="12801" width="31.7109375" customWidth="1"/>
    <col min="12802" max="12807" width="10.85546875" customWidth="1"/>
    <col min="13057" max="13057" width="31.7109375" customWidth="1"/>
    <col min="13058" max="13063" width="10.85546875" customWidth="1"/>
    <col min="13313" max="13313" width="31.7109375" customWidth="1"/>
    <col min="13314" max="13319" width="10.85546875" customWidth="1"/>
    <col min="13569" max="13569" width="31.7109375" customWidth="1"/>
    <col min="13570" max="13575" width="10.85546875" customWidth="1"/>
    <col min="13825" max="13825" width="31.7109375" customWidth="1"/>
    <col min="13826" max="13831" width="10.85546875" customWidth="1"/>
    <col min="14081" max="14081" width="31.7109375" customWidth="1"/>
    <col min="14082" max="14087" width="10.85546875" customWidth="1"/>
    <col min="14337" max="14337" width="31.7109375" customWidth="1"/>
    <col min="14338" max="14343" width="10.85546875" customWidth="1"/>
    <col min="14593" max="14593" width="31.7109375" customWidth="1"/>
    <col min="14594" max="14599" width="10.85546875" customWidth="1"/>
    <col min="14849" max="14849" width="31.7109375" customWidth="1"/>
    <col min="14850" max="14855" width="10.85546875" customWidth="1"/>
    <col min="15105" max="15105" width="31.7109375" customWidth="1"/>
    <col min="15106" max="15111" width="10.85546875" customWidth="1"/>
    <col min="15361" max="15361" width="31.7109375" customWidth="1"/>
    <col min="15362" max="15367" width="10.85546875" customWidth="1"/>
    <col min="15617" max="15617" width="31.7109375" customWidth="1"/>
    <col min="15618" max="15623" width="10.85546875" customWidth="1"/>
    <col min="15873" max="15873" width="31.7109375" customWidth="1"/>
    <col min="15874" max="15879" width="10.85546875" customWidth="1"/>
    <col min="16129" max="16129" width="31.7109375" customWidth="1"/>
    <col min="16130" max="16135" width="10.85546875" customWidth="1"/>
  </cols>
  <sheetData>
    <row r="1" spans="1:7">
      <c r="A1" s="83" t="s">
        <v>499</v>
      </c>
      <c r="B1" s="83"/>
    </row>
    <row r="2" spans="1:7" ht="24" customHeight="1">
      <c r="A2" s="84" t="s">
        <v>498</v>
      </c>
      <c r="B2" s="85"/>
      <c r="C2" s="85"/>
      <c r="D2" s="85"/>
      <c r="E2" s="85"/>
      <c r="F2" s="85"/>
      <c r="G2" s="85"/>
    </row>
    <row r="3" spans="1:7" ht="24" customHeight="1" thickBot="1">
      <c r="A3" s="41"/>
      <c r="B3" s="86" t="s">
        <v>347</v>
      </c>
      <c r="C3" s="86"/>
      <c r="D3" s="86"/>
      <c r="E3" s="86"/>
      <c r="F3" s="86"/>
      <c r="G3" s="87"/>
    </row>
    <row r="4" spans="1:7" ht="23.25" customHeight="1" thickTop="1">
      <c r="A4" s="41"/>
      <c r="B4" s="40"/>
      <c r="C4" s="88" t="s">
        <v>348</v>
      </c>
      <c r="D4" s="88"/>
      <c r="E4" s="88"/>
      <c r="F4" s="88"/>
      <c r="G4" s="88"/>
    </row>
    <row r="5" spans="1:7" ht="46.5" customHeight="1" thickBot="1">
      <c r="A5" s="39"/>
      <c r="B5" s="38" t="s">
        <v>497</v>
      </c>
      <c r="C5" s="38" t="s">
        <v>349</v>
      </c>
      <c r="D5" s="38" t="s">
        <v>350</v>
      </c>
      <c r="E5" s="38" t="s">
        <v>496</v>
      </c>
      <c r="F5" s="38" t="s">
        <v>495</v>
      </c>
      <c r="G5" s="38" t="s">
        <v>351</v>
      </c>
    </row>
    <row r="6" spans="1:7" ht="24" customHeight="1" thickTop="1">
      <c r="A6" s="37" t="s">
        <v>352</v>
      </c>
      <c r="B6" s="36">
        <v>123.53</v>
      </c>
      <c r="C6" s="36">
        <v>77.069999999999993</v>
      </c>
      <c r="D6" s="36">
        <v>7.45</v>
      </c>
      <c r="E6" s="36">
        <v>9.34</v>
      </c>
      <c r="F6" s="36">
        <v>22.84</v>
      </c>
      <c r="G6" s="36">
        <v>6.83</v>
      </c>
    </row>
    <row r="7" spans="1:7" ht="24" customHeight="1">
      <c r="A7" s="31" t="s">
        <v>353</v>
      </c>
      <c r="B7" s="29" t="s">
        <v>3</v>
      </c>
      <c r="C7" s="29" t="s">
        <v>3</v>
      </c>
      <c r="D7" s="29" t="s">
        <v>3</v>
      </c>
      <c r="E7" s="29" t="s">
        <v>3</v>
      </c>
      <c r="F7" s="29" t="s">
        <v>3</v>
      </c>
      <c r="G7" s="29" t="s">
        <v>3</v>
      </c>
    </row>
    <row r="8" spans="1:7" ht="15" customHeight="1">
      <c r="A8" s="28" t="s">
        <v>122</v>
      </c>
      <c r="B8" s="25">
        <v>21.92</v>
      </c>
      <c r="C8" s="25">
        <v>11.23</v>
      </c>
      <c r="D8" s="25">
        <v>1.95</v>
      </c>
      <c r="E8" s="25">
        <v>3.15</v>
      </c>
      <c r="F8" s="25">
        <v>5.0999999999999996</v>
      </c>
      <c r="G8" s="25">
        <v>0.5</v>
      </c>
    </row>
    <row r="9" spans="1:7">
      <c r="A9" s="26" t="s">
        <v>123</v>
      </c>
      <c r="B9" s="25">
        <v>5.88</v>
      </c>
      <c r="C9" s="25">
        <v>3.34</v>
      </c>
      <c r="D9" s="25">
        <v>0.3</v>
      </c>
      <c r="E9" s="25">
        <v>0.99</v>
      </c>
      <c r="F9" s="25">
        <v>1.1000000000000001</v>
      </c>
      <c r="G9" s="25">
        <v>0.14000000000000001</v>
      </c>
    </row>
    <row r="10" spans="1:7">
      <c r="A10" s="26" t="s">
        <v>124</v>
      </c>
      <c r="B10" s="25">
        <v>16.04</v>
      </c>
      <c r="C10" s="25">
        <v>7.89</v>
      </c>
      <c r="D10" s="25">
        <v>1.65</v>
      </c>
      <c r="E10" s="25">
        <v>2.15</v>
      </c>
      <c r="F10" s="25">
        <v>3.99</v>
      </c>
      <c r="G10" s="25">
        <v>0.36</v>
      </c>
    </row>
    <row r="11" spans="1:7">
      <c r="A11" s="28" t="s">
        <v>125</v>
      </c>
      <c r="B11" s="25">
        <v>27.04</v>
      </c>
      <c r="C11" s="25">
        <v>18.579999999999998</v>
      </c>
      <c r="D11" s="25">
        <v>1.33</v>
      </c>
      <c r="E11" s="25">
        <v>1.95</v>
      </c>
      <c r="F11" s="25">
        <v>4.2</v>
      </c>
      <c r="G11" s="25">
        <v>0.97</v>
      </c>
    </row>
    <row r="12" spans="1:7">
      <c r="A12" s="26" t="s">
        <v>126</v>
      </c>
      <c r="B12" s="25">
        <v>18.55</v>
      </c>
      <c r="C12" s="25">
        <v>12.59</v>
      </c>
      <c r="D12" s="25">
        <v>0.91</v>
      </c>
      <c r="E12" s="25">
        <v>1.49</v>
      </c>
      <c r="F12" s="25">
        <v>2.94</v>
      </c>
      <c r="G12" s="25">
        <v>0.63</v>
      </c>
    </row>
    <row r="13" spans="1:7" ht="15" customHeight="1">
      <c r="A13" s="26" t="s">
        <v>127</v>
      </c>
      <c r="B13" s="25">
        <v>8.5</v>
      </c>
      <c r="C13" s="25">
        <v>5.99</v>
      </c>
      <c r="D13" s="25">
        <v>0.43</v>
      </c>
      <c r="E13" s="25">
        <v>0.47</v>
      </c>
      <c r="F13" s="25">
        <v>1.26</v>
      </c>
      <c r="G13" s="25">
        <v>0.35</v>
      </c>
    </row>
    <row r="14" spans="1:7">
      <c r="A14" s="28" t="s">
        <v>128</v>
      </c>
      <c r="B14" s="25">
        <v>46.84</v>
      </c>
      <c r="C14" s="25">
        <v>30.29</v>
      </c>
      <c r="D14" s="25">
        <v>2.48</v>
      </c>
      <c r="E14" s="25">
        <v>2.36</v>
      </c>
      <c r="F14" s="25">
        <v>7.83</v>
      </c>
      <c r="G14" s="25">
        <v>3.89</v>
      </c>
    </row>
    <row r="15" spans="1:7">
      <c r="A15" s="26" t="s">
        <v>129</v>
      </c>
      <c r="B15" s="25">
        <v>24.84</v>
      </c>
      <c r="C15" s="25">
        <v>15.25</v>
      </c>
      <c r="D15" s="25">
        <v>1.92</v>
      </c>
      <c r="E15" s="25">
        <v>1.17</v>
      </c>
      <c r="F15" s="25">
        <v>4.51</v>
      </c>
      <c r="G15" s="25">
        <v>2</v>
      </c>
    </row>
    <row r="16" spans="1:7">
      <c r="A16" s="26" t="s">
        <v>130</v>
      </c>
      <c r="B16" s="25">
        <v>7.38</v>
      </c>
      <c r="C16" s="25">
        <v>5.17</v>
      </c>
      <c r="D16" s="25">
        <v>0.19</v>
      </c>
      <c r="E16" s="25">
        <v>0.41</v>
      </c>
      <c r="F16" s="25">
        <v>0.84</v>
      </c>
      <c r="G16" s="25">
        <v>0.77</v>
      </c>
    </row>
    <row r="17" spans="1:7" ht="15" customHeight="1">
      <c r="A17" s="26" t="s">
        <v>131</v>
      </c>
      <c r="B17" s="25">
        <v>14.62</v>
      </c>
      <c r="C17" s="25">
        <v>9.8699999999999992</v>
      </c>
      <c r="D17" s="25">
        <v>0.36</v>
      </c>
      <c r="E17" s="25">
        <v>0.78</v>
      </c>
      <c r="F17" s="25">
        <v>2.48</v>
      </c>
      <c r="G17" s="25">
        <v>1.1200000000000001</v>
      </c>
    </row>
    <row r="18" spans="1:7">
      <c r="A18" s="28" t="s">
        <v>132</v>
      </c>
      <c r="B18" s="25">
        <v>27.72</v>
      </c>
      <c r="C18" s="25">
        <v>16.97</v>
      </c>
      <c r="D18" s="25">
        <v>1.69</v>
      </c>
      <c r="E18" s="25">
        <v>1.89</v>
      </c>
      <c r="F18" s="25">
        <v>5.7</v>
      </c>
      <c r="G18" s="25">
        <v>1.47</v>
      </c>
    </row>
    <row r="19" spans="1:7">
      <c r="A19" s="26" t="s">
        <v>133</v>
      </c>
      <c r="B19" s="25">
        <v>9.2200000000000006</v>
      </c>
      <c r="C19" s="25">
        <v>6.06</v>
      </c>
      <c r="D19" s="25">
        <v>0.5</v>
      </c>
      <c r="E19" s="25">
        <v>0.52</v>
      </c>
      <c r="F19" s="25">
        <v>1.47</v>
      </c>
      <c r="G19" s="25">
        <v>0.67</v>
      </c>
    </row>
    <row r="20" spans="1:7">
      <c r="A20" s="32" t="s">
        <v>134</v>
      </c>
      <c r="B20" s="25">
        <v>4.62</v>
      </c>
      <c r="C20" s="25">
        <v>3.1</v>
      </c>
      <c r="D20" s="25">
        <v>0.28999999999999998</v>
      </c>
      <c r="E20" s="25">
        <v>0.26</v>
      </c>
      <c r="F20" s="25">
        <v>0.73</v>
      </c>
      <c r="G20" s="25">
        <v>0.24</v>
      </c>
    </row>
    <row r="21" spans="1:7">
      <c r="A21" s="32" t="s">
        <v>135</v>
      </c>
      <c r="B21" s="25">
        <v>4.5999999999999996</v>
      </c>
      <c r="C21" s="25">
        <v>2.96</v>
      </c>
      <c r="D21" s="25">
        <v>0.21</v>
      </c>
      <c r="E21" s="25">
        <v>0.26</v>
      </c>
      <c r="F21" s="25">
        <v>0.74</v>
      </c>
      <c r="G21" s="25">
        <v>0.43</v>
      </c>
    </row>
    <row r="22" spans="1:7">
      <c r="A22" s="26" t="s">
        <v>136</v>
      </c>
      <c r="B22" s="25">
        <v>18.510000000000002</v>
      </c>
      <c r="C22" s="25">
        <v>10.91</v>
      </c>
      <c r="D22" s="25">
        <v>1.19</v>
      </c>
      <c r="E22" s="25">
        <v>1.36</v>
      </c>
      <c r="F22" s="25">
        <v>4.24</v>
      </c>
      <c r="G22" s="25">
        <v>0.8</v>
      </c>
    </row>
    <row r="23" spans="1:7" ht="24" customHeight="1">
      <c r="A23" s="31" t="s">
        <v>494</v>
      </c>
      <c r="B23" s="29" t="s">
        <v>3</v>
      </c>
      <c r="C23" s="29" t="s">
        <v>3</v>
      </c>
      <c r="D23" s="29" t="s">
        <v>3</v>
      </c>
      <c r="E23" s="29" t="s">
        <v>3</v>
      </c>
      <c r="F23" s="29" t="s">
        <v>3</v>
      </c>
      <c r="G23" s="29" t="s">
        <v>3</v>
      </c>
    </row>
    <row r="24" spans="1:7">
      <c r="A24" s="28" t="s">
        <v>137</v>
      </c>
      <c r="B24" s="25">
        <v>100.44</v>
      </c>
      <c r="C24" s="25">
        <v>58.8</v>
      </c>
      <c r="D24" s="25">
        <v>7.04</v>
      </c>
      <c r="E24" s="25">
        <v>9.02</v>
      </c>
      <c r="F24" s="25">
        <v>22.27</v>
      </c>
      <c r="G24" s="25">
        <v>3.31</v>
      </c>
    </row>
    <row r="25" spans="1:7" s="24" customFormat="1">
      <c r="A25" s="26" t="s">
        <v>354</v>
      </c>
      <c r="B25" s="25">
        <v>89.24</v>
      </c>
      <c r="C25" s="25">
        <v>50.99</v>
      </c>
      <c r="D25" s="25">
        <v>6.57</v>
      </c>
      <c r="E25" s="25">
        <v>7.95</v>
      </c>
      <c r="F25" s="25">
        <v>21.2</v>
      </c>
      <c r="G25" s="25">
        <v>2.5299999999999998</v>
      </c>
    </row>
    <row r="26" spans="1:7" s="24" customFormat="1">
      <c r="A26" s="26" t="s">
        <v>355</v>
      </c>
      <c r="B26" s="25">
        <v>11.2</v>
      </c>
      <c r="C26" s="25">
        <v>7.82</v>
      </c>
      <c r="D26" s="25">
        <v>0.47</v>
      </c>
      <c r="E26" s="25">
        <v>1.07</v>
      </c>
      <c r="F26" s="25">
        <v>1.07</v>
      </c>
      <c r="G26" s="25">
        <v>0.77</v>
      </c>
    </row>
    <row r="27" spans="1:7">
      <c r="A27" s="28" t="s">
        <v>138</v>
      </c>
      <c r="B27" s="25">
        <v>23.09</v>
      </c>
      <c r="C27" s="25">
        <v>18.27</v>
      </c>
      <c r="D27" s="25">
        <v>0.41</v>
      </c>
      <c r="E27" s="25">
        <v>0.32</v>
      </c>
      <c r="F27" s="25">
        <v>0.56999999999999995</v>
      </c>
      <c r="G27" s="25">
        <v>3.52</v>
      </c>
    </row>
    <row r="28" spans="1:7" ht="33.950000000000003" customHeight="1">
      <c r="A28" s="31" t="s">
        <v>493</v>
      </c>
      <c r="B28" s="29" t="s">
        <v>3</v>
      </c>
      <c r="C28" s="29" t="s">
        <v>3</v>
      </c>
      <c r="D28" s="29" t="s">
        <v>3</v>
      </c>
      <c r="E28" s="29" t="s">
        <v>3</v>
      </c>
      <c r="F28" s="29" t="s">
        <v>3</v>
      </c>
      <c r="G28" s="29" t="s">
        <v>3</v>
      </c>
    </row>
    <row r="29" spans="1:7">
      <c r="A29" s="28" t="s">
        <v>356</v>
      </c>
      <c r="B29" s="25">
        <v>42.5</v>
      </c>
      <c r="C29" s="25">
        <v>28.04</v>
      </c>
      <c r="D29" s="25">
        <v>2.4300000000000002</v>
      </c>
      <c r="E29" s="25">
        <v>3.78</v>
      </c>
      <c r="F29" s="25">
        <v>6.74</v>
      </c>
      <c r="G29" s="25">
        <v>1.52</v>
      </c>
    </row>
    <row r="30" spans="1:7">
      <c r="A30" s="28" t="s">
        <v>357</v>
      </c>
      <c r="B30" s="25">
        <v>36.79</v>
      </c>
      <c r="C30" s="25">
        <v>21.89</v>
      </c>
      <c r="D30" s="25">
        <v>2.8</v>
      </c>
      <c r="E30" s="25">
        <v>2.72</v>
      </c>
      <c r="F30" s="25">
        <v>7.03</v>
      </c>
      <c r="G30" s="25">
        <v>2.35</v>
      </c>
    </row>
    <row r="31" spans="1:7">
      <c r="A31" s="28" t="s">
        <v>358</v>
      </c>
      <c r="B31" s="25">
        <v>15.06</v>
      </c>
      <c r="C31" s="25">
        <v>9.07</v>
      </c>
      <c r="D31" s="25">
        <v>0.9</v>
      </c>
      <c r="E31" s="25">
        <v>1.1200000000000001</v>
      </c>
      <c r="F31" s="25">
        <v>3.12</v>
      </c>
      <c r="G31" s="25">
        <v>0.83</v>
      </c>
    </row>
    <row r="32" spans="1:7" ht="24" customHeight="1">
      <c r="A32" s="28" t="s">
        <v>359</v>
      </c>
      <c r="B32" s="25">
        <v>22.31</v>
      </c>
      <c r="C32" s="25">
        <v>13.98</v>
      </c>
      <c r="D32" s="25">
        <v>0.92</v>
      </c>
      <c r="E32" s="25">
        <v>1.25</v>
      </c>
      <c r="F32" s="25">
        <v>4.37</v>
      </c>
      <c r="G32" s="25">
        <v>1.8</v>
      </c>
    </row>
    <row r="33" spans="1:7">
      <c r="A33" s="28" t="s">
        <v>139</v>
      </c>
      <c r="B33" s="25">
        <v>6.87</v>
      </c>
      <c r="C33" s="25">
        <v>4.09</v>
      </c>
      <c r="D33" s="25">
        <v>0.4</v>
      </c>
      <c r="E33" s="25">
        <v>0.48</v>
      </c>
      <c r="F33" s="25">
        <v>1.57</v>
      </c>
      <c r="G33" s="25">
        <v>0.34</v>
      </c>
    </row>
    <row r="34" spans="1:7">
      <c r="A34" s="31" t="s">
        <v>360</v>
      </c>
      <c r="B34" s="29" t="s">
        <v>3</v>
      </c>
      <c r="C34" s="29" t="s">
        <v>3</v>
      </c>
      <c r="D34" s="29" t="s">
        <v>3</v>
      </c>
      <c r="E34" s="29" t="s">
        <v>3</v>
      </c>
      <c r="F34" s="29" t="s">
        <v>3</v>
      </c>
      <c r="G34" s="29" t="s">
        <v>3</v>
      </c>
    </row>
    <row r="35" spans="1:7">
      <c r="A35" s="28" t="s">
        <v>361</v>
      </c>
      <c r="B35" s="25">
        <v>20.260000000000002</v>
      </c>
      <c r="C35" s="25">
        <v>13.58</v>
      </c>
      <c r="D35" s="25">
        <v>1.1399999999999999</v>
      </c>
      <c r="E35" s="25">
        <v>2.36</v>
      </c>
      <c r="F35" s="25">
        <v>3.08</v>
      </c>
      <c r="G35" s="25">
        <v>0.09</v>
      </c>
    </row>
    <row r="36" spans="1:7">
      <c r="A36" s="28" t="s">
        <v>141</v>
      </c>
      <c r="B36" s="25">
        <v>12.48</v>
      </c>
      <c r="C36" s="25">
        <v>9.9</v>
      </c>
      <c r="D36" s="25">
        <v>0.4</v>
      </c>
      <c r="E36" s="25">
        <v>0.77</v>
      </c>
      <c r="F36" s="25">
        <v>1.25</v>
      </c>
      <c r="G36" s="25">
        <v>0.16</v>
      </c>
    </row>
    <row r="37" spans="1:7">
      <c r="A37" s="28" t="s">
        <v>142</v>
      </c>
      <c r="B37" s="25">
        <v>12.76</v>
      </c>
      <c r="C37" s="25">
        <v>8.23</v>
      </c>
      <c r="D37" s="25">
        <v>0.63</v>
      </c>
      <c r="E37" s="25">
        <v>1.1200000000000001</v>
      </c>
      <c r="F37" s="25">
        <v>2.41</v>
      </c>
      <c r="G37" s="25">
        <v>0.37</v>
      </c>
    </row>
    <row r="38" spans="1:7" ht="24" customHeight="1">
      <c r="A38" s="28" t="s">
        <v>143</v>
      </c>
      <c r="B38" s="25">
        <v>18.34</v>
      </c>
      <c r="C38" s="25">
        <v>10.46</v>
      </c>
      <c r="D38" s="25">
        <v>0.97</v>
      </c>
      <c r="E38" s="25">
        <v>1.56</v>
      </c>
      <c r="F38" s="25">
        <v>4.01</v>
      </c>
      <c r="G38" s="25">
        <v>1.34</v>
      </c>
    </row>
    <row r="39" spans="1:7">
      <c r="A39" s="28" t="s">
        <v>144</v>
      </c>
      <c r="B39" s="25">
        <v>16.3</v>
      </c>
      <c r="C39" s="25">
        <v>8.67</v>
      </c>
      <c r="D39" s="25">
        <v>1.26</v>
      </c>
      <c r="E39" s="25">
        <v>1.43</v>
      </c>
      <c r="F39" s="25">
        <v>3.6</v>
      </c>
      <c r="G39" s="25">
        <v>1.33</v>
      </c>
    </row>
    <row r="40" spans="1:7">
      <c r="A40" s="28" t="s">
        <v>145</v>
      </c>
      <c r="B40" s="25">
        <v>17.16</v>
      </c>
      <c r="C40" s="25">
        <v>10.65</v>
      </c>
      <c r="D40" s="25">
        <v>1.08</v>
      </c>
      <c r="E40" s="25">
        <v>0.95</v>
      </c>
      <c r="F40" s="25">
        <v>2.5499999999999998</v>
      </c>
      <c r="G40" s="25">
        <v>1.92</v>
      </c>
    </row>
    <row r="41" spans="1:7">
      <c r="A41" s="28" t="s">
        <v>146</v>
      </c>
      <c r="B41" s="25">
        <v>16.16</v>
      </c>
      <c r="C41" s="25">
        <v>9.98</v>
      </c>
      <c r="D41" s="25">
        <v>1.31</v>
      </c>
      <c r="E41" s="25">
        <v>0.72</v>
      </c>
      <c r="F41" s="25">
        <v>3.17</v>
      </c>
      <c r="G41" s="25">
        <v>0.98</v>
      </c>
    </row>
    <row r="42" spans="1:7">
      <c r="A42" s="28" t="s">
        <v>362</v>
      </c>
      <c r="B42" s="25">
        <v>5.53</v>
      </c>
      <c r="C42" s="25">
        <v>3.05</v>
      </c>
      <c r="D42" s="25">
        <v>0.37</v>
      </c>
      <c r="E42" s="25">
        <v>0.26</v>
      </c>
      <c r="F42" s="25">
        <v>1.52</v>
      </c>
      <c r="G42" s="25">
        <v>0.32</v>
      </c>
    </row>
    <row r="43" spans="1:7">
      <c r="A43" s="28" t="s">
        <v>492</v>
      </c>
      <c r="B43" s="25">
        <v>4.5599999999999996</v>
      </c>
      <c r="C43" s="25">
        <v>2.5299999999999998</v>
      </c>
      <c r="D43" s="25">
        <v>0.28999999999999998</v>
      </c>
      <c r="E43" s="25">
        <v>0.18</v>
      </c>
      <c r="F43" s="25">
        <v>1.26</v>
      </c>
      <c r="G43" s="25">
        <v>0.31</v>
      </c>
    </row>
    <row r="44" spans="1:7">
      <c r="A44" s="31" t="s">
        <v>363</v>
      </c>
      <c r="B44" s="29" t="s">
        <v>3</v>
      </c>
      <c r="C44" s="29" t="s">
        <v>3</v>
      </c>
      <c r="D44" s="29" t="s">
        <v>3</v>
      </c>
      <c r="E44" s="29" t="s">
        <v>3</v>
      </c>
      <c r="F44" s="29" t="s">
        <v>3</v>
      </c>
      <c r="G44" s="29" t="s">
        <v>3</v>
      </c>
    </row>
    <row r="45" spans="1:7">
      <c r="A45" s="28" t="s">
        <v>491</v>
      </c>
      <c r="B45" s="25">
        <v>47.15</v>
      </c>
      <c r="C45" s="25">
        <v>44.59</v>
      </c>
      <c r="D45" s="25">
        <v>2.57</v>
      </c>
      <c r="E45" s="25" t="s">
        <v>147</v>
      </c>
      <c r="F45" s="25" t="s">
        <v>147</v>
      </c>
      <c r="G45" s="25" t="s">
        <v>147</v>
      </c>
    </row>
    <row r="46" spans="1:7">
      <c r="A46" s="28" t="s">
        <v>490</v>
      </c>
      <c r="B46" s="25">
        <v>32.47</v>
      </c>
      <c r="C46" s="25">
        <v>28.53</v>
      </c>
      <c r="D46" s="25">
        <v>3.94</v>
      </c>
      <c r="E46" s="25" t="s">
        <v>147</v>
      </c>
      <c r="F46" s="25" t="s">
        <v>147</v>
      </c>
      <c r="G46" s="25" t="s">
        <v>147</v>
      </c>
    </row>
    <row r="47" spans="1:7" ht="24" customHeight="1">
      <c r="A47" s="28" t="s">
        <v>489</v>
      </c>
      <c r="B47" s="25">
        <v>2.61</v>
      </c>
      <c r="C47" s="25">
        <v>1.76</v>
      </c>
      <c r="D47" s="25">
        <v>0.85</v>
      </c>
      <c r="E47" s="25" t="s">
        <v>147</v>
      </c>
      <c r="F47" s="25" t="s">
        <v>147</v>
      </c>
      <c r="G47" s="25" t="s">
        <v>147</v>
      </c>
    </row>
    <row r="48" spans="1:7">
      <c r="A48" s="28" t="s">
        <v>488</v>
      </c>
      <c r="B48" s="25">
        <v>2.2799999999999998</v>
      </c>
      <c r="C48" s="25">
        <v>2.19</v>
      </c>
      <c r="D48" s="25">
        <v>0.09</v>
      </c>
      <c r="E48" s="25" t="s">
        <v>147</v>
      </c>
      <c r="F48" s="25" t="s">
        <v>147</v>
      </c>
      <c r="G48" s="25" t="s">
        <v>147</v>
      </c>
    </row>
    <row r="49" spans="1:7" ht="26.25">
      <c r="A49" s="28" t="s">
        <v>364</v>
      </c>
      <c r="B49" s="25">
        <v>39.01</v>
      </c>
      <c r="C49" s="25" t="s">
        <v>147</v>
      </c>
      <c r="D49" s="25" t="s">
        <v>147</v>
      </c>
      <c r="E49" s="25">
        <v>9.34</v>
      </c>
      <c r="F49" s="25">
        <v>22.84</v>
      </c>
      <c r="G49" s="25">
        <v>6.83</v>
      </c>
    </row>
    <row r="50" spans="1:7">
      <c r="A50" s="31" t="s">
        <v>365</v>
      </c>
      <c r="B50" s="29" t="s">
        <v>3</v>
      </c>
      <c r="C50" s="29" t="s">
        <v>3</v>
      </c>
      <c r="D50" s="29" t="s">
        <v>3</v>
      </c>
      <c r="E50" s="29" t="s">
        <v>3</v>
      </c>
      <c r="F50" s="29" t="s">
        <v>3</v>
      </c>
      <c r="G50" s="29" t="s">
        <v>3</v>
      </c>
    </row>
    <row r="51" spans="1:7" ht="26.25">
      <c r="A51" s="28" t="s">
        <v>487</v>
      </c>
      <c r="B51" s="25">
        <v>45.44</v>
      </c>
      <c r="C51" s="25">
        <v>31.14</v>
      </c>
      <c r="D51" s="25">
        <v>2.83</v>
      </c>
      <c r="E51" s="25">
        <v>2.23</v>
      </c>
      <c r="F51" s="25">
        <v>3.79</v>
      </c>
      <c r="G51" s="25">
        <v>5.45</v>
      </c>
    </row>
    <row r="52" spans="1:7">
      <c r="A52" s="28" t="s">
        <v>148</v>
      </c>
      <c r="B52" s="25">
        <v>33.369999999999997</v>
      </c>
      <c r="C52" s="25">
        <v>17.52</v>
      </c>
      <c r="D52" s="25">
        <v>2.0099999999999998</v>
      </c>
      <c r="E52" s="25">
        <v>3.79</v>
      </c>
      <c r="F52" s="25">
        <v>9.8000000000000007</v>
      </c>
      <c r="G52" s="25">
        <v>0.24</v>
      </c>
    </row>
    <row r="53" spans="1:7" ht="24" customHeight="1">
      <c r="A53" s="28" t="s">
        <v>149</v>
      </c>
      <c r="B53" s="25">
        <v>18.8</v>
      </c>
      <c r="C53" s="25">
        <v>12.63</v>
      </c>
      <c r="D53" s="25">
        <v>0.92</v>
      </c>
      <c r="E53" s="25">
        <v>1.55</v>
      </c>
      <c r="F53" s="25">
        <v>2.86</v>
      </c>
      <c r="G53" s="25">
        <v>0.84</v>
      </c>
    </row>
    <row r="54" spans="1:7" ht="15" customHeight="1">
      <c r="A54" s="28" t="s">
        <v>150</v>
      </c>
      <c r="B54" s="25">
        <v>15.65</v>
      </c>
      <c r="C54" s="25">
        <v>10.54</v>
      </c>
      <c r="D54" s="25">
        <v>1.07</v>
      </c>
      <c r="E54" s="25">
        <v>0.89</v>
      </c>
      <c r="F54" s="25">
        <v>3.08</v>
      </c>
      <c r="G54" s="25">
        <v>0.08</v>
      </c>
    </row>
    <row r="55" spans="1:7">
      <c r="A55" s="28" t="s">
        <v>486</v>
      </c>
      <c r="B55" s="25">
        <v>6.42</v>
      </c>
      <c r="C55" s="25">
        <v>2.89</v>
      </c>
      <c r="D55" s="25">
        <v>0.41</v>
      </c>
      <c r="E55" s="25">
        <v>0.5</v>
      </c>
      <c r="F55" s="25">
        <v>2.56</v>
      </c>
      <c r="G55" s="25" t="s">
        <v>140</v>
      </c>
    </row>
    <row r="56" spans="1:7">
      <c r="A56" s="28" t="s">
        <v>485</v>
      </c>
      <c r="B56" s="25">
        <v>1.89</v>
      </c>
      <c r="C56" s="25">
        <v>1.1599999999999999</v>
      </c>
      <c r="D56" s="25">
        <v>0.11</v>
      </c>
      <c r="E56" s="25">
        <v>0.21</v>
      </c>
      <c r="F56" s="25">
        <v>0.3</v>
      </c>
      <c r="G56" s="25">
        <v>0.11</v>
      </c>
    </row>
    <row r="57" spans="1:7">
      <c r="A57" s="28" t="s">
        <v>151</v>
      </c>
      <c r="B57" s="25">
        <v>1.46</v>
      </c>
      <c r="C57" s="25">
        <v>0.94</v>
      </c>
      <c r="D57" s="25">
        <v>0.08</v>
      </c>
      <c r="E57" s="25">
        <v>0.14000000000000001</v>
      </c>
      <c r="F57" s="25">
        <v>0.31</v>
      </c>
      <c r="G57" s="25" t="s">
        <v>147</v>
      </c>
    </row>
    <row r="58" spans="1:7">
      <c r="A58" s="28" t="s">
        <v>366</v>
      </c>
      <c r="B58" s="25">
        <v>0.5</v>
      </c>
      <c r="C58" s="25">
        <v>0.26</v>
      </c>
      <c r="D58" s="25" t="s">
        <v>140</v>
      </c>
      <c r="E58" s="25" t="s">
        <v>140</v>
      </c>
      <c r="F58" s="25">
        <v>0.14000000000000001</v>
      </c>
      <c r="G58" s="25" t="s">
        <v>140</v>
      </c>
    </row>
    <row r="59" spans="1:7">
      <c r="A59" s="31" t="s">
        <v>367</v>
      </c>
      <c r="B59" s="29" t="s">
        <v>3</v>
      </c>
      <c r="C59" s="29" t="s">
        <v>3</v>
      </c>
      <c r="D59" s="29" t="s">
        <v>3</v>
      </c>
      <c r="E59" s="29" t="s">
        <v>3</v>
      </c>
      <c r="F59" s="29" t="s">
        <v>3</v>
      </c>
      <c r="G59" s="29" t="s">
        <v>3</v>
      </c>
    </row>
    <row r="60" spans="1:7">
      <c r="A60" s="28" t="s">
        <v>368</v>
      </c>
      <c r="B60" s="25">
        <v>76.03</v>
      </c>
      <c r="C60" s="25">
        <v>61.56</v>
      </c>
      <c r="D60" s="25">
        <v>5.49</v>
      </c>
      <c r="E60" s="25">
        <v>5.89</v>
      </c>
      <c r="F60" s="25" t="s">
        <v>147</v>
      </c>
      <c r="G60" s="25">
        <v>3.09</v>
      </c>
    </row>
    <row r="61" spans="1:7">
      <c r="A61" s="28" t="s">
        <v>152</v>
      </c>
      <c r="B61" s="25">
        <v>9.69</v>
      </c>
      <c r="C61" s="25">
        <v>5.87</v>
      </c>
      <c r="D61" s="25">
        <v>0.28000000000000003</v>
      </c>
      <c r="E61" s="25">
        <v>0.46</v>
      </c>
      <c r="F61" s="25" t="s">
        <v>147</v>
      </c>
      <c r="G61" s="25">
        <v>3.08</v>
      </c>
    </row>
    <row r="62" spans="1:7" ht="24" customHeight="1">
      <c r="A62" s="28" t="s">
        <v>369</v>
      </c>
      <c r="B62" s="25">
        <v>5.19</v>
      </c>
      <c r="C62" s="25">
        <v>3.06</v>
      </c>
      <c r="D62" s="25">
        <v>0.55000000000000004</v>
      </c>
      <c r="E62" s="25">
        <v>1.23</v>
      </c>
      <c r="F62" s="25" t="s">
        <v>147</v>
      </c>
      <c r="G62" s="25">
        <v>0.35</v>
      </c>
    </row>
    <row r="63" spans="1:7">
      <c r="A63" s="28" t="s">
        <v>370</v>
      </c>
      <c r="B63" s="25">
        <v>4.8899999999999997</v>
      </c>
      <c r="C63" s="25">
        <v>3.6</v>
      </c>
      <c r="D63" s="25">
        <v>0.59</v>
      </c>
      <c r="E63" s="25">
        <v>0.66</v>
      </c>
      <c r="F63" s="25" t="s">
        <v>147</v>
      </c>
      <c r="G63" s="25" t="s">
        <v>140</v>
      </c>
    </row>
    <row r="64" spans="1:7">
      <c r="A64" s="28" t="s">
        <v>371</v>
      </c>
      <c r="B64" s="25">
        <v>2.14</v>
      </c>
      <c r="C64" s="25">
        <v>1.58</v>
      </c>
      <c r="D64" s="25">
        <v>0.11</v>
      </c>
      <c r="E64" s="25">
        <v>0.43</v>
      </c>
      <c r="F64" s="25" t="s">
        <v>147</v>
      </c>
      <c r="G64" s="25" t="s">
        <v>140</v>
      </c>
    </row>
    <row r="65" spans="1:7">
      <c r="A65" s="28" t="s">
        <v>372</v>
      </c>
      <c r="B65" s="25">
        <v>1.49</v>
      </c>
      <c r="C65" s="25">
        <v>0.73</v>
      </c>
      <c r="D65" s="25">
        <v>0.18</v>
      </c>
      <c r="E65" s="25">
        <v>0.51</v>
      </c>
      <c r="F65" s="25" t="s">
        <v>147</v>
      </c>
      <c r="G65" s="25">
        <v>0.08</v>
      </c>
    </row>
    <row r="66" spans="1:7">
      <c r="A66" s="28" t="s">
        <v>366</v>
      </c>
      <c r="B66" s="25">
        <v>1.26</v>
      </c>
      <c r="C66" s="25">
        <v>0.67</v>
      </c>
      <c r="D66" s="25">
        <v>0.27</v>
      </c>
      <c r="E66" s="25">
        <v>0.15</v>
      </c>
      <c r="F66" s="25" t="s">
        <v>147</v>
      </c>
      <c r="G66" s="25">
        <v>0.18</v>
      </c>
    </row>
    <row r="67" spans="1:7" ht="26.25">
      <c r="A67" s="28" t="s">
        <v>373</v>
      </c>
      <c r="B67" s="25">
        <v>22.84</v>
      </c>
      <c r="C67" s="25" t="s">
        <v>147</v>
      </c>
      <c r="D67" s="25" t="s">
        <v>147</v>
      </c>
      <c r="E67" s="25" t="s">
        <v>147</v>
      </c>
      <c r="F67" s="25">
        <v>22.84</v>
      </c>
      <c r="G67" s="25" t="s">
        <v>147</v>
      </c>
    </row>
    <row r="68" spans="1:7" ht="26.25">
      <c r="A68" s="31" t="s">
        <v>374</v>
      </c>
      <c r="B68" s="29" t="s">
        <v>3</v>
      </c>
      <c r="C68" s="29" t="s">
        <v>3</v>
      </c>
      <c r="D68" s="29" t="s">
        <v>3</v>
      </c>
      <c r="E68" s="29" t="s">
        <v>3</v>
      </c>
      <c r="F68" s="29" t="s">
        <v>3</v>
      </c>
      <c r="G68" s="29" t="s">
        <v>3</v>
      </c>
    </row>
    <row r="69" spans="1:7">
      <c r="A69" s="33" t="s">
        <v>154</v>
      </c>
      <c r="B69" s="25">
        <v>4.59</v>
      </c>
      <c r="C69" s="25">
        <v>0.09</v>
      </c>
      <c r="D69" s="25">
        <v>0.05</v>
      </c>
      <c r="E69" s="25">
        <v>0.77</v>
      </c>
      <c r="F69" s="25">
        <v>3.56</v>
      </c>
      <c r="G69" s="25">
        <v>0.11</v>
      </c>
    </row>
    <row r="70" spans="1:7">
      <c r="A70" s="33">
        <v>3</v>
      </c>
      <c r="B70" s="25">
        <v>8.73</v>
      </c>
      <c r="C70" s="25">
        <v>0.65</v>
      </c>
      <c r="D70" s="25">
        <v>0.3</v>
      </c>
      <c r="E70" s="25">
        <v>1.71</v>
      </c>
      <c r="F70" s="25">
        <v>5.86</v>
      </c>
      <c r="G70" s="25">
        <v>0.21</v>
      </c>
    </row>
    <row r="71" spans="1:7" ht="33.950000000000003" customHeight="1">
      <c r="A71" s="33">
        <v>4</v>
      </c>
      <c r="B71" s="25">
        <v>15.95</v>
      </c>
      <c r="C71" s="25">
        <v>3.3</v>
      </c>
      <c r="D71" s="25">
        <v>1.46</v>
      </c>
      <c r="E71" s="25">
        <v>3.04</v>
      </c>
      <c r="F71" s="25">
        <v>6.98</v>
      </c>
      <c r="G71" s="25">
        <v>1.17</v>
      </c>
    </row>
    <row r="72" spans="1:7">
      <c r="A72" s="33">
        <v>5</v>
      </c>
      <c r="B72" s="25">
        <v>19.54</v>
      </c>
      <c r="C72" s="25">
        <v>9.77</v>
      </c>
      <c r="D72" s="25">
        <v>1.81</v>
      </c>
      <c r="E72" s="25">
        <v>2.17</v>
      </c>
      <c r="F72" s="25">
        <v>4.13</v>
      </c>
      <c r="G72" s="25">
        <v>1.65</v>
      </c>
    </row>
    <row r="73" spans="1:7">
      <c r="A73" s="33">
        <v>6</v>
      </c>
      <c r="B73" s="25">
        <v>22.1</v>
      </c>
      <c r="C73" s="25">
        <v>15.86</v>
      </c>
      <c r="D73" s="25">
        <v>1.66</v>
      </c>
      <c r="E73" s="25">
        <v>0.97</v>
      </c>
      <c r="F73" s="25">
        <v>1.68</v>
      </c>
      <c r="G73" s="25">
        <v>1.94</v>
      </c>
    </row>
    <row r="74" spans="1:7">
      <c r="A74" s="33">
        <v>7</v>
      </c>
      <c r="B74" s="25">
        <v>18.86</v>
      </c>
      <c r="C74" s="25">
        <v>16.23</v>
      </c>
      <c r="D74" s="25">
        <v>1.1000000000000001</v>
      </c>
      <c r="E74" s="25">
        <v>0.27</v>
      </c>
      <c r="F74" s="25">
        <v>0.38</v>
      </c>
      <c r="G74" s="25">
        <v>0.87</v>
      </c>
    </row>
    <row r="75" spans="1:7">
      <c r="A75" s="33">
        <v>8</v>
      </c>
      <c r="B75" s="25">
        <v>13.87</v>
      </c>
      <c r="C75" s="25">
        <v>12.42</v>
      </c>
      <c r="D75" s="25">
        <v>0.56000000000000005</v>
      </c>
      <c r="E75" s="25">
        <v>0.16</v>
      </c>
      <c r="F75" s="25">
        <v>0.15</v>
      </c>
      <c r="G75" s="25">
        <v>0.57999999999999996</v>
      </c>
    </row>
    <row r="76" spans="1:7">
      <c r="A76" s="33" t="s">
        <v>375</v>
      </c>
      <c r="B76" s="25">
        <v>19.899999999999999</v>
      </c>
      <c r="C76" s="25">
        <v>18.73</v>
      </c>
      <c r="D76" s="25">
        <v>0.51</v>
      </c>
      <c r="E76" s="25">
        <v>0.25</v>
      </c>
      <c r="F76" s="25">
        <v>0.11</v>
      </c>
      <c r="G76" s="25">
        <v>0.3</v>
      </c>
    </row>
    <row r="77" spans="1:7">
      <c r="A77" s="31" t="s">
        <v>376</v>
      </c>
      <c r="B77" s="25" t="s">
        <v>3</v>
      </c>
      <c r="C77" s="25" t="s">
        <v>3</v>
      </c>
      <c r="D77" s="25" t="s">
        <v>3</v>
      </c>
      <c r="E77" s="25" t="s">
        <v>3</v>
      </c>
      <c r="F77" s="25" t="s">
        <v>3</v>
      </c>
      <c r="G77" s="25" t="s">
        <v>3</v>
      </c>
    </row>
    <row r="78" spans="1:7">
      <c r="A78" s="33">
        <v>0</v>
      </c>
      <c r="B78" s="25">
        <v>1.82</v>
      </c>
      <c r="C78" s="25">
        <v>0.1</v>
      </c>
      <c r="D78" s="25" t="s">
        <v>140</v>
      </c>
      <c r="E78" s="25">
        <v>0.32</v>
      </c>
      <c r="F78" s="25">
        <v>1.36</v>
      </c>
      <c r="G78" s="25" t="s">
        <v>140</v>
      </c>
    </row>
    <row r="79" spans="1:7">
      <c r="A79" s="33">
        <v>1</v>
      </c>
      <c r="B79" s="25">
        <v>14.52</v>
      </c>
      <c r="C79" s="25">
        <v>1.25</v>
      </c>
      <c r="D79" s="25">
        <v>0.49</v>
      </c>
      <c r="E79" s="25">
        <v>2.61</v>
      </c>
      <c r="F79" s="25">
        <v>9.7799999999999994</v>
      </c>
      <c r="G79" s="25">
        <v>0.4</v>
      </c>
    </row>
    <row r="80" spans="1:7" ht="24" customHeight="1">
      <c r="A80" s="33">
        <v>2</v>
      </c>
      <c r="B80" s="25">
        <v>30.67</v>
      </c>
      <c r="C80" s="25">
        <v>10.56</v>
      </c>
      <c r="D80" s="25">
        <v>3.19</v>
      </c>
      <c r="E80" s="25">
        <v>4.57</v>
      </c>
      <c r="F80" s="25">
        <v>9.99</v>
      </c>
      <c r="G80" s="25">
        <v>2.36</v>
      </c>
    </row>
    <row r="81" spans="1:7">
      <c r="A81" s="33">
        <v>3</v>
      </c>
      <c r="B81" s="25">
        <v>48.27</v>
      </c>
      <c r="C81" s="25">
        <v>38.869999999999997</v>
      </c>
      <c r="D81" s="25">
        <v>2.94</v>
      </c>
      <c r="E81" s="25">
        <v>1.48</v>
      </c>
      <c r="F81" s="25">
        <v>1.51</v>
      </c>
      <c r="G81" s="25">
        <v>3.49</v>
      </c>
    </row>
    <row r="82" spans="1:7">
      <c r="A82" s="33">
        <v>4</v>
      </c>
      <c r="B82" s="25">
        <v>22.08</v>
      </c>
      <c r="C82" s="25">
        <v>20.61</v>
      </c>
      <c r="D82" s="25">
        <v>0.57999999999999996</v>
      </c>
      <c r="E82" s="25">
        <v>0.23</v>
      </c>
      <c r="F82" s="25">
        <v>0.15</v>
      </c>
      <c r="G82" s="25">
        <v>0.51</v>
      </c>
    </row>
    <row r="83" spans="1:7">
      <c r="A83" s="33" t="s">
        <v>377</v>
      </c>
      <c r="B83" s="25">
        <v>6.16</v>
      </c>
      <c r="C83" s="25">
        <v>5.69</v>
      </c>
      <c r="D83" s="25">
        <v>0.21</v>
      </c>
      <c r="E83" s="25">
        <v>0.13</v>
      </c>
      <c r="F83" s="25" t="s">
        <v>140</v>
      </c>
      <c r="G83" s="25">
        <v>7.0000000000000007E-2</v>
      </c>
    </row>
    <row r="84" spans="1:7" ht="26.25">
      <c r="A84" s="31" t="s">
        <v>378</v>
      </c>
      <c r="B84" s="29" t="s">
        <v>3</v>
      </c>
      <c r="C84" s="29" t="s">
        <v>3</v>
      </c>
      <c r="D84" s="29" t="s">
        <v>3</v>
      </c>
      <c r="E84" s="29" t="s">
        <v>3</v>
      </c>
      <c r="F84" s="29" t="s">
        <v>3</v>
      </c>
      <c r="G84" s="29" t="s">
        <v>3</v>
      </c>
    </row>
    <row r="85" spans="1:7">
      <c r="A85" s="33">
        <v>1</v>
      </c>
      <c r="B85" s="25">
        <v>8.41</v>
      </c>
      <c r="C85" s="25">
        <v>1.43</v>
      </c>
      <c r="D85" s="25">
        <v>0.31</v>
      </c>
      <c r="E85" s="25">
        <v>1.55</v>
      </c>
      <c r="F85" s="25">
        <v>4.84</v>
      </c>
      <c r="G85" s="25">
        <v>0.28000000000000003</v>
      </c>
    </row>
    <row r="86" spans="1:7">
      <c r="A86" s="33">
        <v>2</v>
      </c>
      <c r="B86" s="25">
        <v>27.88</v>
      </c>
      <c r="C86" s="25">
        <v>9.65</v>
      </c>
      <c r="D86" s="25">
        <v>2.13</v>
      </c>
      <c r="E86" s="25">
        <v>3.9</v>
      </c>
      <c r="F86" s="25">
        <v>10.07</v>
      </c>
      <c r="G86" s="25">
        <v>2.13</v>
      </c>
    </row>
    <row r="87" spans="1:7" ht="33.950000000000003" customHeight="1">
      <c r="A87" s="33">
        <v>3</v>
      </c>
      <c r="B87" s="25">
        <v>32.82</v>
      </c>
      <c r="C87" s="25">
        <v>19.91</v>
      </c>
      <c r="D87" s="25">
        <v>2.39</v>
      </c>
      <c r="E87" s="25">
        <v>2.5499999999999998</v>
      </c>
      <c r="F87" s="25">
        <v>5.6</v>
      </c>
      <c r="G87" s="25">
        <v>2.36</v>
      </c>
    </row>
    <row r="88" spans="1:7">
      <c r="A88" s="33">
        <v>4</v>
      </c>
      <c r="B88" s="25">
        <v>26.77</v>
      </c>
      <c r="C88" s="25">
        <v>21.33</v>
      </c>
      <c r="D88" s="25">
        <v>1.5</v>
      </c>
      <c r="E88" s="25">
        <v>0.82</v>
      </c>
      <c r="F88" s="25">
        <v>1.86</v>
      </c>
      <c r="G88" s="25">
        <v>1.26</v>
      </c>
    </row>
    <row r="89" spans="1:7">
      <c r="A89" s="33" t="s">
        <v>377</v>
      </c>
      <c r="B89" s="25">
        <v>27.64</v>
      </c>
      <c r="C89" s="25">
        <v>24.75</v>
      </c>
      <c r="D89" s="25">
        <v>1.1100000000000001</v>
      </c>
      <c r="E89" s="25">
        <v>0.51</v>
      </c>
      <c r="F89" s="25">
        <v>0.47</v>
      </c>
      <c r="G89" s="25">
        <v>0.79</v>
      </c>
    </row>
    <row r="90" spans="1:7">
      <c r="A90" s="31" t="s">
        <v>379</v>
      </c>
      <c r="B90" s="29" t="s">
        <v>3</v>
      </c>
      <c r="C90" s="29" t="s">
        <v>3</v>
      </c>
      <c r="D90" s="29" t="s">
        <v>3</v>
      </c>
      <c r="E90" s="29" t="s">
        <v>3</v>
      </c>
      <c r="F90" s="29" t="s">
        <v>3</v>
      </c>
      <c r="G90" s="29" t="s">
        <v>3</v>
      </c>
    </row>
    <row r="91" spans="1:7">
      <c r="A91" s="33">
        <v>0</v>
      </c>
      <c r="B91" s="25">
        <v>0.15</v>
      </c>
      <c r="C91" s="25">
        <v>7.0000000000000007E-2</v>
      </c>
      <c r="D91" s="25" t="s">
        <v>140</v>
      </c>
      <c r="E91" s="25" t="s">
        <v>140</v>
      </c>
      <c r="F91" s="25" t="s">
        <v>140</v>
      </c>
      <c r="G91" s="25" t="s">
        <v>140</v>
      </c>
    </row>
    <row r="92" spans="1:7">
      <c r="A92" s="33">
        <v>1</v>
      </c>
      <c r="B92" s="25">
        <v>50.32</v>
      </c>
      <c r="C92" s="25">
        <v>21.7</v>
      </c>
      <c r="D92" s="25">
        <v>3.03</v>
      </c>
      <c r="E92" s="25">
        <v>7.24</v>
      </c>
      <c r="F92" s="25">
        <v>16.260000000000002</v>
      </c>
      <c r="G92" s="25">
        <v>2.1</v>
      </c>
    </row>
    <row r="93" spans="1:7" ht="24" customHeight="1">
      <c r="A93" s="33">
        <v>2</v>
      </c>
      <c r="B93" s="25">
        <v>56.85</v>
      </c>
      <c r="C93" s="25">
        <v>40.42</v>
      </c>
      <c r="D93" s="25">
        <v>3.7</v>
      </c>
      <c r="E93" s="25">
        <v>1.86</v>
      </c>
      <c r="F93" s="25">
        <v>6.36</v>
      </c>
      <c r="G93" s="25">
        <v>4.51</v>
      </c>
    </row>
    <row r="94" spans="1:7">
      <c r="A94" s="33" t="s">
        <v>380</v>
      </c>
      <c r="B94" s="25">
        <v>16.21</v>
      </c>
      <c r="C94" s="25">
        <v>14.89</v>
      </c>
      <c r="D94" s="25">
        <v>0.72</v>
      </c>
      <c r="E94" s="25">
        <v>0.23</v>
      </c>
      <c r="F94" s="25">
        <v>0.15</v>
      </c>
      <c r="G94" s="25">
        <v>0.22</v>
      </c>
    </row>
    <row r="95" spans="1:7">
      <c r="A95" s="31" t="s">
        <v>381</v>
      </c>
      <c r="B95" s="29" t="s">
        <v>3</v>
      </c>
      <c r="C95" s="29" t="s">
        <v>3</v>
      </c>
      <c r="D95" s="29" t="s">
        <v>3</v>
      </c>
      <c r="E95" s="29" t="s">
        <v>3</v>
      </c>
      <c r="F95" s="29" t="s">
        <v>3</v>
      </c>
      <c r="G95" s="29" t="s">
        <v>3</v>
      </c>
    </row>
    <row r="96" spans="1:7">
      <c r="A96" s="33">
        <v>0</v>
      </c>
      <c r="B96" s="25">
        <v>86.83</v>
      </c>
      <c r="C96" s="25">
        <v>47.8</v>
      </c>
      <c r="D96" s="25">
        <v>4.0599999999999996</v>
      </c>
      <c r="E96" s="25">
        <v>8.2100000000000009</v>
      </c>
      <c r="F96" s="25">
        <v>20.77</v>
      </c>
      <c r="G96" s="25">
        <v>5.98</v>
      </c>
    </row>
    <row r="97" spans="1:7">
      <c r="A97" s="33">
        <v>1</v>
      </c>
      <c r="B97" s="25">
        <v>33.79</v>
      </c>
      <c r="C97" s="25">
        <v>26.87</v>
      </c>
      <c r="D97" s="25">
        <v>3.21</v>
      </c>
      <c r="E97" s="25">
        <v>1.03</v>
      </c>
      <c r="F97" s="25">
        <v>1.94</v>
      </c>
      <c r="G97" s="25">
        <v>0.75</v>
      </c>
    </row>
    <row r="98" spans="1:7" ht="24" customHeight="1">
      <c r="A98" s="33" t="s">
        <v>382</v>
      </c>
      <c r="B98" s="25">
        <v>2.91</v>
      </c>
      <c r="C98" s="25">
        <v>2.39</v>
      </c>
      <c r="D98" s="25">
        <v>0.18</v>
      </c>
      <c r="E98" s="25">
        <v>0.11</v>
      </c>
      <c r="F98" s="25">
        <v>0.13</v>
      </c>
      <c r="G98" s="25">
        <v>0.1</v>
      </c>
    </row>
    <row r="99" spans="1:7">
      <c r="A99" s="31" t="s">
        <v>153</v>
      </c>
      <c r="B99" s="29" t="s">
        <v>3</v>
      </c>
      <c r="C99" s="29" t="s">
        <v>3</v>
      </c>
      <c r="D99" s="29" t="s">
        <v>3</v>
      </c>
      <c r="E99" s="29" t="s">
        <v>3</v>
      </c>
      <c r="F99" s="29" t="s">
        <v>3</v>
      </c>
      <c r="G99" s="29" t="s">
        <v>3</v>
      </c>
    </row>
    <row r="100" spans="1:7">
      <c r="A100" s="28" t="s">
        <v>155</v>
      </c>
      <c r="B100" s="25">
        <v>36.83</v>
      </c>
      <c r="C100" s="25">
        <v>33.86</v>
      </c>
      <c r="D100" s="25">
        <v>2.98</v>
      </c>
      <c r="E100" s="25" t="s">
        <v>147</v>
      </c>
      <c r="F100" s="25" t="s">
        <v>147</v>
      </c>
      <c r="G100" s="25" t="s">
        <v>147</v>
      </c>
    </row>
    <row r="101" spans="1:7">
      <c r="A101" s="26" t="s">
        <v>383</v>
      </c>
      <c r="B101" s="25">
        <v>21.71</v>
      </c>
      <c r="C101" s="25">
        <v>19.850000000000001</v>
      </c>
      <c r="D101" s="25">
        <v>1.87</v>
      </c>
      <c r="E101" s="25" t="s">
        <v>147</v>
      </c>
      <c r="F101" s="25" t="s">
        <v>147</v>
      </c>
      <c r="G101" s="25" t="s">
        <v>147</v>
      </c>
    </row>
    <row r="102" spans="1:7" ht="24" customHeight="1">
      <c r="A102" s="26" t="s">
        <v>384</v>
      </c>
      <c r="B102" s="25">
        <v>15.12</v>
      </c>
      <c r="C102" s="25">
        <v>14.01</v>
      </c>
      <c r="D102" s="25">
        <v>1.1100000000000001</v>
      </c>
      <c r="E102" s="25" t="s">
        <v>147</v>
      </c>
      <c r="F102" s="25" t="s">
        <v>147</v>
      </c>
      <c r="G102" s="25" t="s">
        <v>147</v>
      </c>
    </row>
    <row r="103" spans="1:7">
      <c r="A103" s="33" t="s">
        <v>156</v>
      </c>
      <c r="B103" s="25">
        <v>47.68</v>
      </c>
      <c r="C103" s="25">
        <v>43.21</v>
      </c>
      <c r="D103" s="25">
        <v>4.47</v>
      </c>
      <c r="E103" s="25" t="s">
        <v>147</v>
      </c>
      <c r="F103" s="25" t="s">
        <v>147</v>
      </c>
      <c r="G103" s="25" t="s">
        <v>147</v>
      </c>
    </row>
    <row r="104" spans="1:7" ht="26.25">
      <c r="A104" s="33" t="s">
        <v>364</v>
      </c>
      <c r="B104" s="25">
        <v>39.01</v>
      </c>
      <c r="C104" s="25" t="s">
        <v>147</v>
      </c>
      <c r="D104" s="25" t="s">
        <v>147</v>
      </c>
      <c r="E104" s="25">
        <v>9.34</v>
      </c>
      <c r="F104" s="25">
        <v>22.84</v>
      </c>
      <c r="G104" s="25">
        <v>6.83</v>
      </c>
    </row>
    <row r="105" spans="1:7">
      <c r="A105" s="31" t="s">
        <v>385</v>
      </c>
      <c r="B105" s="29" t="s">
        <v>3</v>
      </c>
      <c r="C105" s="29" t="s">
        <v>3</v>
      </c>
      <c r="D105" s="29" t="s">
        <v>3</v>
      </c>
      <c r="E105" s="29" t="s">
        <v>3</v>
      </c>
      <c r="F105" s="29" t="s">
        <v>3</v>
      </c>
      <c r="G105" s="29" t="s">
        <v>3</v>
      </c>
    </row>
    <row r="106" spans="1:7">
      <c r="A106" s="28" t="s">
        <v>155</v>
      </c>
      <c r="B106" s="25">
        <v>56.5</v>
      </c>
      <c r="C106" s="25">
        <v>52.99</v>
      </c>
      <c r="D106" s="25">
        <v>3.52</v>
      </c>
      <c r="E106" s="25" t="s">
        <v>147</v>
      </c>
      <c r="F106" s="25" t="s">
        <v>147</v>
      </c>
      <c r="G106" s="25" t="s">
        <v>147</v>
      </c>
    </row>
    <row r="107" spans="1:7">
      <c r="A107" s="26" t="s">
        <v>386</v>
      </c>
      <c r="B107" s="25">
        <v>7.68</v>
      </c>
      <c r="C107" s="25">
        <v>7.1</v>
      </c>
      <c r="D107" s="25">
        <v>0.56999999999999995</v>
      </c>
      <c r="E107" s="25" t="s">
        <v>147</v>
      </c>
      <c r="F107" s="25" t="s">
        <v>147</v>
      </c>
      <c r="G107" s="25" t="s">
        <v>147</v>
      </c>
    </row>
    <row r="108" spans="1:7" ht="24" customHeight="1">
      <c r="A108" s="26" t="s">
        <v>387</v>
      </c>
      <c r="B108" s="25">
        <v>48.83</v>
      </c>
      <c r="C108" s="25">
        <v>45.88</v>
      </c>
      <c r="D108" s="25">
        <v>2.94</v>
      </c>
      <c r="E108" s="25" t="s">
        <v>147</v>
      </c>
      <c r="F108" s="25" t="s">
        <v>147</v>
      </c>
      <c r="G108" s="25" t="s">
        <v>147</v>
      </c>
    </row>
    <row r="109" spans="1:7">
      <c r="A109" s="28" t="s">
        <v>156</v>
      </c>
      <c r="B109" s="25">
        <v>28.01</v>
      </c>
      <c r="C109" s="25">
        <v>24.08</v>
      </c>
      <c r="D109" s="25">
        <v>3.94</v>
      </c>
      <c r="E109" s="25" t="s">
        <v>147</v>
      </c>
      <c r="F109" s="25" t="s">
        <v>147</v>
      </c>
      <c r="G109" s="25" t="s">
        <v>147</v>
      </c>
    </row>
    <row r="110" spans="1:7" ht="26.25">
      <c r="A110" s="33" t="s">
        <v>364</v>
      </c>
      <c r="B110" s="25">
        <v>39.01</v>
      </c>
      <c r="C110" s="25" t="s">
        <v>147</v>
      </c>
      <c r="D110" s="25" t="s">
        <v>147</v>
      </c>
      <c r="E110" s="25">
        <v>9.34</v>
      </c>
      <c r="F110" s="25">
        <v>22.84</v>
      </c>
      <c r="G110" s="25">
        <v>6.83</v>
      </c>
    </row>
    <row r="111" spans="1:7">
      <c r="A111" s="31" t="s">
        <v>388</v>
      </c>
      <c r="B111" s="29" t="s">
        <v>3</v>
      </c>
      <c r="C111" s="29" t="s">
        <v>3</v>
      </c>
      <c r="D111" s="29" t="s">
        <v>3</v>
      </c>
      <c r="E111" s="29" t="s">
        <v>3</v>
      </c>
      <c r="F111" s="29" t="s">
        <v>3</v>
      </c>
      <c r="G111" s="29" t="s">
        <v>3</v>
      </c>
    </row>
    <row r="112" spans="1:7">
      <c r="A112" s="28" t="s">
        <v>155</v>
      </c>
      <c r="B112" s="25">
        <v>51.79</v>
      </c>
      <c r="C112" s="25">
        <v>48.19</v>
      </c>
      <c r="D112" s="25">
        <v>3.6</v>
      </c>
      <c r="E112" s="25" t="s">
        <v>147</v>
      </c>
      <c r="F112" s="25" t="s">
        <v>147</v>
      </c>
      <c r="G112" s="25" t="s">
        <v>147</v>
      </c>
    </row>
    <row r="113" spans="1:7">
      <c r="A113" s="26" t="s">
        <v>389</v>
      </c>
      <c r="B113" s="25">
        <v>11.27</v>
      </c>
      <c r="C113" s="25">
        <v>9.64</v>
      </c>
      <c r="D113" s="25">
        <v>1.64</v>
      </c>
      <c r="E113" s="25" t="s">
        <v>147</v>
      </c>
      <c r="F113" s="25" t="s">
        <v>147</v>
      </c>
      <c r="G113" s="25" t="s">
        <v>147</v>
      </c>
    </row>
    <row r="114" spans="1:7" ht="24" customHeight="1">
      <c r="A114" s="26" t="s">
        <v>390</v>
      </c>
      <c r="B114" s="25">
        <v>34.18</v>
      </c>
      <c r="C114" s="25">
        <v>32.270000000000003</v>
      </c>
      <c r="D114" s="25">
        <v>1.91</v>
      </c>
      <c r="E114" s="25" t="s">
        <v>147</v>
      </c>
      <c r="F114" s="25" t="s">
        <v>147</v>
      </c>
      <c r="G114" s="25" t="s">
        <v>147</v>
      </c>
    </row>
    <row r="115" spans="1:7" ht="24" customHeight="1">
      <c r="A115" s="26" t="s">
        <v>391</v>
      </c>
      <c r="B115" s="25">
        <v>6.34</v>
      </c>
      <c r="C115" s="25">
        <v>6.28</v>
      </c>
      <c r="D115" s="25">
        <v>0.06</v>
      </c>
      <c r="E115" s="25" t="s">
        <v>147</v>
      </c>
      <c r="F115" s="25" t="s">
        <v>147</v>
      </c>
      <c r="G115" s="25" t="s">
        <v>147</v>
      </c>
    </row>
    <row r="116" spans="1:7">
      <c r="A116" s="28" t="s">
        <v>156</v>
      </c>
      <c r="B116" s="25">
        <v>32.72</v>
      </c>
      <c r="C116" s="25">
        <v>28.88</v>
      </c>
      <c r="D116" s="25">
        <v>3.85</v>
      </c>
      <c r="E116" s="25" t="s">
        <v>147</v>
      </c>
      <c r="F116" s="25" t="s">
        <v>147</v>
      </c>
      <c r="G116" s="25" t="s">
        <v>147</v>
      </c>
    </row>
    <row r="117" spans="1:7" ht="26.25">
      <c r="A117" s="33" t="s">
        <v>364</v>
      </c>
      <c r="B117" s="25">
        <v>39.01</v>
      </c>
      <c r="C117" s="25" t="s">
        <v>147</v>
      </c>
      <c r="D117" s="25" t="s">
        <v>147</v>
      </c>
      <c r="E117" s="25">
        <v>9.34</v>
      </c>
      <c r="F117" s="25">
        <v>22.84</v>
      </c>
      <c r="G117" s="25">
        <v>6.83</v>
      </c>
    </row>
    <row r="118" spans="1:7">
      <c r="A118" s="31" t="s">
        <v>392</v>
      </c>
      <c r="B118" s="29" t="s">
        <v>3</v>
      </c>
      <c r="C118" s="29" t="s">
        <v>3</v>
      </c>
      <c r="D118" s="29" t="s">
        <v>3</v>
      </c>
      <c r="E118" s="29" t="s">
        <v>3</v>
      </c>
      <c r="F118" s="29" t="s">
        <v>3</v>
      </c>
      <c r="G118" s="29" t="s">
        <v>3</v>
      </c>
    </row>
    <row r="119" spans="1:7">
      <c r="A119" s="28" t="s">
        <v>393</v>
      </c>
      <c r="B119" s="25">
        <v>34.340000000000003</v>
      </c>
      <c r="C119" s="25">
        <v>24.33</v>
      </c>
      <c r="D119" s="25">
        <v>1.8</v>
      </c>
      <c r="E119" s="25">
        <v>1.59</v>
      </c>
      <c r="F119" s="25">
        <v>5.22</v>
      </c>
      <c r="G119" s="25">
        <v>1.39</v>
      </c>
    </row>
    <row r="120" spans="1:7">
      <c r="A120" s="28" t="s">
        <v>394</v>
      </c>
      <c r="B120" s="25">
        <v>64.27</v>
      </c>
      <c r="C120" s="25">
        <v>40.369999999999997</v>
      </c>
      <c r="D120" s="25">
        <v>3.98</v>
      </c>
      <c r="E120" s="25">
        <v>4.41</v>
      </c>
      <c r="F120" s="25">
        <v>12.22</v>
      </c>
      <c r="G120" s="25">
        <v>3.28</v>
      </c>
    </row>
    <row r="121" spans="1:7" ht="24" customHeight="1">
      <c r="A121" s="28" t="s">
        <v>395</v>
      </c>
      <c r="B121" s="25">
        <v>21.29</v>
      </c>
      <c r="C121" s="25">
        <v>11.11</v>
      </c>
      <c r="D121" s="25">
        <v>1.45</v>
      </c>
      <c r="E121" s="25">
        <v>2.7</v>
      </c>
      <c r="F121" s="25">
        <v>4.1500000000000004</v>
      </c>
      <c r="G121" s="25">
        <v>1.87</v>
      </c>
    </row>
    <row r="122" spans="1:7">
      <c r="A122" s="28" t="s">
        <v>484</v>
      </c>
      <c r="B122" s="25">
        <v>3.63</v>
      </c>
      <c r="C122" s="25">
        <v>1.25</v>
      </c>
      <c r="D122" s="25">
        <v>0.21</v>
      </c>
      <c r="E122" s="25">
        <v>0.64</v>
      </c>
      <c r="F122" s="25">
        <v>1.24</v>
      </c>
      <c r="G122" s="25">
        <v>0.28999999999999998</v>
      </c>
    </row>
    <row r="123" spans="1:7">
      <c r="A123" s="31" t="s">
        <v>396</v>
      </c>
      <c r="B123" s="29" t="s">
        <v>3</v>
      </c>
      <c r="C123" s="29" t="s">
        <v>3</v>
      </c>
      <c r="D123" s="29" t="s">
        <v>3</v>
      </c>
      <c r="E123" s="29" t="s">
        <v>3</v>
      </c>
      <c r="F123" s="29" t="s">
        <v>3</v>
      </c>
      <c r="G123" s="29" t="s">
        <v>3</v>
      </c>
    </row>
    <row r="124" spans="1:7">
      <c r="A124" s="28" t="s">
        <v>157</v>
      </c>
      <c r="B124" s="25">
        <v>55.37</v>
      </c>
      <c r="C124" s="25">
        <v>37.020000000000003</v>
      </c>
      <c r="D124" s="25">
        <v>2.91</v>
      </c>
      <c r="E124" s="25">
        <v>2.9</v>
      </c>
      <c r="F124" s="25">
        <v>10.130000000000001</v>
      </c>
      <c r="G124" s="25">
        <v>2.41</v>
      </c>
    </row>
    <row r="125" spans="1:7">
      <c r="A125" s="28" t="s">
        <v>397</v>
      </c>
      <c r="B125" s="25">
        <v>52.63</v>
      </c>
      <c r="C125" s="25">
        <v>32.53</v>
      </c>
      <c r="D125" s="25">
        <v>3.35</v>
      </c>
      <c r="E125" s="25">
        <v>4.22</v>
      </c>
      <c r="F125" s="25">
        <v>9.35</v>
      </c>
      <c r="G125" s="25">
        <v>3.19</v>
      </c>
    </row>
    <row r="126" spans="1:7" s="24" customFormat="1" ht="24" customHeight="1">
      <c r="A126" s="28" t="s">
        <v>398</v>
      </c>
      <c r="B126" s="25">
        <v>10.39</v>
      </c>
      <c r="C126" s="25">
        <v>5.3</v>
      </c>
      <c r="D126" s="25">
        <v>0.76</v>
      </c>
      <c r="E126" s="25">
        <v>1.43</v>
      </c>
      <c r="F126" s="25">
        <v>2.15</v>
      </c>
      <c r="G126" s="25">
        <v>0.75</v>
      </c>
    </row>
    <row r="127" spans="1:7" s="24" customFormat="1">
      <c r="A127" s="28" t="s">
        <v>399</v>
      </c>
      <c r="B127" s="25">
        <v>5.14</v>
      </c>
      <c r="C127" s="25">
        <v>2.2200000000000002</v>
      </c>
      <c r="D127" s="25">
        <v>0.44</v>
      </c>
      <c r="E127" s="25">
        <v>0.8</v>
      </c>
      <c r="F127" s="25">
        <v>1.2</v>
      </c>
      <c r="G127" s="25">
        <v>0.48</v>
      </c>
    </row>
    <row r="128" spans="1:7" s="24" customFormat="1">
      <c r="A128" s="31" t="s">
        <v>483</v>
      </c>
      <c r="B128" s="29" t="s">
        <v>3</v>
      </c>
      <c r="C128" s="29" t="s">
        <v>3</v>
      </c>
      <c r="D128" s="29" t="s">
        <v>3</v>
      </c>
      <c r="E128" s="29" t="s">
        <v>3</v>
      </c>
      <c r="F128" s="29" t="s">
        <v>3</v>
      </c>
      <c r="G128" s="29" t="s">
        <v>3</v>
      </c>
    </row>
    <row r="129" spans="1:7">
      <c r="A129" s="28" t="s">
        <v>155</v>
      </c>
      <c r="B129" s="25">
        <v>55.18</v>
      </c>
      <c r="C129" s="25">
        <v>39.22</v>
      </c>
      <c r="D129" s="25">
        <v>3.72</v>
      </c>
      <c r="E129" s="25">
        <v>3.49</v>
      </c>
      <c r="F129" s="25">
        <v>8.75</v>
      </c>
      <c r="G129" s="25" t="s">
        <v>147</v>
      </c>
    </row>
    <row r="130" spans="1:7">
      <c r="A130" s="28" t="s">
        <v>156</v>
      </c>
      <c r="B130" s="25">
        <v>61.52</v>
      </c>
      <c r="C130" s="25">
        <v>37.85</v>
      </c>
      <c r="D130" s="25">
        <v>3.73</v>
      </c>
      <c r="E130" s="25">
        <v>5.85</v>
      </c>
      <c r="F130" s="25">
        <v>14.08</v>
      </c>
      <c r="G130" s="25" t="s">
        <v>147</v>
      </c>
    </row>
    <row r="131" spans="1:7" ht="24" customHeight="1">
      <c r="A131" s="33" t="s">
        <v>400</v>
      </c>
      <c r="B131" s="25">
        <v>6.83</v>
      </c>
      <c r="C131" s="25" t="s">
        <v>147</v>
      </c>
      <c r="D131" s="25" t="s">
        <v>147</v>
      </c>
      <c r="E131" s="25" t="s">
        <v>147</v>
      </c>
      <c r="F131" s="25" t="s">
        <v>147</v>
      </c>
      <c r="G131" s="25">
        <v>6.83</v>
      </c>
    </row>
    <row r="132" spans="1:7">
      <c r="A132" s="31" t="s">
        <v>401</v>
      </c>
      <c r="B132" s="29" t="s">
        <v>3</v>
      </c>
      <c r="C132" s="29" t="s">
        <v>3</v>
      </c>
      <c r="D132" s="29" t="s">
        <v>3</v>
      </c>
      <c r="E132" s="29" t="s">
        <v>3</v>
      </c>
      <c r="F132" s="29" t="s">
        <v>3</v>
      </c>
      <c r="G132" s="29" t="s">
        <v>3</v>
      </c>
    </row>
    <row r="133" spans="1:7">
      <c r="A133" s="28" t="s">
        <v>402</v>
      </c>
      <c r="B133" s="25">
        <v>6.95</v>
      </c>
      <c r="C133" s="25">
        <v>0.1</v>
      </c>
      <c r="D133" s="25">
        <v>0.22</v>
      </c>
      <c r="E133" s="25">
        <v>0.77</v>
      </c>
      <c r="F133" s="25">
        <v>5.85</v>
      </c>
      <c r="G133" s="25" t="s">
        <v>140</v>
      </c>
    </row>
    <row r="134" spans="1:7">
      <c r="A134" s="28" t="s">
        <v>403</v>
      </c>
      <c r="B134" s="25">
        <v>18.149999999999999</v>
      </c>
      <c r="C134" s="25">
        <v>1.72</v>
      </c>
      <c r="D134" s="25">
        <v>1.79</v>
      </c>
      <c r="E134" s="25">
        <v>3.81</v>
      </c>
      <c r="F134" s="25">
        <v>10.54</v>
      </c>
      <c r="G134" s="25">
        <v>0.28999999999999998</v>
      </c>
    </row>
    <row r="135" spans="1:7" ht="24" customHeight="1">
      <c r="A135" s="28" t="s">
        <v>404</v>
      </c>
      <c r="B135" s="25">
        <v>29.35</v>
      </c>
      <c r="C135" s="25">
        <v>16.16</v>
      </c>
      <c r="D135" s="25">
        <v>2.6</v>
      </c>
      <c r="E135" s="25">
        <v>2.86</v>
      </c>
      <c r="F135" s="25">
        <v>5.09</v>
      </c>
      <c r="G135" s="25">
        <v>2.66</v>
      </c>
    </row>
    <row r="136" spans="1:7">
      <c r="A136" s="35" t="s">
        <v>405</v>
      </c>
      <c r="B136" s="25">
        <v>38.42</v>
      </c>
      <c r="C136" s="25">
        <v>30.76</v>
      </c>
      <c r="D136" s="25">
        <v>1.97</v>
      </c>
      <c r="E136" s="25">
        <v>1.42</v>
      </c>
      <c r="F136" s="25">
        <v>1.04</v>
      </c>
      <c r="G136" s="25">
        <v>3.23</v>
      </c>
    </row>
    <row r="137" spans="1:7">
      <c r="A137" s="35" t="s">
        <v>406</v>
      </c>
      <c r="B137" s="25">
        <v>13.61</v>
      </c>
      <c r="C137" s="25">
        <v>12.28</v>
      </c>
      <c r="D137" s="25">
        <v>0.43</v>
      </c>
      <c r="E137" s="25">
        <v>0.25</v>
      </c>
      <c r="F137" s="25">
        <v>0.14000000000000001</v>
      </c>
      <c r="G137" s="25">
        <v>0.51</v>
      </c>
    </row>
    <row r="138" spans="1:7">
      <c r="A138" s="35" t="s">
        <v>407</v>
      </c>
      <c r="B138" s="25">
        <v>12.43</v>
      </c>
      <c r="C138" s="25">
        <v>11.7</v>
      </c>
      <c r="D138" s="25">
        <v>0.35</v>
      </c>
      <c r="E138" s="25">
        <v>0.14000000000000001</v>
      </c>
      <c r="F138" s="25" t="s">
        <v>140</v>
      </c>
      <c r="G138" s="25">
        <v>0.13</v>
      </c>
    </row>
    <row r="139" spans="1:7">
      <c r="A139" s="35" t="s">
        <v>408</v>
      </c>
      <c r="B139" s="25">
        <v>4.62</v>
      </c>
      <c r="C139" s="25">
        <v>4.3499999999999996</v>
      </c>
      <c r="D139" s="25">
        <v>0.1</v>
      </c>
      <c r="E139" s="25">
        <v>0.09</v>
      </c>
      <c r="F139" s="25" t="s">
        <v>140</v>
      </c>
      <c r="G139" s="25" t="s">
        <v>140</v>
      </c>
    </row>
    <row r="140" spans="1:7">
      <c r="A140" s="31" t="s">
        <v>409</v>
      </c>
      <c r="B140" s="29" t="s">
        <v>3</v>
      </c>
      <c r="C140" s="29" t="s">
        <v>3</v>
      </c>
      <c r="D140" s="29" t="s">
        <v>3</v>
      </c>
      <c r="E140" s="29" t="s">
        <v>3</v>
      </c>
      <c r="F140" s="29" t="s">
        <v>3</v>
      </c>
      <c r="G140" s="29" t="s">
        <v>3</v>
      </c>
    </row>
    <row r="141" spans="1:7">
      <c r="A141" s="28" t="s">
        <v>410</v>
      </c>
      <c r="B141" s="25">
        <v>43.51</v>
      </c>
      <c r="C141" s="25">
        <v>21.45</v>
      </c>
      <c r="D141" s="25">
        <v>2.81</v>
      </c>
      <c r="E141" s="25">
        <v>4.9400000000000004</v>
      </c>
      <c r="F141" s="25">
        <v>10.84</v>
      </c>
      <c r="G141" s="25">
        <v>3.46</v>
      </c>
    </row>
    <row r="142" spans="1:7">
      <c r="A142" s="28" t="s">
        <v>411</v>
      </c>
      <c r="B142" s="25">
        <v>77.95</v>
      </c>
      <c r="C142" s="25">
        <v>54.09</v>
      </c>
      <c r="D142" s="25">
        <v>4.5199999999999996</v>
      </c>
      <c r="E142" s="25">
        <v>4.33</v>
      </c>
      <c r="F142" s="25">
        <v>11.72</v>
      </c>
      <c r="G142" s="25">
        <v>3.29</v>
      </c>
    </row>
    <row r="143" spans="1:7" ht="24" customHeight="1">
      <c r="A143" s="28" t="s">
        <v>412</v>
      </c>
      <c r="B143" s="25">
        <v>2.0699999999999998</v>
      </c>
      <c r="C143" s="25">
        <v>1.53</v>
      </c>
      <c r="D143" s="25">
        <v>0.12</v>
      </c>
      <c r="E143" s="25">
        <v>7.0000000000000007E-2</v>
      </c>
      <c r="F143" s="25">
        <v>0.27</v>
      </c>
      <c r="G143" s="25" t="s">
        <v>140</v>
      </c>
    </row>
    <row r="144" spans="1:7">
      <c r="A144" s="31" t="s">
        <v>413</v>
      </c>
      <c r="B144" s="29" t="s">
        <v>3</v>
      </c>
      <c r="C144" s="29" t="s">
        <v>3</v>
      </c>
      <c r="D144" s="29" t="s">
        <v>3</v>
      </c>
      <c r="E144" s="29" t="s">
        <v>3</v>
      </c>
      <c r="F144" s="29" t="s">
        <v>3</v>
      </c>
      <c r="G144" s="29" t="s">
        <v>3</v>
      </c>
    </row>
    <row r="145" spans="1:7">
      <c r="A145" s="28" t="s">
        <v>414</v>
      </c>
      <c r="B145" s="25">
        <v>47.4</v>
      </c>
      <c r="C145" s="25">
        <v>23.3</v>
      </c>
      <c r="D145" s="25">
        <v>2.89</v>
      </c>
      <c r="E145" s="25">
        <v>4.2300000000000004</v>
      </c>
      <c r="F145" s="25">
        <v>13.02</v>
      </c>
      <c r="G145" s="25">
        <v>3.94</v>
      </c>
    </row>
    <row r="146" spans="1:7">
      <c r="A146" s="28" t="s">
        <v>149</v>
      </c>
      <c r="B146" s="25">
        <v>40.31</v>
      </c>
      <c r="C146" s="25">
        <v>27.87</v>
      </c>
      <c r="D146" s="25">
        <v>2.2599999999999998</v>
      </c>
      <c r="E146" s="25">
        <v>3.23</v>
      </c>
      <c r="F146" s="25">
        <v>5.52</v>
      </c>
      <c r="G146" s="25">
        <v>1.43</v>
      </c>
    </row>
    <row r="147" spans="1:7" ht="24" customHeight="1">
      <c r="A147" s="28" t="s">
        <v>415</v>
      </c>
      <c r="B147" s="25">
        <v>31.85</v>
      </c>
      <c r="C147" s="25">
        <v>23.39</v>
      </c>
      <c r="D147" s="25">
        <v>1.95</v>
      </c>
      <c r="E147" s="25">
        <v>1.54</v>
      </c>
      <c r="F147" s="25">
        <v>3.66</v>
      </c>
      <c r="G147" s="25">
        <v>1.3</v>
      </c>
    </row>
    <row r="148" spans="1:7">
      <c r="A148" s="35" t="s">
        <v>416</v>
      </c>
      <c r="B148" s="25">
        <v>1.72</v>
      </c>
      <c r="C148" s="25">
        <v>0.94</v>
      </c>
      <c r="D148" s="25">
        <v>0.15</v>
      </c>
      <c r="E148" s="25">
        <v>0.19</v>
      </c>
      <c r="F148" s="25">
        <v>0.34</v>
      </c>
      <c r="G148" s="25">
        <v>0.1</v>
      </c>
    </row>
    <row r="149" spans="1:7">
      <c r="A149" s="35" t="s">
        <v>417</v>
      </c>
      <c r="B149" s="25">
        <v>2.25</v>
      </c>
      <c r="C149" s="25">
        <v>1.56</v>
      </c>
      <c r="D149" s="25">
        <v>0.19</v>
      </c>
      <c r="E149" s="25">
        <v>0.15</v>
      </c>
      <c r="F149" s="25">
        <v>0.3</v>
      </c>
      <c r="G149" s="25" t="s">
        <v>140</v>
      </c>
    </row>
    <row r="150" spans="1:7" ht="26.25">
      <c r="A150" s="31" t="s">
        <v>482</v>
      </c>
      <c r="B150" s="29" t="s">
        <v>3</v>
      </c>
      <c r="C150" s="29" t="s">
        <v>3</v>
      </c>
      <c r="D150" s="29" t="s">
        <v>3</v>
      </c>
      <c r="E150" s="29" t="s">
        <v>3</v>
      </c>
      <c r="F150" s="29" t="s">
        <v>3</v>
      </c>
      <c r="G150" s="29" t="s">
        <v>3</v>
      </c>
    </row>
    <row r="151" spans="1:7">
      <c r="A151" s="33">
        <v>0</v>
      </c>
      <c r="B151" s="25">
        <v>60.38</v>
      </c>
      <c r="C151" s="25">
        <v>33.83</v>
      </c>
      <c r="D151" s="25">
        <v>3.24</v>
      </c>
      <c r="E151" s="25">
        <v>6.19</v>
      </c>
      <c r="F151" s="25">
        <v>12.3</v>
      </c>
      <c r="G151" s="25">
        <v>4.8</v>
      </c>
    </row>
    <row r="152" spans="1:7">
      <c r="A152" s="33">
        <v>1</v>
      </c>
      <c r="B152" s="25">
        <v>39.81</v>
      </c>
      <c r="C152" s="25">
        <v>25.64</v>
      </c>
      <c r="D152" s="25">
        <v>2.57</v>
      </c>
      <c r="E152" s="25">
        <v>2.27</v>
      </c>
      <c r="F152" s="25">
        <v>8.06</v>
      </c>
      <c r="G152" s="25">
        <v>1.27</v>
      </c>
    </row>
    <row r="153" spans="1:7" ht="24" customHeight="1">
      <c r="A153" s="33">
        <v>2</v>
      </c>
      <c r="B153" s="25">
        <v>15.19</v>
      </c>
      <c r="C153" s="25">
        <v>10.85</v>
      </c>
      <c r="D153" s="25">
        <v>1.26</v>
      </c>
      <c r="E153" s="25">
        <v>0.67</v>
      </c>
      <c r="F153" s="25">
        <v>1.84</v>
      </c>
      <c r="G153" s="25">
        <v>0.56000000000000005</v>
      </c>
    </row>
    <row r="154" spans="1:7">
      <c r="A154" s="33" t="s">
        <v>380</v>
      </c>
      <c r="B154" s="25">
        <v>8.16</v>
      </c>
      <c r="C154" s="25">
        <v>6.75</v>
      </c>
      <c r="D154" s="25">
        <v>0.38</v>
      </c>
      <c r="E154" s="25">
        <v>0.2</v>
      </c>
      <c r="F154" s="25">
        <v>0.64</v>
      </c>
      <c r="G154" s="25">
        <v>0.19</v>
      </c>
    </row>
    <row r="155" spans="1:7">
      <c r="A155" s="31" t="s">
        <v>419</v>
      </c>
      <c r="B155" s="29" t="s">
        <v>3</v>
      </c>
      <c r="C155" s="29" t="s">
        <v>3</v>
      </c>
      <c r="D155" s="29" t="s">
        <v>3</v>
      </c>
      <c r="E155" s="29" t="s">
        <v>3</v>
      </c>
      <c r="F155" s="29" t="s">
        <v>3</v>
      </c>
      <c r="G155" s="29" t="s">
        <v>3</v>
      </c>
    </row>
    <row r="156" spans="1:7">
      <c r="A156" s="28" t="s">
        <v>155</v>
      </c>
      <c r="B156" s="25">
        <v>34.299999999999997</v>
      </c>
      <c r="C156" s="25">
        <v>25.3</v>
      </c>
      <c r="D156" s="25">
        <v>1.83</v>
      </c>
      <c r="E156" s="25">
        <v>1.97</v>
      </c>
      <c r="F156" s="25">
        <v>3.38</v>
      </c>
      <c r="G156" s="25">
        <v>1.82</v>
      </c>
    </row>
    <row r="157" spans="1:7">
      <c r="A157" s="28" t="s">
        <v>156</v>
      </c>
      <c r="B157" s="25">
        <v>36.81</v>
      </c>
      <c r="C157" s="25">
        <v>22.8</v>
      </c>
      <c r="D157" s="25">
        <v>2.2000000000000002</v>
      </c>
      <c r="E157" s="25">
        <v>2.74</v>
      </c>
      <c r="F157" s="25">
        <v>6.71</v>
      </c>
      <c r="G157" s="25">
        <v>2.35</v>
      </c>
    </row>
    <row r="158" spans="1:7" ht="24" customHeight="1">
      <c r="A158" s="28" t="s">
        <v>418</v>
      </c>
      <c r="B158" s="25">
        <v>52.42</v>
      </c>
      <c r="C158" s="25">
        <v>28.96</v>
      </c>
      <c r="D158" s="25">
        <v>3.43</v>
      </c>
      <c r="E158" s="25">
        <v>4.62</v>
      </c>
      <c r="F158" s="25">
        <v>12.74</v>
      </c>
      <c r="G158" s="25">
        <v>2.66</v>
      </c>
    </row>
    <row r="159" spans="1:7" ht="26.25">
      <c r="A159" s="31" t="s">
        <v>420</v>
      </c>
      <c r="B159" s="29" t="s">
        <v>3</v>
      </c>
      <c r="C159" s="29" t="s">
        <v>3</v>
      </c>
      <c r="D159" s="29" t="s">
        <v>3</v>
      </c>
      <c r="E159" s="29" t="s">
        <v>3</v>
      </c>
      <c r="F159" s="29" t="s">
        <v>3</v>
      </c>
      <c r="G159" s="29" t="s">
        <v>3</v>
      </c>
    </row>
    <row r="160" spans="1:7">
      <c r="A160" s="28" t="s">
        <v>155</v>
      </c>
      <c r="B160" s="25">
        <v>67.83</v>
      </c>
      <c r="C160" s="25">
        <v>58.09</v>
      </c>
      <c r="D160" s="25">
        <v>4.22</v>
      </c>
      <c r="E160" s="25">
        <v>2.11</v>
      </c>
      <c r="F160" s="25" t="s">
        <v>147</v>
      </c>
      <c r="G160" s="25">
        <v>3.41</v>
      </c>
    </row>
    <row r="161" spans="1:7">
      <c r="A161" s="28" t="s">
        <v>156</v>
      </c>
      <c r="B161" s="25">
        <v>32.869999999999997</v>
      </c>
      <c r="C161" s="25">
        <v>18.97</v>
      </c>
      <c r="D161" s="25">
        <v>3.24</v>
      </c>
      <c r="E161" s="25">
        <v>7.23</v>
      </c>
      <c r="F161" s="25" t="s">
        <v>147</v>
      </c>
      <c r="G161" s="25">
        <v>3.42</v>
      </c>
    </row>
    <row r="162" spans="1:7" ht="24" customHeight="1">
      <c r="A162" s="28" t="s">
        <v>373</v>
      </c>
      <c r="B162" s="25">
        <v>22.84</v>
      </c>
      <c r="C162" s="25" t="s">
        <v>147</v>
      </c>
      <c r="D162" s="25" t="s">
        <v>147</v>
      </c>
      <c r="E162" s="25" t="s">
        <v>147</v>
      </c>
      <c r="F162" s="25">
        <v>22.84</v>
      </c>
      <c r="G162" s="25" t="s">
        <v>147</v>
      </c>
    </row>
    <row r="163" spans="1:7" ht="26.25">
      <c r="A163" s="31" t="s">
        <v>481</v>
      </c>
      <c r="B163" s="34" t="s">
        <v>3</v>
      </c>
      <c r="C163" s="34" t="s">
        <v>3</v>
      </c>
      <c r="D163" s="34" t="s">
        <v>3</v>
      </c>
      <c r="E163" s="34" t="s">
        <v>3</v>
      </c>
      <c r="F163" s="34" t="s">
        <v>3</v>
      </c>
      <c r="G163" s="34" t="s">
        <v>3</v>
      </c>
    </row>
    <row r="164" spans="1:7">
      <c r="A164" s="28" t="s">
        <v>155</v>
      </c>
      <c r="B164" s="34">
        <v>1.82</v>
      </c>
      <c r="C164" s="34">
        <v>1.46</v>
      </c>
      <c r="D164" s="34">
        <v>0.11</v>
      </c>
      <c r="E164" s="34" t="s">
        <v>140</v>
      </c>
      <c r="F164" s="34">
        <v>0.17</v>
      </c>
      <c r="G164" s="34" t="s">
        <v>140</v>
      </c>
    </row>
    <row r="165" spans="1:7">
      <c r="A165" s="26" t="s">
        <v>480</v>
      </c>
      <c r="B165" s="34">
        <v>1.39</v>
      </c>
      <c r="C165" s="34">
        <v>1.22</v>
      </c>
      <c r="D165" s="34">
        <v>0.09</v>
      </c>
      <c r="E165" s="34" t="s">
        <v>140</v>
      </c>
      <c r="F165" s="34" t="s">
        <v>140</v>
      </c>
      <c r="G165" s="34" t="s">
        <v>140</v>
      </c>
    </row>
    <row r="166" spans="1:7" ht="33.75" customHeight="1">
      <c r="A166" s="28" t="s">
        <v>156</v>
      </c>
      <c r="B166" s="34">
        <v>121.71</v>
      </c>
      <c r="C166" s="34">
        <v>75.61</v>
      </c>
      <c r="D166" s="34">
        <v>7.34</v>
      </c>
      <c r="E166" s="34">
        <v>9.2899999999999991</v>
      </c>
      <c r="F166" s="34">
        <v>22.67</v>
      </c>
      <c r="G166" s="34">
        <v>6.79</v>
      </c>
    </row>
    <row r="167" spans="1:7">
      <c r="A167" s="31" t="s">
        <v>421</v>
      </c>
      <c r="B167" s="31" t="s">
        <v>3</v>
      </c>
      <c r="C167" s="31" t="s">
        <v>3</v>
      </c>
      <c r="D167" s="31" t="s">
        <v>3</v>
      </c>
      <c r="E167" s="31" t="s">
        <v>3</v>
      </c>
      <c r="F167" s="31" t="s">
        <v>3</v>
      </c>
      <c r="G167" s="31" t="s">
        <v>3</v>
      </c>
    </row>
    <row r="168" spans="1:7">
      <c r="A168" s="28" t="s">
        <v>155</v>
      </c>
      <c r="B168" s="25">
        <v>84.52</v>
      </c>
      <c r="C168" s="25">
        <v>54.13</v>
      </c>
      <c r="D168" s="25">
        <v>5.63</v>
      </c>
      <c r="E168" s="25">
        <v>6.95</v>
      </c>
      <c r="F168" s="25">
        <v>14.94</v>
      </c>
      <c r="G168" s="25">
        <v>2.87</v>
      </c>
    </row>
    <row r="169" spans="1:7">
      <c r="A169" s="26" t="s">
        <v>479</v>
      </c>
      <c r="B169" s="25">
        <v>69.489999999999995</v>
      </c>
      <c r="C169" s="25">
        <v>47.14</v>
      </c>
      <c r="D169" s="25">
        <v>4.9000000000000004</v>
      </c>
      <c r="E169" s="25">
        <v>5.27</v>
      </c>
      <c r="F169" s="25">
        <v>10.3</v>
      </c>
      <c r="G169" s="25">
        <v>1.89</v>
      </c>
    </row>
    <row r="170" spans="1:7" ht="33.75" customHeight="1">
      <c r="A170" s="26" t="s">
        <v>478</v>
      </c>
      <c r="B170" s="25">
        <v>15.03</v>
      </c>
      <c r="C170" s="25">
        <v>6.99</v>
      </c>
      <c r="D170" s="25">
        <v>0.74</v>
      </c>
      <c r="E170" s="25">
        <v>1.68</v>
      </c>
      <c r="F170" s="25">
        <v>4.6399999999999997</v>
      </c>
      <c r="G170" s="25">
        <v>0.98</v>
      </c>
    </row>
    <row r="171" spans="1:7">
      <c r="A171" s="28" t="s">
        <v>156</v>
      </c>
      <c r="B171" s="25">
        <v>39.01</v>
      </c>
      <c r="C171" s="25">
        <v>22.93</v>
      </c>
      <c r="D171" s="25">
        <v>1.82</v>
      </c>
      <c r="E171" s="25">
        <v>2.4</v>
      </c>
      <c r="F171" s="25">
        <v>7.9</v>
      </c>
      <c r="G171" s="25">
        <v>3.96</v>
      </c>
    </row>
    <row r="172" spans="1:7">
      <c r="A172" s="31" t="s">
        <v>422</v>
      </c>
      <c r="B172" s="29" t="s">
        <v>3</v>
      </c>
      <c r="C172" s="29" t="s">
        <v>3</v>
      </c>
      <c r="D172" s="29" t="s">
        <v>3</v>
      </c>
      <c r="E172" s="29" t="s">
        <v>3</v>
      </c>
      <c r="F172" s="29" t="s">
        <v>3</v>
      </c>
      <c r="G172" s="29" t="s">
        <v>3</v>
      </c>
    </row>
    <row r="173" spans="1:7">
      <c r="A173" s="28" t="s">
        <v>155</v>
      </c>
      <c r="B173" s="25">
        <v>3.37</v>
      </c>
      <c r="C173" s="25">
        <v>3.16</v>
      </c>
      <c r="D173" s="25">
        <v>0.11</v>
      </c>
      <c r="E173" s="25" t="s">
        <v>147</v>
      </c>
      <c r="F173" s="25" t="s">
        <v>147</v>
      </c>
      <c r="G173" s="25">
        <v>0.1</v>
      </c>
    </row>
    <row r="174" spans="1:7">
      <c r="A174" s="28" t="s">
        <v>156</v>
      </c>
      <c r="B174" s="25">
        <v>87.98</v>
      </c>
      <c r="C174" s="25">
        <v>73.91</v>
      </c>
      <c r="D174" s="25">
        <v>7.34</v>
      </c>
      <c r="E174" s="25" t="s">
        <v>147</v>
      </c>
      <c r="F174" s="25" t="s">
        <v>147</v>
      </c>
      <c r="G174" s="25">
        <v>6.73</v>
      </c>
    </row>
    <row r="175" spans="1:7" ht="24" customHeight="1">
      <c r="A175" s="28" t="s">
        <v>423</v>
      </c>
      <c r="B175" s="25">
        <v>32.18</v>
      </c>
      <c r="C175" s="25" t="s">
        <v>147</v>
      </c>
      <c r="D175" s="25" t="s">
        <v>147</v>
      </c>
      <c r="E175" s="25">
        <v>9.34</v>
      </c>
      <c r="F175" s="25">
        <v>22.84</v>
      </c>
      <c r="G175" s="25" t="s">
        <v>147</v>
      </c>
    </row>
    <row r="176" spans="1:7" ht="26.25">
      <c r="A176" s="31" t="s">
        <v>477</v>
      </c>
      <c r="B176" s="29" t="s">
        <v>3</v>
      </c>
      <c r="C176" s="29" t="s">
        <v>3</v>
      </c>
      <c r="D176" s="29" t="s">
        <v>3</v>
      </c>
      <c r="E176" s="29" t="s">
        <v>3</v>
      </c>
      <c r="F176" s="29" t="s">
        <v>3</v>
      </c>
      <c r="G176" s="29" t="s">
        <v>3</v>
      </c>
    </row>
    <row r="177" spans="1:7">
      <c r="A177" s="28" t="s">
        <v>155</v>
      </c>
      <c r="B177" s="25">
        <v>22.72</v>
      </c>
      <c r="C177" s="25">
        <v>15.11</v>
      </c>
      <c r="D177" s="25">
        <v>1.05</v>
      </c>
      <c r="E177" s="25">
        <v>1.42</v>
      </c>
      <c r="F177" s="25">
        <v>3.64</v>
      </c>
      <c r="G177" s="25">
        <v>1.5</v>
      </c>
    </row>
    <row r="178" spans="1:7">
      <c r="A178" s="26" t="s">
        <v>476</v>
      </c>
      <c r="B178" s="25">
        <v>19</v>
      </c>
      <c r="C178" s="25">
        <v>13.08</v>
      </c>
      <c r="D178" s="25">
        <v>0.83</v>
      </c>
      <c r="E178" s="25">
        <v>1.08</v>
      </c>
      <c r="F178" s="25">
        <v>2.68</v>
      </c>
      <c r="G178" s="25">
        <v>1.32</v>
      </c>
    </row>
    <row r="179" spans="1:7" ht="24" customHeight="1">
      <c r="A179" s="26" t="s">
        <v>475</v>
      </c>
      <c r="B179" s="25">
        <v>0.25</v>
      </c>
      <c r="C179" s="25">
        <v>0.15</v>
      </c>
      <c r="D179" s="25" t="s">
        <v>140</v>
      </c>
      <c r="E179" s="25" t="s">
        <v>140</v>
      </c>
      <c r="F179" s="25" t="s">
        <v>140</v>
      </c>
      <c r="G179" s="25" t="s">
        <v>140</v>
      </c>
    </row>
    <row r="180" spans="1:7" ht="26.25">
      <c r="A180" s="26" t="s">
        <v>474</v>
      </c>
      <c r="B180" s="25">
        <v>3.08</v>
      </c>
      <c r="C180" s="25">
        <v>1.71</v>
      </c>
      <c r="D180" s="25">
        <v>0.18</v>
      </c>
      <c r="E180" s="25">
        <v>0.28999999999999998</v>
      </c>
      <c r="F180" s="25">
        <v>0.76</v>
      </c>
      <c r="G180" s="25">
        <v>0.14000000000000001</v>
      </c>
    </row>
    <row r="181" spans="1:7">
      <c r="A181" s="26" t="s">
        <v>473</v>
      </c>
      <c r="B181" s="25">
        <v>0.39</v>
      </c>
      <c r="C181" s="25">
        <v>0.16</v>
      </c>
      <c r="D181" s="25" t="s">
        <v>140</v>
      </c>
      <c r="E181" s="25" t="s">
        <v>140</v>
      </c>
      <c r="F181" s="25">
        <v>0.18</v>
      </c>
      <c r="G181" s="25" t="s">
        <v>140</v>
      </c>
    </row>
    <row r="182" spans="1:7">
      <c r="A182" s="28" t="s">
        <v>156</v>
      </c>
      <c r="B182" s="25">
        <v>100.81</v>
      </c>
      <c r="C182" s="25">
        <v>61.96</v>
      </c>
      <c r="D182" s="25">
        <v>6.4</v>
      </c>
      <c r="E182" s="25">
        <v>7.92</v>
      </c>
      <c r="F182" s="25">
        <v>19.190000000000001</v>
      </c>
      <c r="G182" s="25">
        <v>5.33</v>
      </c>
    </row>
    <row r="183" spans="1:7" ht="24" customHeight="1">
      <c r="A183" s="31" t="s">
        <v>424</v>
      </c>
      <c r="B183" s="29" t="s">
        <v>3</v>
      </c>
      <c r="C183" s="29" t="s">
        <v>3</v>
      </c>
      <c r="D183" s="29" t="s">
        <v>3</v>
      </c>
      <c r="E183" s="29" t="s">
        <v>3</v>
      </c>
      <c r="F183" s="29" t="s">
        <v>3</v>
      </c>
      <c r="G183" s="29" t="s">
        <v>3</v>
      </c>
    </row>
    <row r="184" spans="1:7">
      <c r="A184" s="28" t="s">
        <v>155</v>
      </c>
      <c r="B184" s="25">
        <v>17.66</v>
      </c>
      <c r="C184" s="25">
        <v>13.93</v>
      </c>
      <c r="D184" s="25">
        <v>0.34</v>
      </c>
      <c r="E184" s="25">
        <v>0.22</v>
      </c>
      <c r="F184" s="25">
        <v>2.15</v>
      </c>
      <c r="G184" s="25">
        <v>1.02</v>
      </c>
    </row>
    <row r="185" spans="1:7">
      <c r="A185" s="28" t="s">
        <v>156</v>
      </c>
      <c r="B185" s="25">
        <v>105.87</v>
      </c>
      <c r="C185" s="25">
        <v>63.14</v>
      </c>
      <c r="D185" s="25">
        <v>7.11</v>
      </c>
      <c r="E185" s="25">
        <v>9.1199999999999992</v>
      </c>
      <c r="F185" s="25">
        <v>20.69</v>
      </c>
      <c r="G185" s="25">
        <v>5.82</v>
      </c>
    </row>
    <row r="186" spans="1:7">
      <c r="A186" s="31" t="s">
        <v>425</v>
      </c>
      <c r="B186" s="29" t="s">
        <v>3</v>
      </c>
      <c r="C186" s="29" t="s">
        <v>3</v>
      </c>
      <c r="D186" s="29" t="s">
        <v>3</v>
      </c>
      <c r="E186" s="29" t="s">
        <v>3</v>
      </c>
      <c r="F186" s="29" t="s">
        <v>3</v>
      </c>
      <c r="G186" s="29" t="s">
        <v>3</v>
      </c>
    </row>
    <row r="187" spans="1:7" ht="24" customHeight="1">
      <c r="A187" s="33" t="s">
        <v>155</v>
      </c>
      <c r="B187" s="25">
        <v>8.52</v>
      </c>
      <c r="C187" s="25">
        <v>8.09</v>
      </c>
      <c r="D187" s="25">
        <v>0.2</v>
      </c>
      <c r="E187" s="25" t="s">
        <v>147</v>
      </c>
      <c r="F187" s="25" t="s">
        <v>147</v>
      </c>
      <c r="G187" s="25">
        <v>0.23</v>
      </c>
    </row>
    <row r="188" spans="1:7">
      <c r="A188" s="28" t="s">
        <v>156</v>
      </c>
      <c r="B188" s="25">
        <v>82.83</v>
      </c>
      <c r="C188" s="25">
        <v>68.98</v>
      </c>
      <c r="D188" s="25">
        <v>7.25</v>
      </c>
      <c r="E188" s="25" t="s">
        <v>147</v>
      </c>
      <c r="F188" s="25" t="s">
        <v>147</v>
      </c>
      <c r="G188" s="25">
        <v>6.6</v>
      </c>
    </row>
    <row r="189" spans="1:7">
      <c r="A189" s="28" t="s">
        <v>423</v>
      </c>
      <c r="B189" s="25">
        <v>32.18</v>
      </c>
      <c r="C189" s="25" t="s">
        <v>147</v>
      </c>
      <c r="D189" s="25" t="s">
        <v>147</v>
      </c>
      <c r="E189" s="25">
        <v>9.34</v>
      </c>
      <c r="F189" s="25">
        <v>22.84</v>
      </c>
      <c r="G189" s="25" t="s">
        <v>147</v>
      </c>
    </row>
    <row r="190" spans="1:7">
      <c r="A190" s="30" t="s">
        <v>426</v>
      </c>
      <c r="B190" s="29" t="s">
        <v>3</v>
      </c>
      <c r="C190" s="29" t="s">
        <v>3</v>
      </c>
      <c r="D190" s="29" t="s">
        <v>3</v>
      </c>
      <c r="E190" s="29" t="s">
        <v>3</v>
      </c>
      <c r="F190" s="29" t="s">
        <v>3</v>
      </c>
      <c r="G190" s="29" t="s">
        <v>3</v>
      </c>
    </row>
    <row r="191" spans="1:7">
      <c r="A191" s="26" t="s">
        <v>427</v>
      </c>
      <c r="B191" s="25">
        <v>1.9</v>
      </c>
      <c r="C191" s="25">
        <v>1.77</v>
      </c>
      <c r="D191" s="25">
        <v>0.06</v>
      </c>
      <c r="E191" s="25" t="s">
        <v>147</v>
      </c>
      <c r="F191" s="25" t="s">
        <v>147</v>
      </c>
      <c r="G191" s="25" t="s">
        <v>140</v>
      </c>
    </row>
    <row r="192" spans="1:7">
      <c r="A192" s="26" t="s">
        <v>428</v>
      </c>
      <c r="B192" s="25">
        <v>5.08</v>
      </c>
      <c r="C192" s="25">
        <v>4.84</v>
      </c>
      <c r="D192" s="25">
        <v>0.1</v>
      </c>
      <c r="E192" s="25" t="s">
        <v>147</v>
      </c>
      <c r="F192" s="25" t="s">
        <v>147</v>
      </c>
      <c r="G192" s="25">
        <v>0.14000000000000001</v>
      </c>
    </row>
    <row r="193" spans="1:7" ht="24" customHeight="1">
      <c r="A193" s="26" t="s">
        <v>429</v>
      </c>
      <c r="B193" s="25">
        <v>1.54</v>
      </c>
      <c r="C193" s="25">
        <v>1.48</v>
      </c>
      <c r="D193" s="25" t="s">
        <v>140</v>
      </c>
      <c r="E193" s="25" t="s">
        <v>147</v>
      </c>
      <c r="F193" s="25" t="s">
        <v>147</v>
      </c>
      <c r="G193" s="25" t="s">
        <v>140</v>
      </c>
    </row>
    <row r="194" spans="1:7">
      <c r="A194" s="26" t="s">
        <v>430</v>
      </c>
      <c r="B194" s="25">
        <v>82.83</v>
      </c>
      <c r="C194" s="25">
        <v>68.98</v>
      </c>
      <c r="D194" s="25">
        <v>7.25</v>
      </c>
      <c r="E194" s="25" t="s">
        <v>147</v>
      </c>
      <c r="F194" s="25" t="s">
        <v>147</v>
      </c>
      <c r="G194" s="25">
        <v>6.6</v>
      </c>
    </row>
    <row r="195" spans="1:7">
      <c r="A195" s="26" t="s">
        <v>423</v>
      </c>
      <c r="B195" s="25">
        <v>32.18</v>
      </c>
      <c r="C195" s="25" t="s">
        <v>147</v>
      </c>
      <c r="D195" s="25" t="s">
        <v>147</v>
      </c>
      <c r="E195" s="25">
        <v>9.34</v>
      </c>
      <c r="F195" s="25">
        <v>22.84</v>
      </c>
      <c r="G195" s="25" t="s">
        <v>147</v>
      </c>
    </row>
    <row r="196" spans="1:7">
      <c r="A196" s="30" t="s">
        <v>431</v>
      </c>
      <c r="B196" s="29" t="s">
        <v>3</v>
      </c>
      <c r="C196" s="29" t="s">
        <v>3</v>
      </c>
      <c r="D196" s="29" t="s">
        <v>3</v>
      </c>
      <c r="E196" s="29" t="s">
        <v>3</v>
      </c>
      <c r="F196" s="29" t="s">
        <v>3</v>
      </c>
      <c r="G196" s="29" t="s">
        <v>3</v>
      </c>
    </row>
    <row r="197" spans="1:7">
      <c r="A197" s="26" t="s">
        <v>432</v>
      </c>
      <c r="B197" s="25">
        <v>2.89</v>
      </c>
      <c r="C197" s="25">
        <v>2.82</v>
      </c>
      <c r="D197" s="25">
        <v>0.05</v>
      </c>
      <c r="E197" s="25" t="s">
        <v>147</v>
      </c>
      <c r="F197" s="25" t="s">
        <v>147</v>
      </c>
      <c r="G197" s="25" t="s">
        <v>140</v>
      </c>
    </row>
    <row r="198" spans="1:7">
      <c r="A198" s="32" t="s">
        <v>433</v>
      </c>
      <c r="B198" s="25">
        <v>0.85</v>
      </c>
      <c r="C198" s="25">
        <v>0.82</v>
      </c>
      <c r="D198" s="25" t="s">
        <v>140</v>
      </c>
      <c r="E198" s="25" t="s">
        <v>147</v>
      </c>
      <c r="F198" s="25" t="s">
        <v>147</v>
      </c>
      <c r="G198" s="25" t="s">
        <v>140</v>
      </c>
    </row>
    <row r="199" spans="1:7">
      <c r="A199" s="32" t="s">
        <v>434</v>
      </c>
      <c r="B199" s="25">
        <v>1.32</v>
      </c>
      <c r="C199" s="25">
        <v>1.3</v>
      </c>
      <c r="D199" s="25" t="s">
        <v>140</v>
      </c>
      <c r="E199" s="25" t="s">
        <v>147</v>
      </c>
      <c r="F199" s="25" t="s">
        <v>147</v>
      </c>
      <c r="G199" s="25" t="s">
        <v>140</v>
      </c>
    </row>
    <row r="200" spans="1:7">
      <c r="A200" s="32" t="s">
        <v>435</v>
      </c>
      <c r="B200" s="25">
        <v>0.28999999999999998</v>
      </c>
      <c r="C200" s="25">
        <v>0.28000000000000003</v>
      </c>
      <c r="D200" s="25" t="s">
        <v>140</v>
      </c>
      <c r="E200" s="25" t="s">
        <v>147</v>
      </c>
      <c r="F200" s="25" t="s">
        <v>147</v>
      </c>
      <c r="G200" s="25" t="s">
        <v>147</v>
      </c>
    </row>
    <row r="201" spans="1:7">
      <c r="A201" s="32" t="s">
        <v>436</v>
      </c>
      <c r="B201" s="25">
        <v>0.42</v>
      </c>
      <c r="C201" s="25">
        <v>0.42</v>
      </c>
      <c r="D201" s="25" t="s">
        <v>140</v>
      </c>
      <c r="E201" s="25" t="s">
        <v>147</v>
      </c>
      <c r="F201" s="25" t="s">
        <v>147</v>
      </c>
      <c r="G201" s="25" t="s">
        <v>147</v>
      </c>
    </row>
    <row r="202" spans="1:7">
      <c r="A202" s="26" t="s">
        <v>437</v>
      </c>
      <c r="B202" s="25">
        <v>5.63</v>
      </c>
      <c r="C202" s="25">
        <v>5.27</v>
      </c>
      <c r="D202" s="25">
        <v>0.15</v>
      </c>
      <c r="E202" s="25" t="s">
        <v>147</v>
      </c>
      <c r="F202" s="25" t="s">
        <v>147</v>
      </c>
      <c r="G202" s="25">
        <v>0.22</v>
      </c>
    </row>
    <row r="203" spans="1:7" ht="24" customHeight="1">
      <c r="A203" s="26" t="s">
        <v>430</v>
      </c>
      <c r="B203" s="25">
        <v>82.83</v>
      </c>
      <c r="C203" s="25">
        <v>68.98</v>
      </c>
      <c r="D203" s="25">
        <v>7.25</v>
      </c>
      <c r="E203" s="25" t="s">
        <v>147</v>
      </c>
      <c r="F203" s="25" t="s">
        <v>147</v>
      </c>
      <c r="G203" s="25">
        <v>6.6</v>
      </c>
    </row>
    <row r="204" spans="1:7" s="24" customFormat="1">
      <c r="A204" s="26" t="s">
        <v>423</v>
      </c>
      <c r="B204" s="25">
        <v>32.18</v>
      </c>
      <c r="C204" s="25" t="s">
        <v>147</v>
      </c>
      <c r="D204" s="25" t="s">
        <v>147</v>
      </c>
      <c r="E204" s="25">
        <v>9.34</v>
      </c>
      <c r="F204" s="25">
        <v>22.84</v>
      </c>
      <c r="G204" s="25" t="s">
        <v>147</v>
      </c>
    </row>
    <row r="205" spans="1:7" s="24" customFormat="1">
      <c r="A205" s="31" t="s">
        <v>438</v>
      </c>
      <c r="B205" s="29" t="s">
        <v>3</v>
      </c>
      <c r="C205" s="29" t="s">
        <v>3</v>
      </c>
      <c r="D205" s="29" t="s">
        <v>3</v>
      </c>
      <c r="E205" s="29" t="s">
        <v>3</v>
      </c>
      <c r="F205" s="29" t="s">
        <v>3</v>
      </c>
      <c r="G205" s="29" t="s">
        <v>3</v>
      </c>
    </row>
    <row r="206" spans="1:7" s="24" customFormat="1" ht="24" customHeight="1">
      <c r="A206" s="28" t="s">
        <v>155</v>
      </c>
      <c r="B206" s="25">
        <v>8.84</v>
      </c>
      <c r="C206" s="25">
        <v>7.33</v>
      </c>
      <c r="D206" s="25">
        <v>0.28000000000000003</v>
      </c>
      <c r="E206" s="25">
        <v>0.22</v>
      </c>
      <c r="F206" s="25">
        <v>0.73</v>
      </c>
      <c r="G206" s="25">
        <v>0.28999999999999998</v>
      </c>
    </row>
    <row r="207" spans="1:7" s="24" customFormat="1">
      <c r="A207" s="28" t="s">
        <v>156</v>
      </c>
      <c r="B207" s="25">
        <v>114.69</v>
      </c>
      <c r="C207" s="25">
        <v>69.739999999999995</v>
      </c>
      <c r="D207" s="25">
        <v>7.18</v>
      </c>
      <c r="E207" s="25">
        <v>9.1199999999999992</v>
      </c>
      <c r="F207" s="25">
        <v>22.11</v>
      </c>
      <c r="G207" s="25">
        <v>6.55</v>
      </c>
    </row>
    <row r="208" spans="1:7" s="24" customFormat="1">
      <c r="A208" s="30" t="s">
        <v>439</v>
      </c>
      <c r="B208" s="29" t="s">
        <v>3</v>
      </c>
      <c r="C208" s="29" t="s">
        <v>3</v>
      </c>
      <c r="D208" s="29" t="s">
        <v>3</v>
      </c>
      <c r="E208" s="29" t="s">
        <v>3</v>
      </c>
      <c r="F208" s="29" t="s">
        <v>3</v>
      </c>
      <c r="G208" s="29" t="s">
        <v>3</v>
      </c>
    </row>
    <row r="209" spans="1:7" s="24" customFormat="1">
      <c r="A209" s="26" t="s">
        <v>427</v>
      </c>
      <c r="B209" s="25">
        <v>4.22</v>
      </c>
      <c r="C209" s="25">
        <v>3.3</v>
      </c>
      <c r="D209" s="25">
        <v>0.17</v>
      </c>
      <c r="E209" s="25">
        <v>0.14000000000000001</v>
      </c>
      <c r="F209" s="25">
        <v>0.44</v>
      </c>
      <c r="G209" s="25">
        <v>0.16</v>
      </c>
    </row>
    <row r="210" spans="1:7" s="24" customFormat="1">
      <c r="A210" s="26" t="s">
        <v>428</v>
      </c>
      <c r="B210" s="25">
        <v>1.27</v>
      </c>
      <c r="C210" s="25">
        <v>1.1299999999999999</v>
      </c>
      <c r="D210" s="25" t="s">
        <v>140</v>
      </c>
      <c r="E210" s="25" t="s">
        <v>140</v>
      </c>
      <c r="F210" s="25" t="s">
        <v>140</v>
      </c>
      <c r="G210" s="25" t="s">
        <v>140</v>
      </c>
    </row>
    <row r="211" spans="1:7" ht="24" customHeight="1">
      <c r="A211" s="26" t="s">
        <v>429</v>
      </c>
      <c r="B211" s="25">
        <v>3.35</v>
      </c>
      <c r="C211" s="25">
        <v>2.9</v>
      </c>
      <c r="D211" s="25">
        <v>0.08</v>
      </c>
      <c r="E211" s="25" t="s">
        <v>140</v>
      </c>
      <c r="F211" s="25">
        <v>0.21</v>
      </c>
      <c r="G211" s="25">
        <v>0.1</v>
      </c>
    </row>
    <row r="212" spans="1:7">
      <c r="A212" s="26" t="s">
        <v>440</v>
      </c>
      <c r="B212" s="25">
        <v>114.69</v>
      </c>
      <c r="C212" s="25">
        <v>69.739999999999995</v>
      </c>
      <c r="D212" s="25">
        <v>7.18</v>
      </c>
      <c r="E212" s="25">
        <v>9.1199999999999992</v>
      </c>
      <c r="F212" s="25">
        <v>22.11</v>
      </c>
      <c r="G212" s="25">
        <v>6.55</v>
      </c>
    </row>
    <row r="213" spans="1:7">
      <c r="A213" s="30" t="s">
        <v>441</v>
      </c>
      <c r="B213" s="29" t="s">
        <v>3</v>
      </c>
      <c r="C213" s="29" t="s">
        <v>3</v>
      </c>
      <c r="D213" s="29" t="s">
        <v>3</v>
      </c>
      <c r="E213" s="29" t="s">
        <v>3</v>
      </c>
      <c r="F213" s="29" t="s">
        <v>3</v>
      </c>
      <c r="G213" s="29" t="s">
        <v>3</v>
      </c>
    </row>
    <row r="214" spans="1:7">
      <c r="A214" s="26" t="s">
        <v>433</v>
      </c>
      <c r="B214" s="25">
        <v>4.41</v>
      </c>
      <c r="C214" s="25">
        <v>3.8</v>
      </c>
      <c r="D214" s="25">
        <v>0.1</v>
      </c>
      <c r="E214" s="25" t="s">
        <v>140</v>
      </c>
      <c r="F214" s="25">
        <v>0.24</v>
      </c>
      <c r="G214" s="25">
        <v>0.17</v>
      </c>
    </row>
    <row r="215" spans="1:7">
      <c r="A215" s="26" t="s">
        <v>434</v>
      </c>
      <c r="B215" s="25">
        <v>1.47</v>
      </c>
      <c r="C215" s="25">
        <v>1.23</v>
      </c>
      <c r="D215" s="25">
        <v>0.04</v>
      </c>
      <c r="E215" s="25" t="s">
        <v>140</v>
      </c>
      <c r="F215" s="25">
        <v>0.11</v>
      </c>
      <c r="G215" s="25" t="s">
        <v>140</v>
      </c>
    </row>
    <row r="216" spans="1:7">
      <c r="A216" s="26" t="s">
        <v>436</v>
      </c>
      <c r="B216" s="25">
        <v>0.36</v>
      </c>
      <c r="C216" s="25">
        <v>0.32</v>
      </c>
      <c r="D216" s="25" t="s">
        <v>140</v>
      </c>
      <c r="E216" s="25" t="s">
        <v>147</v>
      </c>
      <c r="F216" s="25" t="s">
        <v>140</v>
      </c>
      <c r="G216" s="25" t="s">
        <v>147</v>
      </c>
    </row>
    <row r="217" spans="1:7" ht="43.5" customHeight="1">
      <c r="A217" s="26" t="s">
        <v>442</v>
      </c>
      <c r="B217" s="25">
        <v>2.6</v>
      </c>
      <c r="C217" s="25">
        <v>1.98</v>
      </c>
      <c r="D217" s="25">
        <v>0.12</v>
      </c>
      <c r="E217" s="25" t="s">
        <v>140</v>
      </c>
      <c r="F217" s="25">
        <v>0.34</v>
      </c>
      <c r="G217" s="25">
        <v>0.09</v>
      </c>
    </row>
    <row r="218" spans="1:7">
      <c r="A218" s="26" t="s">
        <v>440</v>
      </c>
      <c r="B218" s="25">
        <v>114.69</v>
      </c>
      <c r="C218" s="25">
        <v>69.739999999999995</v>
      </c>
      <c r="D218" s="25">
        <v>7.18</v>
      </c>
      <c r="E218" s="25">
        <v>9.1199999999999992</v>
      </c>
      <c r="F218" s="25">
        <v>22.11</v>
      </c>
      <c r="G218" s="25">
        <v>6.55</v>
      </c>
    </row>
    <row r="219" spans="1:7">
      <c r="A219" s="28"/>
      <c r="B219" s="27"/>
      <c r="C219" s="27"/>
      <c r="D219" s="27"/>
      <c r="E219" s="27"/>
      <c r="F219" s="27"/>
      <c r="G219" s="27"/>
    </row>
    <row r="220" spans="1:7" s="24" customFormat="1" ht="15.75" thickBot="1">
      <c r="A220" s="26"/>
      <c r="B220" s="25"/>
      <c r="C220" s="25"/>
      <c r="D220" s="25"/>
      <c r="E220" s="25"/>
      <c r="F220" s="25"/>
      <c r="G220" s="25"/>
    </row>
    <row r="221" spans="1:7" s="24" customFormat="1" ht="206.25" customHeight="1">
      <c r="A221" s="82" t="s">
        <v>472</v>
      </c>
      <c r="B221" s="82"/>
      <c r="C221" s="82"/>
      <c r="D221" s="82"/>
      <c r="E221" s="82"/>
      <c r="F221" s="82"/>
      <c r="G221" s="82"/>
    </row>
    <row r="222" spans="1:7" s="24" customFormat="1">
      <c r="A222"/>
      <c r="B222"/>
      <c r="C222"/>
      <c r="D222"/>
      <c r="E222"/>
      <c r="F222"/>
      <c r="G222"/>
    </row>
    <row r="225" customFormat="1"/>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defaultRowHeight="15"/>
  <cols>
    <col min="1" max="1" width="3.28515625" customWidth="1"/>
    <col min="2" max="2" width="20.85546875" customWidth="1"/>
    <col min="3" max="3" width="18.7109375" customWidth="1"/>
    <col min="4" max="4" width="17.140625" customWidth="1"/>
    <col min="5" max="5" width="25.7109375" customWidth="1"/>
    <col min="6" max="6" width="19" customWidth="1"/>
    <col min="7" max="7" width="18.85546875" customWidth="1"/>
    <col min="8" max="8" width="35" customWidth="1"/>
    <col min="9" max="9" width="20.5703125" customWidth="1"/>
    <col min="10" max="10" width="12" customWidth="1"/>
    <col min="11" max="12" width="11.28515625" customWidth="1"/>
  </cols>
  <sheetData>
    <row r="1" spans="1:11" ht="18.75">
      <c r="A1" s="59" t="s">
        <v>73</v>
      </c>
      <c r="B1" s="59"/>
      <c r="C1" s="59"/>
      <c r="D1" s="59"/>
      <c r="E1" s="59"/>
      <c r="F1" s="59"/>
      <c r="G1" s="59"/>
    </row>
    <row r="2" spans="1:11">
      <c r="H2" s="1" t="s">
        <v>584</v>
      </c>
    </row>
    <row r="3" spans="1:11">
      <c r="I3" s="1" t="s">
        <v>75</v>
      </c>
      <c r="J3" s="1"/>
      <c r="K3" s="1">
        <v>2020</v>
      </c>
    </row>
    <row r="4" spans="1:11">
      <c r="H4" s="8" t="s">
        <v>250</v>
      </c>
      <c r="I4" s="1" t="s">
        <v>76</v>
      </c>
      <c r="J4" s="60"/>
      <c r="K4" s="60">
        <f>INDEX(Table4,MATCH($H4,Table4_A,0),MATCH(K$3,Table4_1,0))*Percent_urban*quadrillion</f>
        <v>527669788715291.81</v>
      </c>
    </row>
    <row r="5" spans="1:11">
      <c r="I5" s="1" t="s">
        <v>77</v>
      </c>
      <c r="J5" s="7"/>
      <c r="K5" s="7">
        <v>0</v>
      </c>
    </row>
    <row r="6" spans="1:11">
      <c r="H6" s="8" t="s">
        <v>235</v>
      </c>
      <c r="I6" s="1" t="s">
        <v>78</v>
      </c>
      <c r="J6" s="60"/>
      <c r="K6" s="60">
        <f t="shared" ref="K6:K7" si="0">INDEX(Table4,MATCH($H6,Table4_A,0),MATCH(K$3,Table4_1,0))*Percent_urban*quadrillion</f>
        <v>2867901461669230</v>
      </c>
    </row>
    <row r="7" spans="1:11">
      <c r="H7" s="8" t="s">
        <v>228</v>
      </c>
      <c r="I7" s="1" t="s">
        <v>79</v>
      </c>
      <c r="J7" s="60"/>
      <c r="K7" s="60">
        <f t="shared" si="0"/>
        <v>303007144823119.94</v>
      </c>
    </row>
    <row r="8" spans="1:11">
      <c r="I8" s="1" t="s">
        <v>81</v>
      </c>
      <c r="J8" s="7"/>
      <c r="K8" s="7">
        <v>0</v>
      </c>
    </row>
    <row r="9" spans="1:11">
      <c r="H9" s="8" t="s">
        <v>219</v>
      </c>
      <c r="I9" s="1" t="s">
        <v>162</v>
      </c>
      <c r="J9" s="60"/>
      <c r="K9" s="60">
        <f t="shared" ref="K9" si="1">INDEX(Table4,MATCH($H9,Table4_A,0),MATCH(K$3,Table4_1,0))*Percent_urban*quadrillion</f>
        <v>371994699910952.75</v>
      </c>
    </row>
    <row r="10" spans="1:11">
      <c r="I10" s="1" t="s">
        <v>446</v>
      </c>
      <c r="J10" s="7"/>
      <c r="K10" s="7">
        <v>0</v>
      </c>
    </row>
    <row r="11" spans="1:11">
      <c r="I11" s="1" t="s">
        <v>447</v>
      </c>
      <c r="J11" s="7"/>
      <c r="K11" s="7">
        <v>0</v>
      </c>
    </row>
    <row r="12" spans="1:11">
      <c r="H12" s="8" t="s">
        <v>224</v>
      </c>
      <c r="I12" s="1" t="s">
        <v>448</v>
      </c>
      <c r="J12" s="60"/>
      <c r="K12" s="60">
        <f t="shared" ref="K12" si="2">INDEX(Table4,MATCH($H12,Table4_A,0),MATCH(K$3,Table4_1,0))*Percent_urban*quadrillion</f>
        <v>244596158342103.09</v>
      </c>
    </row>
    <row r="13" spans="1:11">
      <c r="I13" s="1" t="s">
        <v>449</v>
      </c>
      <c r="J13" s="7"/>
      <c r="K13" s="7">
        <v>0</v>
      </c>
    </row>
    <row r="15" spans="1:11">
      <c r="H15" s="1" t="s">
        <v>585</v>
      </c>
    </row>
    <row r="16" spans="1:11">
      <c r="I16" s="1" t="s">
        <v>75</v>
      </c>
      <c r="J16" s="1"/>
      <c r="K16" s="1">
        <v>2020</v>
      </c>
    </row>
    <row r="17" spans="7:11">
      <c r="G17" s="8" t="s">
        <v>238</v>
      </c>
      <c r="H17" s="8" t="s">
        <v>249</v>
      </c>
      <c r="I17" s="1" t="s">
        <v>76</v>
      </c>
      <c r="J17" s="60"/>
      <c r="K17" s="60">
        <f t="shared" ref="K17" si="3">SUM(INDEX(Table4,MATCH($G17,Table4_A,0),MATCH(K$16,Table4_1,0)),INDEX(Table4,MATCH($H17,Table4_A,0),MATCH(K$16,Table4_1,0)))*Percent_urban*quadrillion</f>
        <v>718424480531045</v>
      </c>
    </row>
    <row r="18" spans="7:11">
      <c r="I18" s="1" t="s">
        <v>77</v>
      </c>
      <c r="J18" s="7"/>
      <c r="K18" s="7">
        <v>0</v>
      </c>
    </row>
    <row r="19" spans="7:11">
      <c r="H19" s="8" t="s">
        <v>234</v>
      </c>
      <c r="I19" s="1" t="s">
        <v>78</v>
      </c>
      <c r="J19" s="60"/>
      <c r="K19" s="60">
        <f t="shared" ref="K19" si="4">INDEX(Table4,MATCH($H19,Table4_A,0),MATCH(K$16,Table4_1,0))*Percent_urban*quadrillion</f>
        <v>47661231441755.039</v>
      </c>
    </row>
    <row r="20" spans="7:11">
      <c r="I20" s="1" t="s">
        <v>79</v>
      </c>
      <c r="J20" s="7"/>
      <c r="K20" s="7">
        <v>0</v>
      </c>
    </row>
    <row r="21" spans="7:11">
      <c r="I21" s="1" t="s">
        <v>81</v>
      </c>
      <c r="J21" s="7"/>
      <c r="K21" s="7">
        <v>0</v>
      </c>
    </row>
    <row r="22" spans="7:11">
      <c r="I22" s="1" t="s">
        <v>162</v>
      </c>
      <c r="J22" s="7"/>
      <c r="K22" s="7">
        <v>0</v>
      </c>
    </row>
    <row r="23" spans="7:11">
      <c r="I23" s="1" t="s">
        <v>446</v>
      </c>
      <c r="J23" s="7"/>
      <c r="K23" s="7">
        <v>0</v>
      </c>
    </row>
    <row r="24" spans="7:11">
      <c r="I24" s="1" t="s">
        <v>447</v>
      </c>
      <c r="J24" s="7"/>
      <c r="K24" s="7">
        <v>0</v>
      </c>
    </row>
    <row r="25" spans="7:11">
      <c r="I25" s="1" t="s">
        <v>448</v>
      </c>
      <c r="J25" s="7"/>
      <c r="K25" s="7">
        <v>0</v>
      </c>
    </row>
    <row r="26" spans="7:11">
      <c r="I26" s="1" t="s">
        <v>449</v>
      </c>
      <c r="J26" s="7"/>
      <c r="K26" s="7">
        <v>0</v>
      </c>
    </row>
    <row r="28" spans="7:11">
      <c r="H28" s="1" t="s">
        <v>586</v>
      </c>
    </row>
    <row r="29" spans="7:11">
      <c r="I29" s="1" t="s">
        <v>75</v>
      </c>
      <c r="J29" s="1"/>
      <c r="K29" s="1">
        <v>2020</v>
      </c>
    </row>
    <row r="30" spans="7:11">
      <c r="H30" s="8" t="s">
        <v>243</v>
      </c>
      <c r="I30" s="1" t="s">
        <v>76</v>
      </c>
      <c r="J30" s="60"/>
      <c r="K30" s="60">
        <f t="shared" ref="K30" si="5">INDEX(Table4,MATCH($H30,Table4_A,0),MATCH(K$16,Table4_1,0))*Percent_urban*quadrillion</f>
        <v>171761099975714.38</v>
      </c>
    </row>
    <row r="31" spans="7:11">
      <c r="I31" s="1" t="s">
        <v>77</v>
      </c>
      <c r="J31" s="7"/>
      <c r="K31" s="7">
        <v>0</v>
      </c>
    </row>
    <row r="32" spans="7:11">
      <c r="I32" s="1" t="s">
        <v>78</v>
      </c>
      <c r="J32" s="7"/>
      <c r="K32" s="7">
        <v>0</v>
      </c>
    </row>
    <row r="33" spans="2:11">
      <c r="I33" s="1" t="s">
        <v>79</v>
      </c>
      <c r="J33" s="7"/>
      <c r="K33" s="7">
        <v>0</v>
      </c>
    </row>
    <row r="34" spans="2:11">
      <c r="I34" s="1" t="s">
        <v>81</v>
      </c>
      <c r="J34" s="7"/>
      <c r="K34" s="7">
        <v>0</v>
      </c>
    </row>
    <row r="35" spans="2:11">
      <c r="I35" s="1" t="s">
        <v>162</v>
      </c>
      <c r="J35" s="7"/>
      <c r="K35" s="7">
        <v>0</v>
      </c>
    </row>
    <row r="36" spans="2:11">
      <c r="I36" s="1" t="s">
        <v>446</v>
      </c>
      <c r="J36" s="7"/>
      <c r="K36" s="7">
        <v>0</v>
      </c>
    </row>
    <row r="37" spans="2:11">
      <c r="I37" s="1" t="s">
        <v>447</v>
      </c>
      <c r="J37" s="7"/>
      <c r="K37" s="7">
        <v>0</v>
      </c>
    </row>
    <row r="38" spans="2:11">
      <c r="I38" s="1" t="s">
        <v>448</v>
      </c>
      <c r="J38" s="7"/>
      <c r="K38" s="7">
        <v>0</v>
      </c>
    </row>
    <row r="39" spans="2:11">
      <c r="I39" s="1" t="s">
        <v>449</v>
      </c>
      <c r="J39" s="7"/>
      <c r="K39" s="7">
        <v>0</v>
      </c>
    </row>
    <row r="41" spans="2:11">
      <c r="H41" s="1" t="s">
        <v>587</v>
      </c>
    </row>
    <row r="42" spans="2:11">
      <c r="I42" s="1" t="s">
        <v>75</v>
      </c>
      <c r="J42" s="1"/>
      <c r="K42" s="1">
        <v>2020</v>
      </c>
    </row>
    <row r="43" spans="2:11">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c r="I44" s="1" t="s">
        <v>77</v>
      </c>
      <c r="J44" s="7"/>
      <c r="K44" s="7">
        <v>0</v>
      </c>
    </row>
    <row r="45" spans="2:11">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c r="H46" s="8" t="s">
        <v>227</v>
      </c>
      <c r="I46" s="1" t="s">
        <v>79</v>
      </c>
      <c r="J46" s="60"/>
      <c r="K46" s="60">
        <f t="shared" ref="K46" si="8">INDEX(Table4,MATCH($H46,Table4_A,0),MATCH(K$42,Table4_1,0))*Percent_urban*quadrillion</f>
        <v>39644244475026.313</v>
      </c>
    </row>
    <row r="47" spans="2:11">
      <c r="I47" s="1" t="s">
        <v>81</v>
      </c>
      <c r="J47" s="7"/>
      <c r="K47" s="7">
        <v>0</v>
      </c>
    </row>
    <row r="48" spans="2:11">
      <c r="I48" s="1" t="s">
        <v>162</v>
      </c>
      <c r="J48" s="7"/>
      <c r="K48" s="7">
        <v>0</v>
      </c>
    </row>
    <row r="49" spans="6:11">
      <c r="I49" s="1" t="s">
        <v>446</v>
      </c>
      <c r="J49" s="7"/>
      <c r="K49" s="7">
        <v>0</v>
      </c>
    </row>
    <row r="50" spans="6:11">
      <c r="I50" s="1" t="s">
        <v>447</v>
      </c>
      <c r="J50" s="7"/>
      <c r="K50" s="7">
        <v>0</v>
      </c>
    </row>
    <row r="51" spans="6:11">
      <c r="G51" s="8" t="s">
        <v>223</v>
      </c>
      <c r="H51" s="8" t="s">
        <v>222</v>
      </c>
      <c r="I51" s="1" t="s">
        <v>448</v>
      </c>
      <c r="J51" s="60"/>
      <c r="K51" s="60">
        <f t="shared" ref="K51" si="9">SUM(INDEX(Table4,MATCH($G51,Table4_A,0),MATCH(K$42,Table4_1,0)),INDEX(Table4,MATCH($H51,Table4_A,0),MATCH(K$42,Table4_1,0)))*Percent_urban*quadrillion</f>
        <v>67007700801424.75</v>
      </c>
    </row>
    <row r="52" spans="6:11">
      <c r="I52" s="1" t="s">
        <v>449</v>
      </c>
      <c r="J52" s="7"/>
      <c r="K52" s="7">
        <v>0</v>
      </c>
    </row>
    <row r="54" spans="6:11">
      <c r="H54" s="1" t="s">
        <v>588</v>
      </c>
    </row>
    <row r="55" spans="6:11">
      <c r="I55" s="1" t="s">
        <v>75</v>
      </c>
      <c r="J55" s="1"/>
      <c r="K55" s="1">
        <v>2020</v>
      </c>
    </row>
    <row r="56" spans="6:11">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1689596264874929.3</v>
      </c>
    </row>
    <row r="57" spans="6:11">
      <c r="I57" s="1" t="s">
        <v>77</v>
      </c>
      <c r="J57" s="7"/>
      <c r="K57" s="7">
        <v>0</v>
      </c>
    </row>
    <row r="58" spans="6:11">
      <c r="H58" s="8" t="s">
        <v>230</v>
      </c>
      <c r="I58" s="1" t="s">
        <v>78</v>
      </c>
      <c r="J58" s="60"/>
      <c r="K58" s="60">
        <f t="shared" ref="K58:K59" si="11">INDEX(Table4,MATCH($H58,Table4_A,0),MATCH(K$55,Table4_1,0))*Percent_urban*quadrillion</f>
        <v>189750535740305.97</v>
      </c>
    </row>
    <row r="59" spans="6:11">
      <c r="H59" s="8" t="s">
        <v>226</v>
      </c>
      <c r="I59" s="1" t="s">
        <v>79</v>
      </c>
      <c r="J59" s="60"/>
      <c r="K59" s="60">
        <f t="shared" si="11"/>
        <v>6383505545211.6895</v>
      </c>
    </row>
    <row r="60" spans="6:11">
      <c r="I60" s="1" t="s">
        <v>81</v>
      </c>
      <c r="J60" s="7"/>
      <c r="K60" s="7">
        <v>0</v>
      </c>
    </row>
    <row r="61" spans="6:11">
      <c r="I61" s="1" t="s">
        <v>162</v>
      </c>
      <c r="J61" s="7"/>
      <c r="K61" s="7">
        <v>0</v>
      </c>
    </row>
    <row r="62" spans="6:11">
      <c r="I62" s="1" t="s">
        <v>446</v>
      </c>
      <c r="J62" s="7"/>
      <c r="K62" s="7">
        <v>0</v>
      </c>
    </row>
    <row r="63" spans="6:11">
      <c r="I63" s="1" t="s">
        <v>447</v>
      </c>
      <c r="J63" s="7"/>
      <c r="K63" s="7">
        <v>0</v>
      </c>
    </row>
    <row r="64" spans="6:11">
      <c r="H64" s="8" t="s">
        <v>221</v>
      </c>
      <c r="I64" s="1" t="s">
        <v>448</v>
      </c>
      <c r="J64" s="60"/>
      <c r="K64" s="60">
        <f t="shared" ref="K64" si="12">INDEX(Table4,MATCH($H64,Table4_A,0),MATCH(K$55,Table4_1,0))*Percent_urban*quadrillion</f>
        <v>58494733910790.898</v>
      </c>
    </row>
    <row r="65" spans="8:11">
      <c r="I65" s="1" t="s">
        <v>449</v>
      </c>
      <c r="J65" s="7"/>
      <c r="K65" s="7">
        <v>0</v>
      </c>
    </row>
    <row r="67" spans="8:11">
      <c r="H67" s="1" t="s">
        <v>589</v>
      </c>
    </row>
    <row r="68" spans="8:11">
      <c r="I68" s="1" t="s">
        <v>75</v>
      </c>
      <c r="J68" s="1"/>
      <c r="K68" s="1">
        <v>2020</v>
      </c>
    </row>
    <row r="69" spans="8:11">
      <c r="H69" s="8" t="s">
        <v>250</v>
      </c>
      <c r="I69" s="1" t="s">
        <v>76</v>
      </c>
      <c r="J69" s="60"/>
      <c r="K69" s="60">
        <f t="shared" ref="K69" si="13">INDEX(Table4,MATCH($H69,Table4_A,0),MATCH(K$68,Table4_1,0))*Percent_rural*quadrillion</f>
        <v>121305211284708.16</v>
      </c>
    </row>
    <row r="70" spans="8:11">
      <c r="I70" s="1" t="s">
        <v>77</v>
      </c>
      <c r="J70" s="7"/>
      <c r="K70" s="7">
        <v>0</v>
      </c>
    </row>
    <row r="71" spans="8:11">
      <c r="H71" s="8" t="s">
        <v>235</v>
      </c>
      <c r="I71" s="1" t="s">
        <v>78</v>
      </c>
      <c r="J71" s="60"/>
      <c r="K71" s="60">
        <f t="shared" ref="K71:K72" si="14">INDEX(Table4,MATCH($H71,Table4_A,0),MATCH(K$68,Table4_1,0))*Percent_rural*quadrillion</f>
        <v>659297538330769.88</v>
      </c>
    </row>
    <row r="72" spans="8:11">
      <c r="H72" s="8" t="s">
        <v>228</v>
      </c>
      <c r="I72" s="1" t="s">
        <v>79</v>
      </c>
      <c r="J72" s="60"/>
      <c r="K72" s="60">
        <f t="shared" si="14"/>
        <v>69657855176880.109</v>
      </c>
    </row>
    <row r="73" spans="8:11">
      <c r="I73" s="1" t="s">
        <v>81</v>
      </c>
      <c r="J73" s="7"/>
      <c r="K73" s="7">
        <v>0</v>
      </c>
    </row>
    <row r="74" spans="8:11">
      <c r="H74" s="8" t="s">
        <v>219</v>
      </c>
      <c r="I74" s="1" t="s">
        <v>162</v>
      </c>
      <c r="J74" s="60"/>
      <c r="K74" s="60">
        <f t="shared" ref="K74" si="15">INDEX(Table4,MATCH($H74,Table4_A,0),MATCH(K$68,Table4_1,0))*Percent_rural*quadrillion</f>
        <v>85517300089047.188</v>
      </c>
    </row>
    <row r="75" spans="8:11">
      <c r="I75" s="1" t="s">
        <v>446</v>
      </c>
      <c r="J75" s="7"/>
      <c r="K75" s="7">
        <v>0</v>
      </c>
    </row>
    <row r="76" spans="8:11">
      <c r="I76" s="1" t="s">
        <v>447</v>
      </c>
      <c r="J76" s="7"/>
      <c r="K76" s="7">
        <v>0</v>
      </c>
    </row>
    <row r="77" spans="8:11">
      <c r="H77" s="8" t="s">
        <v>224</v>
      </c>
      <c r="I77" s="1" t="s">
        <v>448</v>
      </c>
      <c r="J77" s="60"/>
      <c r="K77" s="60">
        <f t="shared" ref="K77" si="16">INDEX(Table4,MATCH($H77,Table4_A,0),MATCH(K$68,Table4_1,0))*Percent_rural*quadrillion</f>
        <v>56229841657896.867</v>
      </c>
    </row>
    <row r="78" spans="8:11">
      <c r="I78" s="1" t="s">
        <v>449</v>
      </c>
      <c r="J78" s="7"/>
      <c r="K78" s="7">
        <v>0</v>
      </c>
    </row>
    <row r="80" spans="8:11">
      <c r="H80" s="1" t="s">
        <v>590</v>
      </c>
    </row>
    <row r="81" spans="7:11">
      <c r="I81" s="1" t="s">
        <v>75</v>
      </c>
      <c r="J81" s="1"/>
      <c r="K81" s="1">
        <v>2020</v>
      </c>
    </row>
    <row r="82" spans="7:11">
      <c r="G82" s="8" t="s">
        <v>238</v>
      </c>
      <c r="H82" s="8" t="s">
        <v>249</v>
      </c>
      <c r="I82" s="1" t="s">
        <v>76</v>
      </c>
      <c r="J82" s="60"/>
      <c r="K82" s="60">
        <f t="shared" ref="K82" si="17">SUM(INDEX(Table4,MATCH($G82,Table4_A,0),MATCH(K$16,Table4_1,0)),INDEX(Table4,MATCH($H82,Table4_A,0),MATCH(K$16,Table4_1,0)))*Percent_rural*quadrillion</f>
        <v>165157519468954.91</v>
      </c>
    </row>
    <row r="83" spans="7:11">
      <c r="I83" s="1" t="s">
        <v>77</v>
      </c>
      <c r="J83" s="7"/>
      <c r="K83" s="7">
        <v>0</v>
      </c>
    </row>
    <row r="84" spans="7:11">
      <c r="H84" s="8" t="s">
        <v>234</v>
      </c>
      <c r="I84" s="1" t="s">
        <v>78</v>
      </c>
      <c r="J84" s="60"/>
      <c r="K84" s="60">
        <f t="shared" ref="K84" si="18">INDEX(Table4,MATCH($H84,Table4_A,0),MATCH(K$68,Table4_1,0))*Percent_rural*quadrillion</f>
        <v>10956768558244.961</v>
      </c>
    </row>
    <row r="85" spans="7:11">
      <c r="I85" s="1" t="s">
        <v>79</v>
      </c>
      <c r="J85" s="7"/>
      <c r="K85" s="7">
        <v>0</v>
      </c>
    </row>
    <row r="86" spans="7:11">
      <c r="I86" s="1" t="s">
        <v>81</v>
      </c>
      <c r="J86" s="7"/>
      <c r="K86" s="7">
        <v>0</v>
      </c>
    </row>
    <row r="87" spans="7:11">
      <c r="I87" s="1" t="s">
        <v>162</v>
      </c>
      <c r="J87" s="7"/>
      <c r="K87" s="7">
        <v>0</v>
      </c>
    </row>
    <row r="88" spans="7:11">
      <c r="I88" s="1" t="s">
        <v>446</v>
      </c>
      <c r="J88" s="7"/>
      <c r="K88" s="7">
        <v>0</v>
      </c>
    </row>
    <row r="89" spans="7:11">
      <c r="I89" s="1" t="s">
        <v>447</v>
      </c>
      <c r="J89" s="7"/>
      <c r="K89" s="7">
        <v>0</v>
      </c>
    </row>
    <row r="90" spans="7:11">
      <c r="I90" s="1" t="s">
        <v>448</v>
      </c>
      <c r="J90" s="7"/>
      <c r="K90" s="7">
        <v>0</v>
      </c>
    </row>
    <row r="91" spans="7:11">
      <c r="I91" s="1" t="s">
        <v>449</v>
      </c>
      <c r="J91" s="7"/>
      <c r="K91" s="7">
        <v>0</v>
      </c>
    </row>
    <row r="93" spans="7:11">
      <c r="H93" s="1" t="s">
        <v>591</v>
      </c>
    </row>
    <row r="94" spans="7:11">
      <c r="I94" s="1" t="s">
        <v>75</v>
      </c>
      <c r="J94" s="1"/>
      <c r="K94" s="1">
        <v>2020</v>
      </c>
    </row>
    <row r="95" spans="7:11">
      <c r="H95" s="8" t="s">
        <v>243</v>
      </c>
      <c r="I95" s="1" t="s">
        <v>76</v>
      </c>
      <c r="J95" s="60"/>
      <c r="K95" s="60">
        <f t="shared" ref="K95" si="19">INDEX(Table4,MATCH($H95,Table4_A,0),MATCH(K$68,Table4_1,0))*Percent_rural*quadrillion</f>
        <v>39485900024285.602</v>
      </c>
    </row>
    <row r="96" spans="7:11">
      <c r="I96" s="1" t="s">
        <v>77</v>
      </c>
      <c r="J96" s="7"/>
      <c r="K96" s="7">
        <v>0</v>
      </c>
    </row>
    <row r="97" spans="2:11">
      <c r="I97" s="1" t="s">
        <v>78</v>
      </c>
      <c r="J97" s="7"/>
      <c r="K97" s="7">
        <v>0</v>
      </c>
    </row>
    <row r="98" spans="2:11">
      <c r="I98" s="1" t="s">
        <v>79</v>
      </c>
      <c r="J98" s="7"/>
      <c r="K98" s="7">
        <v>0</v>
      </c>
    </row>
    <row r="99" spans="2:11">
      <c r="I99" s="1" t="s">
        <v>81</v>
      </c>
      <c r="J99" s="7"/>
      <c r="K99" s="7">
        <v>0</v>
      </c>
    </row>
    <row r="100" spans="2:11">
      <c r="I100" s="1" t="s">
        <v>162</v>
      </c>
      <c r="J100" s="7"/>
      <c r="K100" s="7">
        <v>0</v>
      </c>
    </row>
    <row r="101" spans="2:11">
      <c r="I101" s="1" t="s">
        <v>446</v>
      </c>
      <c r="J101" s="7"/>
      <c r="K101" s="7">
        <v>0</v>
      </c>
    </row>
    <row r="102" spans="2:11">
      <c r="I102" s="1" t="s">
        <v>447</v>
      </c>
      <c r="J102" s="7"/>
      <c r="K102" s="7">
        <v>0</v>
      </c>
    </row>
    <row r="103" spans="2:11">
      <c r="I103" s="1" t="s">
        <v>448</v>
      </c>
      <c r="J103" s="7"/>
      <c r="K103" s="7">
        <v>0</v>
      </c>
    </row>
    <row r="104" spans="2:11">
      <c r="I104" s="1" t="s">
        <v>449</v>
      </c>
      <c r="J104" s="7"/>
      <c r="K104" s="7">
        <v>0</v>
      </c>
    </row>
    <row r="106" spans="2:11">
      <c r="H106" s="1" t="s">
        <v>592</v>
      </c>
    </row>
    <row r="107" spans="2:11">
      <c r="I107" s="1" t="s">
        <v>75</v>
      </c>
      <c r="J107" s="1"/>
      <c r="K107" s="1">
        <v>2020</v>
      </c>
    </row>
    <row r="108" spans="2:11">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c r="I109" s="1" t="s">
        <v>77</v>
      </c>
      <c r="J109" s="7"/>
      <c r="K109" s="7">
        <v>0</v>
      </c>
    </row>
    <row r="110" spans="2:11">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c r="H111" s="8" t="s">
        <v>227</v>
      </c>
      <c r="I111" s="1" t="s">
        <v>79</v>
      </c>
      <c r="J111" s="60"/>
      <c r="K111" s="60">
        <f t="shared" ref="K111" si="22">INDEX(Table4,MATCH($H111,Table4_A,0),MATCH(K$107,Table4_1,0))*Percent_rural*quadrillion</f>
        <v>9113755524973.6914</v>
      </c>
    </row>
    <row r="112" spans="2:11">
      <c r="I112" s="1" t="s">
        <v>81</v>
      </c>
      <c r="J112" s="7"/>
      <c r="K112" s="7">
        <v>0</v>
      </c>
    </row>
    <row r="113" spans="6:11">
      <c r="I113" s="1" t="s">
        <v>162</v>
      </c>
      <c r="J113" s="7"/>
      <c r="K113" s="7">
        <v>0</v>
      </c>
    </row>
    <row r="114" spans="6:11">
      <c r="I114" s="1" t="s">
        <v>446</v>
      </c>
      <c r="J114" s="7"/>
      <c r="K114" s="7">
        <v>0</v>
      </c>
    </row>
    <row r="115" spans="6:11">
      <c r="I115" s="1" t="s">
        <v>447</v>
      </c>
      <c r="J115" s="7"/>
      <c r="K115" s="7">
        <v>0</v>
      </c>
    </row>
    <row r="116" spans="6:11">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c r="I117" s="1" t="s">
        <v>449</v>
      </c>
      <c r="J117" s="7"/>
      <c r="K117" s="7">
        <v>0</v>
      </c>
    </row>
    <row r="119" spans="6:11">
      <c r="H119" s="1" t="s">
        <v>593</v>
      </c>
    </row>
    <row r="120" spans="6:11">
      <c r="I120" s="1" t="s">
        <v>75</v>
      </c>
      <c r="J120" s="1"/>
      <c r="K120" s="1">
        <v>2020</v>
      </c>
    </row>
    <row r="121" spans="6:11">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c r="I122" s="1" t="s">
        <v>77</v>
      </c>
      <c r="J122" s="7"/>
      <c r="K122" s="7">
        <v>0</v>
      </c>
    </row>
    <row r="123" spans="6:11">
      <c r="H123" s="8" t="s">
        <v>230</v>
      </c>
      <c r="I123" s="1" t="s">
        <v>78</v>
      </c>
      <c r="J123" s="60"/>
      <c r="K123" s="60">
        <f t="shared" ref="K123:K124" si="25">INDEX(Table4,MATCH($H123,Table4_A,0),MATCH(K$120,Table4_1,0))*Percent_rural*quadrillion</f>
        <v>43621464259694</v>
      </c>
    </row>
    <row r="124" spans="6:11">
      <c r="H124" s="8" t="s">
        <v>226</v>
      </c>
      <c r="I124" s="1" t="s">
        <v>79</v>
      </c>
      <c r="J124" s="60"/>
      <c r="K124" s="60">
        <f t="shared" si="25"/>
        <v>1467494454788.3105</v>
      </c>
    </row>
    <row r="125" spans="6:11">
      <c r="I125" s="1" t="s">
        <v>81</v>
      </c>
      <c r="J125" s="7"/>
      <c r="K125" s="7">
        <v>0</v>
      </c>
    </row>
    <row r="126" spans="6:11">
      <c r="I126" s="1" t="s">
        <v>162</v>
      </c>
      <c r="J126" s="7"/>
      <c r="K126" s="7">
        <v>0</v>
      </c>
    </row>
    <row r="127" spans="6:11">
      <c r="I127" s="1" t="s">
        <v>446</v>
      </c>
      <c r="J127" s="7"/>
      <c r="K127" s="7">
        <v>0</v>
      </c>
    </row>
    <row r="128" spans="6:11">
      <c r="I128" s="1" t="s">
        <v>447</v>
      </c>
      <c r="J128" s="7"/>
      <c r="K128" s="7">
        <v>0</v>
      </c>
    </row>
    <row r="129" spans="1:11">
      <c r="H129" s="8" t="s">
        <v>221</v>
      </c>
      <c r="I129" s="1" t="s">
        <v>448</v>
      </c>
      <c r="J129" s="60"/>
      <c r="K129" s="60">
        <f t="shared" ref="K129" si="26">INDEX(Table4,MATCH($H129,Table4_A,0),MATCH(K$120,Table4_1,0))*Percent_rural*quadrillion</f>
        <v>13447266089209.1</v>
      </c>
    </row>
    <row r="130" spans="1:11">
      <c r="I130" s="1" t="s">
        <v>449</v>
      </c>
      <c r="J130" s="7"/>
      <c r="K130" s="7">
        <v>0</v>
      </c>
    </row>
    <row r="131" spans="1:11" s="62" customFormat="1" ht="18.75">
      <c r="A131" s="61" t="s">
        <v>74</v>
      </c>
      <c r="B131" s="61"/>
      <c r="C131" s="61"/>
      <c r="D131" s="61"/>
      <c r="E131" s="61"/>
      <c r="F131" s="61" t="s">
        <v>74</v>
      </c>
      <c r="G131" s="61"/>
    </row>
    <row r="132" spans="1:11">
      <c r="H132" s="1" t="s">
        <v>594</v>
      </c>
    </row>
    <row r="133" spans="1:11">
      <c r="I133" s="1" t="s">
        <v>75</v>
      </c>
      <c r="J133" s="1"/>
      <c r="K133" s="1">
        <v>2020</v>
      </c>
    </row>
    <row r="134" spans="1:11">
      <c r="H134" s="8" t="s">
        <v>333</v>
      </c>
      <c r="I134" s="1" t="s">
        <v>76</v>
      </c>
      <c r="J134" s="60"/>
      <c r="K134" s="60">
        <f>INDEX(Table5,MATCH($H134,Table5_A,0),MATCH(K$133,Table5_1,0))*quadrillion</f>
        <v>113109000000000</v>
      </c>
    </row>
    <row r="135" spans="1:11">
      <c r="I135" s="1" t="s">
        <v>77</v>
      </c>
      <c r="J135" s="7"/>
      <c r="K135" s="7">
        <v>0</v>
      </c>
    </row>
    <row r="136" spans="1:11">
      <c r="H136" s="8" t="s">
        <v>323</v>
      </c>
      <c r="I136" s="1" t="s">
        <v>78</v>
      </c>
      <c r="J136" s="60"/>
      <c r="K136" s="60">
        <f t="shared" ref="K136:K137" si="27">INDEX(Table5,MATCH($H136,Table5_A,0),MATCH(K$133,Table5_1,0))*quadrillion</f>
        <v>1772856000000000</v>
      </c>
    </row>
    <row r="137" spans="1:11">
      <c r="H137" s="8" t="s">
        <v>317</v>
      </c>
      <c r="I137" s="1" t="s">
        <v>79</v>
      </c>
      <c r="J137" s="60"/>
      <c r="K137" s="60">
        <f t="shared" si="27"/>
        <v>216543000000000</v>
      </c>
    </row>
    <row r="138" spans="1:11">
      <c r="I138" s="1" t="s">
        <v>81</v>
      </c>
      <c r="J138" s="63"/>
      <c r="K138" s="63">
        <f>'[1]District Heat'!F9</f>
        <v>336352809191520</v>
      </c>
    </row>
    <row r="139" spans="1:11">
      <c r="I139" s="1" t="s">
        <v>162</v>
      </c>
      <c r="J139" s="7"/>
      <c r="K139" s="7">
        <v>0</v>
      </c>
    </row>
    <row r="140" spans="1:11">
      <c r="I140" s="1" t="s">
        <v>446</v>
      </c>
      <c r="J140" s="7"/>
      <c r="K140" s="7">
        <v>0</v>
      </c>
    </row>
    <row r="141" spans="1:11">
      <c r="I141" s="1" t="s">
        <v>447</v>
      </c>
      <c r="J141" s="7"/>
      <c r="K141" s="7">
        <v>0</v>
      </c>
    </row>
    <row r="142" spans="1:11">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c r="I143" s="1" t="s">
        <v>449</v>
      </c>
      <c r="J143" s="7"/>
      <c r="K143" s="7">
        <v>0</v>
      </c>
    </row>
    <row r="145" spans="7:11">
      <c r="H145" s="1" t="s">
        <v>595</v>
      </c>
    </row>
    <row r="146" spans="7:11">
      <c r="I146" s="1" t="s">
        <v>75</v>
      </c>
      <c r="J146" s="1"/>
      <c r="K146" s="1">
        <v>2020</v>
      </c>
    </row>
    <row r="147" spans="7:11">
      <c r="G147" s="8" t="s">
        <v>330</v>
      </c>
      <c r="H147" s="8" t="s">
        <v>332</v>
      </c>
      <c r="I147" s="1" t="s">
        <v>76</v>
      </c>
      <c r="J147" s="60"/>
      <c r="K147" s="60">
        <f t="shared" ref="K147" si="28">SUM(INDEX(Table5,MATCH($G147,Table5_A,0),MATCH(K$146,Table5_1,0)),INDEX(Table5,MATCH($H147,Table5_A,0),MATCH(K$146,Table5_1,0)))*quadrillion</f>
        <v>1036330000000000</v>
      </c>
    </row>
    <row r="148" spans="7:11">
      <c r="I148" s="1" t="s">
        <v>77</v>
      </c>
      <c r="J148" s="7"/>
      <c r="K148" s="7">
        <v>0</v>
      </c>
    </row>
    <row r="149" spans="7:11">
      <c r="H149" s="8" t="s">
        <v>322</v>
      </c>
      <c r="I149" s="1" t="s">
        <v>78</v>
      </c>
      <c r="J149" s="60"/>
      <c r="K149" s="60">
        <f t="shared" ref="K149" si="29">INDEX(Table5,MATCH($H149,Table5_A,0),MATCH(K$146,Table5_1,0))*quadrillion</f>
        <v>27616000000000</v>
      </c>
    </row>
    <row r="150" spans="7:11">
      <c r="I150" s="1" t="s">
        <v>79</v>
      </c>
      <c r="J150" s="7"/>
      <c r="K150" s="7">
        <v>0</v>
      </c>
    </row>
    <row r="151" spans="7:11">
      <c r="I151" s="1" t="s">
        <v>81</v>
      </c>
      <c r="J151" s="7"/>
      <c r="K151" s="7">
        <v>0</v>
      </c>
    </row>
    <row r="152" spans="7:11">
      <c r="I152" s="1" t="s">
        <v>162</v>
      </c>
      <c r="J152" s="7"/>
      <c r="K152" s="7">
        <v>0</v>
      </c>
    </row>
    <row r="153" spans="7:11">
      <c r="I153" s="1" t="s">
        <v>446</v>
      </c>
      <c r="J153" s="7"/>
      <c r="K153" s="7">
        <v>0</v>
      </c>
    </row>
    <row r="154" spans="7:11">
      <c r="I154" s="1" t="s">
        <v>447</v>
      </c>
      <c r="J154" s="7"/>
      <c r="K154" s="7">
        <v>0</v>
      </c>
    </row>
    <row r="155" spans="7:11">
      <c r="I155" s="1" t="s">
        <v>448</v>
      </c>
      <c r="J155" s="7"/>
      <c r="K155" s="7">
        <v>0</v>
      </c>
    </row>
    <row r="156" spans="7:11">
      <c r="I156" s="1" t="s">
        <v>449</v>
      </c>
      <c r="J156" s="7"/>
      <c r="K156" s="7">
        <v>0</v>
      </c>
    </row>
    <row r="158" spans="7:11">
      <c r="H158" s="1" t="s">
        <v>596</v>
      </c>
    </row>
    <row r="159" spans="7:11">
      <c r="I159" s="1" t="s">
        <v>75</v>
      </c>
      <c r="J159" s="1"/>
      <c r="K159" s="1">
        <v>2020</v>
      </c>
    </row>
    <row r="160" spans="7:11">
      <c r="H160" s="8" t="s">
        <v>328</v>
      </c>
      <c r="I160" s="1" t="s">
        <v>76</v>
      </c>
      <c r="J160" s="60"/>
      <c r="K160" s="60">
        <f t="shared" ref="K160" si="30">INDEX(Table5,MATCH($H160,Table5_A,0),MATCH(K$159,Table5_1,0))*quadrillion</f>
        <v>534784000000000.06</v>
      </c>
    </row>
    <row r="161" spans="6:11">
      <c r="I161" s="1" t="s">
        <v>77</v>
      </c>
      <c r="J161" s="7"/>
      <c r="K161" s="7">
        <v>0</v>
      </c>
    </row>
    <row r="162" spans="6:11">
      <c r="I162" s="1" t="s">
        <v>78</v>
      </c>
      <c r="J162" s="7"/>
      <c r="K162" s="7">
        <v>0</v>
      </c>
    </row>
    <row r="163" spans="6:11">
      <c r="I163" s="1" t="s">
        <v>79</v>
      </c>
      <c r="J163" s="7"/>
      <c r="K163" s="7">
        <v>0</v>
      </c>
    </row>
    <row r="164" spans="6:11">
      <c r="I164" s="1" t="s">
        <v>81</v>
      </c>
      <c r="J164" s="7"/>
      <c r="K164" s="7">
        <v>0</v>
      </c>
    </row>
    <row r="165" spans="6:11">
      <c r="I165" s="1" t="s">
        <v>162</v>
      </c>
      <c r="J165" s="7"/>
      <c r="K165" s="7">
        <v>0</v>
      </c>
    </row>
    <row r="166" spans="6:11">
      <c r="I166" s="1" t="s">
        <v>446</v>
      </c>
      <c r="J166" s="7"/>
      <c r="K166" s="7">
        <v>0</v>
      </c>
    </row>
    <row r="167" spans="6:11">
      <c r="I167" s="1" t="s">
        <v>447</v>
      </c>
      <c r="J167" s="7"/>
      <c r="K167" s="7">
        <v>0</v>
      </c>
    </row>
    <row r="168" spans="6:11">
      <c r="I168" s="1" t="s">
        <v>448</v>
      </c>
      <c r="J168" s="7"/>
      <c r="K168" s="7">
        <v>0</v>
      </c>
    </row>
    <row r="169" spans="6:11">
      <c r="I169" s="1" t="s">
        <v>449</v>
      </c>
      <c r="J169" s="7"/>
      <c r="K169" s="7">
        <v>0</v>
      </c>
    </row>
    <row r="171" spans="6:11">
      <c r="H171" s="1" t="s">
        <v>597</v>
      </c>
    </row>
    <row r="172" spans="6:11">
      <c r="I172" s="1" t="s">
        <v>75</v>
      </c>
      <c r="J172" s="1"/>
      <c r="K172" s="1">
        <v>2020</v>
      </c>
    </row>
    <row r="173" spans="6:11">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762705000000000.13</v>
      </c>
    </row>
    <row r="174" spans="6:11">
      <c r="I174" s="1" t="s">
        <v>77</v>
      </c>
      <c r="J174" s="7"/>
      <c r="K174" s="7">
        <v>0</v>
      </c>
    </row>
    <row r="175" spans="6:11">
      <c r="G175" s="8" t="s">
        <v>321</v>
      </c>
      <c r="H175" s="8" t="s">
        <v>320</v>
      </c>
      <c r="I175" s="1" t="s">
        <v>78</v>
      </c>
      <c r="J175" s="60"/>
      <c r="K175" s="60">
        <f t="shared" ref="K175" si="32">SUM(INDEX(Table5,MATCH($G175,Table5_A,0),MATCH(K$172,Table5_1,0)),INDEX(Table5,MATCH($H175,Table5_A,0),MATCH(K$172,Table5_1,0)))*quadrillion</f>
        <v>956897000000000</v>
      </c>
    </row>
    <row r="176" spans="6:11">
      <c r="H176" s="8" t="s">
        <v>316</v>
      </c>
      <c r="I176" s="1" t="s">
        <v>79</v>
      </c>
      <c r="J176" s="60"/>
      <c r="K176" s="60">
        <f t="shared" ref="K176" si="33">INDEX(Table5,MATCH($H176,Table5_A,0),MATCH(K$172,Table5_1,0))*quadrillion</f>
        <v>6524000000000</v>
      </c>
    </row>
    <row r="177" spans="6:11">
      <c r="I177" s="1" t="s">
        <v>81</v>
      </c>
      <c r="J177" s="7"/>
      <c r="K177" s="7">
        <v>0</v>
      </c>
    </row>
    <row r="178" spans="6:11">
      <c r="I178" s="1" t="s">
        <v>162</v>
      </c>
      <c r="J178" s="7"/>
      <c r="K178" s="7">
        <v>0</v>
      </c>
    </row>
    <row r="179" spans="6:11">
      <c r="I179" s="1" t="s">
        <v>446</v>
      </c>
      <c r="J179" s="7"/>
      <c r="K179" s="7">
        <v>0</v>
      </c>
    </row>
    <row r="180" spans="6:11">
      <c r="I180" s="1" t="s">
        <v>447</v>
      </c>
      <c r="J180" s="7"/>
      <c r="K180" s="7">
        <v>0</v>
      </c>
    </row>
    <row r="181" spans="6:11">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c r="I182" s="1" t="s">
        <v>449</v>
      </c>
      <c r="J182" s="7"/>
      <c r="K182" s="7">
        <v>0</v>
      </c>
    </row>
    <row r="184" spans="6:11">
      <c r="H184" s="1" t="s">
        <v>598</v>
      </c>
    </row>
    <row r="185" spans="6:11">
      <c r="I185" s="1" t="s">
        <v>75</v>
      </c>
      <c r="J185" s="1"/>
      <c r="K185" s="1">
        <v>2020</v>
      </c>
    </row>
    <row r="186" spans="6:11">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c r="H187" s="8" t="s">
        <v>312</v>
      </c>
      <c r="I187" s="1" t="s">
        <v>77</v>
      </c>
      <c r="J187" s="60"/>
      <c r="K187" s="60">
        <f t="shared" ref="K187" si="35">INDEX(Table5,MATCH($H187,Table5_A,0),MATCH(K$185,Table5_1,0))*quadrillion*Fraction_coal</f>
        <v>20544840000000</v>
      </c>
    </row>
    <row r="188" spans="6:11">
      <c r="H188" s="8" t="s">
        <v>319</v>
      </c>
      <c r="I188" s="1" t="s">
        <v>78</v>
      </c>
      <c r="J188" s="60"/>
      <c r="K188" s="60">
        <f t="shared" ref="K188:K189" si="36">INDEX(Table5,MATCH($H188,Table5_A,0),MATCH(K$185,Table5_1,0))*quadrillion</f>
        <v>555670000000000</v>
      </c>
    </row>
    <row r="189" spans="6:11">
      <c r="H189" s="8" t="s">
        <v>315</v>
      </c>
      <c r="I189" s="1" t="s">
        <v>79</v>
      </c>
      <c r="J189" s="60"/>
      <c r="K189" s="60">
        <f t="shared" si="36"/>
        <v>86303000000000</v>
      </c>
    </row>
    <row r="190" spans="6:11">
      <c r="I190" s="1" t="s">
        <v>81</v>
      </c>
      <c r="J190" s="7"/>
      <c r="K190" s="7">
        <v>0</v>
      </c>
    </row>
    <row r="191" spans="6:11">
      <c r="I191" s="1" t="s">
        <v>162</v>
      </c>
      <c r="J191" s="7"/>
      <c r="K191" s="7">
        <v>0</v>
      </c>
    </row>
    <row r="192" spans="6:11">
      <c r="I192" s="1" t="s">
        <v>446</v>
      </c>
      <c r="J192" s="7"/>
      <c r="K192" s="7">
        <v>0</v>
      </c>
    </row>
    <row r="193" spans="8:11">
      <c r="I193" s="1" t="s">
        <v>447</v>
      </c>
      <c r="J193" s="7"/>
      <c r="K193" s="7">
        <v>0</v>
      </c>
    </row>
    <row r="194" spans="8:11">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c r="I195" s="1" t="s">
        <v>449</v>
      </c>
      <c r="J195" s="7"/>
      <c r="K195" s="7">
        <v>0</v>
      </c>
    </row>
    <row r="197" spans="8:11" s="64" customFormat="1">
      <c r="H197" s="64" t="s">
        <v>599</v>
      </c>
      <c r="K197" s="64">
        <f t="shared" ref="K197" si="37">K185</f>
        <v>2020</v>
      </c>
    </row>
    <row r="198" spans="8:11">
      <c r="I198" s="1" t="s">
        <v>600</v>
      </c>
      <c r="J198" t="s">
        <v>601</v>
      </c>
      <c r="K198" s="7">
        <f>'[1]AEO22 Table 4'!C48*10^15</f>
        <v>5181982000000000</v>
      </c>
    </row>
    <row r="199" spans="8:11">
      <c r="I199" s="1" t="s">
        <v>602</v>
      </c>
      <c r="J199" t="s">
        <v>603</v>
      </c>
      <c r="K199" s="7">
        <f>SUM(K4,K17,K30,K43,K56,K69,K82,K95,K108,K121)</f>
        <v>5130943999999999</v>
      </c>
    </row>
    <row r="201" spans="8:11">
      <c r="I201" t="s">
        <v>604</v>
      </c>
      <c r="J201" t="s">
        <v>601</v>
      </c>
      <c r="K201" s="6">
        <f>'[1]AEO22 Table 5'!C39*10^15</f>
        <v>4595164000000000</v>
      </c>
    </row>
    <row r="202" spans="8:11">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F167" zoomScale="103" zoomScaleNormal="90" workbookViewId="0">
      <selection activeCell="P176" sqref="P176"/>
    </sheetView>
  </sheetViews>
  <sheetFormatPr defaultRowHeight="15"/>
  <cols>
    <col min="1" max="1" width="3.28515625" customWidth="1"/>
    <col min="2" max="2" width="20.85546875" customWidth="1"/>
    <col min="3" max="3" width="18.7109375" customWidth="1"/>
    <col min="4" max="4" width="17.140625" customWidth="1"/>
    <col min="5" max="5" width="25.7109375" customWidth="1"/>
    <col min="6" max="6" width="19" customWidth="1"/>
    <col min="7" max="7" width="18.85546875" customWidth="1"/>
    <col min="8" max="8" width="35" customWidth="1"/>
    <col min="9" max="9" width="20.5703125" customWidth="1"/>
    <col min="10" max="10" width="12" customWidth="1"/>
    <col min="11" max="12" width="11.28515625" customWidth="1"/>
  </cols>
  <sheetData>
    <row r="1" spans="1:11" ht="18.75">
      <c r="A1" s="59" t="s">
        <v>73</v>
      </c>
      <c r="B1" s="59"/>
      <c r="C1" s="59"/>
      <c r="D1" s="59"/>
      <c r="E1" s="59"/>
      <c r="F1" s="59"/>
      <c r="G1" s="59"/>
    </row>
    <row r="2" spans="1:11">
      <c r="H2" s="1" t="s">
        <v>584</v>
      </c>
    </row>
    <row r="3" spans="1:11">
      <c r="I3" s="1" t="s">
        <v>75</v>
      </c>
      <c r="J3" s="1"/>
      <c r="K3" s="1">
        <f>'Copy of BCEU Calculations'!J3</f>
        <v>2020</v>
      </c>
    </row>
    <row r="4" spans="1:11">
      <c r="H4" s="8" t="s">
        <v>250</v>
      </c>
      <c r="I4" s="1" t="s">
        <v>76</v>
      </c>
      <c r="J4" s="60"/>
      <c r="K4" s="60">
        <f>'Copy of BCEU Calculations'!J4</f>
        <v>551419754461033</v>
      </c>
    </row>
    <row r="5" spans="1:11">
      <c r="I5" s="1" t="s">
        <v>77</v>
      </c>
      <c r="J5" s="7"/>
      <c r="K5" s="60">
        <f>'Copy of BCEU Calculations'!J5</f>
        <v>0</v>
      </c>
    </row>
    <row r="6" spans="1:11">
      <c r="H6" s="8" t="s">
        <v>235</v>
      </c>
      <c r="I6" s="1" t="s">
        <v>78</v>
      </c>
      <c r="J6" s="60"/>
      <c r="K6" s="60">
        <f>'Copy of BCEU Calculations'!J6</f>
        <v>2923028410588520</v>
      </c>
    </row>
    <row r="7" spans="1:11">
      <c r="H7" s="8" t="s">
        <v>228</v>
      </c>
      <c r="I7" s="1" t="s">
        <v>79</v>
      </c>
      <c r="J7" s="60"/>
      <c r="K7" s="60">
        <f>'Copy of BCEU Calculations'!J7</f>
        <v>286332810861446</v>
      </c>
    </row>
    <row r="8" spans="1:11">
      <c r="I8" s="1" t="s">
        <v>81</v>
      </c>
      <c r="J8" s="7"/>
      <c r="K8" s="60">
        <f>'Copy of BCEU Calculations'!J8</f>
        <v>0</v>
      </c>
    </row>
    <row r="9" spans="1:11">
      <c r="H9" s="8" t="s">
        <v>219</v>
      </c>
      <c r="I9" s="1" t="s">
        <v>162</v>
      </c>
      <c r="J9" s="60"/>
      <c r="K9" s="60">
        <f>'Copy of BCEU Calculations'!J9</f>
        <v>446555350256156</v>
      </c>
    </row>
    <row r="10" spans="1:11">
      <c r="I10" s="1" t="s">
        <v>446</v>
      </c>
      <c r="J10" s="7"/>
      <c r="K10" s="60">
        <f>'Copy of BCEU Calculations'!J10</f>
        <v>0</v>
      </c>
    </row>
    <row r="11" spans="1:11">
      <c r="I11" s="1" t="s">
        <v>447</v>
      </c>
      <c r="J11" s="7"/>
      <c r="K11" s="60">
        <f>'Copy of BCEU Calculations'!J11</f>
        <v>0</v>
      </c>
    </row>
    <row r="12" spans="1:11">
      <c r="H12" s="8" t="s">
        <v>224</v>
      </c>
      <c r="I12" s="1" t="s">
        <v>448</v>
      </c>
      <c r="J12" s="60"/>
      <c r="K12" s="60">
        <f>'Copy of BCEU Calculations'!J12</f>
        <v>250651837032068.5</v>
      </c>
    </row>
    <row r="13" spans="1:11">
      <c r="I13" s="1" t="s">
        <v>449</v>
      </c>
      <c r="J13" s="7"/>
      <c r="K13" s="60">
        <f>'Copy of BCEU Calculations'!J13</f>
        <v>0</v>
      </c>
    </row>
    <row r="14" spans="1:11">
      <c r="K14" s="60">
        <f>'Copy of BCEU Calculations'!J14</f>
        <v>0</v>
      </c>
    </row>
    <row r="15" spans="1:11">
      <c r="H15" s="1" t="s">
        <v>585</v>
      </c>
      <c r="K15" s="60">
        <f>'Copy of BCEU Calculations'!J15</f>
        <v>0</v>
      </c>
    </row>
    <row r="16" spans="1:11">
      <c r="I16" s="1" t="s">
        <v>75</v>
      </c>
      <c r="J16" s="1"/>
      <c r="K16" s="60">
        <f>'Copy of BCEU Calculations'!J16</f>
        <v>2020</v>
      </c>
    </row>
    <row r="17" spans="7:11">
      <c r="G17" s="8" t="s">
        <v>238</v>
      </c>
      <c r="H17" s="8" t="s">
        <v>249</v>
      </c>
      <c r="I17" s="1" t="s">
        <v>76</v>
      </c>
      <c r="J17" s="60"/>
      <c r="K17" s="60">
        <f>'Copy of BCEU Calculations'!J17</f>
        <v>727948340460964</v>
      </c>
    </row>
    <row r="18" spans="7:11">
      <c r="I18" s="1" t="s">
        <v>77</v>
      </c>
      <c r="J18" s="7"/>
      <c r="K18" s="60">
        <f>'Copy of BCEU Calculations'!J18</f>
        <v>0</v>
      </c>
    </row>
    <row r="19" spans="7:11">
      <c r="H19" s="8" t="s">
        <v>234</v>
      </c>
      <c r="I19" s="1" t="s">
        <v>78</v>
      </c>
      <c r="J19" s="60"/>
      <c r="K19" s="60">
        <f>'Copy of BCEU Calculations'!J19</f>
        <v>48562977923234.375</v>
      </c>
    </row>
    <row r="20" spans="7:11">
      <c r="I20" s="1" t="s">
        <v>79</v>
      </c>
      <c r="J20" s="7"/>
      <c r="K20" s="60">
        <f>'Copy of BCEU Calculations'!J20</f>
        <v>0</v>
      </c>
    </row>
    <row r="21" spans="7:11">
      <c r="I21" s="1" t="s">
        <v>81</v>
      </c>
      <c r="J21" s="7"/>
      <c r="K21" s="60">
        <f>'Copy of BCEU Calculations'!J21</f>
        <v>0</v>
      </c>
    </row>
    <row r="22" spans="7:11">
      <c r="I22" s="1" t="s">
        <v>162</v>
      </c>
      <c r="J22" s="7"/>
      <c r="K22" s="60">
        <f>'Copy of BCEU Calculations'!J22</f>
        <v>0</v>
      </c>
    </row>
    <row r="23" spans="7:11">
      <c r="I23" s="1" t="s">
        <v>446</v>
      </c>
      <c r="J23" s="7"/>
      <c r="K23" s="60">
        <f>'Copy of BCEU Calculations'!J23</f>
        <v>0</v>
      </c>
    </row>
    <row r="24" spans="7:11">
      <c r="I24" s="1" t="s">
        <v>447</v>
      </c>
      <c r="J24" s="7"/>
      <c r="K24" s="60">
        <f>'Copy of BCEU Calculations'!J24</f>
        <v>0</v>
      </c>
    </row>
    <row r="25" spans="7:11">
      <c r="I25" s="1" t="s">
        <v>448</v>
      </c>
      <c r="J25" s="7"/>
      <c r="K25" s="60">
        <f>'Copy of BCEU Calculations'!J25</f>
        <v>0</v>
      </c>
    </row>
    <row r="26" spans="7:11">
      <c r="I26" s="1" t="s">
        <v>449</v>
      </c>
      <c r="J26" s="7"/>
      <c r="K26" s="60">
        <f>'Copy of BCEU Calculations'!J26</f>
        <v>0</v>
      </c>
    </row>
    <row r="27" spans="7:11">
      <c r="K27" s="60">
        <f>'Copy of BCEU Calculations'!J27</f>
        <v>0</v>
      </c>
    </row>
    <row r="28" spans="7:11">
      <c r="H28" s="1" t="s">
        <v>586</v>
      </c>
      <c r="K28" s="60">
        <f>'Copy of BCEU Calculations'!J28</f>
        <v>0</v>
      </c>
    </row>
    <row r="29" spans="7:11">
      <c r="I29" s="1" t="s">
        <v>75</v>
      </c>
      <c r="J29" s="1"/>
      <c r="K29" s="60">
        <f>'Copy of BCEU Calculations'!J29</f>
        <v>2020</v>
      </c>
    </row>
    <row r="30" spans="7:11">
      <c r="H30" s="8" t="s">
        <v>243</v>
      </c>
      <c r="I30" s="1" t="s">
        <v>76</v>
      </c>
      <c r="J30" s="60"/>
      <c r="K30" s="60">
        <f>'Copy of BCEU Calculations'!J30</f>
        <v>161765342831700.75</v>
      </c>
    </row>
    <row r="31" spans="7:11">
      <c r="I31" s="1" t="s">
        <v>77</v>
      </c>
      <c r="J31" s="7"/>
      <c r="K31" s="60">
        <f>'Copy of BCEU Calculations'!J31</f>
        <v>0</v>
      </c>
    </row>
    <row r="32" spans="7:11">
      <c r="I32" s="1" t="s">
        <v>78</v>
      </c>
      <c r="J32" s="7"/>
      <c r="K32" s="60">
        <f>'Copy of BCEU Calculations'!J32</f>
        <v>0</v>
      </c>
    </row>
    <row r="33" spans="2:11">
      <c r="I33" s="1" t="s">
        <v>79</v>
      </c>
      <c r="J33" s="7"/>
      <c r="K33" s="60">
        <f>'Copy of BCEU Calculations'!J33</f>
        <v>0</v>
      </c>
    </row>
    <row r="34" spans="2:11">
      <c r="I34" s="1" t="s">
        <v>81</v>
      </c>
      <c r="J34" s="7"/>
      <c r="K34" s="60">
        <f>'Copy of BCEU Calculations'!J34</f>
        <v>0</v>
      </c>
    </row>
    <row r="35" spans="2:11">
      <c r="I35" s="1" t="s">
        <v>162</v>
      </c>
      <c r="J35" s="7"/>
      <c r="K35" s="60">
        <f>'Copy of BCEU Calculations'!J35</f>
        <v>0</v>
      </c>
    </row>
    <row r="36" spans="2:11">
      <c r="I36" s="1" t="s">
        <v>446</v>
      </c>
      <c r="J36" s="7"/>
      <c r="K36" s="60">
        <f>'Copy of BCEU Calculations'!J36</f>
        <v>0</v>
      </c>
    </row>
    <row r="37" spans="2:11">
      <c r="I37" s="1" t="s">
        <v>447</v>
      </c>
      <c r="J37" s="7"/>
      <c r="K37" s="60">
        <f>'Copy of BCEU Calculations'!J37</f>
        <v>0</v>
      </c>
    </row>
    <row r="38" spans="2:11">
      <c r="I38" s="1" t="s">
        <v>448</v>
      </c>
      <c r="J38" s="7"/>
      <c r="K38" s="60">
        <f>'Copy of BCEU Calculations'!J38</f>
        <v>0</v>
      </c>
    </row>
    <row r="39" spans="2:11">
      <c r="I39" s="1" t="s">
        <v>449</v>
      </c>
      <c r="J39" s="7"/>
      <c r="K39" s="60">
        <f>'Copy of BCEU Calculations'!J39</f>
        <v>0</v>
      </c>
    </row>
    <row r="40" spans="2:11">
      <c r="K40" s="60">
        <f>'Copy of BCEU Calculations'!J40</f>
        <v>0</v>
      </c>
    </row>
    <row r="41" spans="2:11">
      <c r="H41" s="1" t="s">
        <v>587</v>
      </c>
      <c r="K41" s="60">
        <f>'Copy of BCEU Calculations'!J41</f>
        <v>0</v>
      </c>
    </row>
    <row r="42" spans="2:11">
      <c r="I42" s="1" t="s">
        <v>75</v>
      </c>
      <c r="J42" s="1"/>
      <c r="K42" s="60">
        <f>'Copy of BCEU Calculations'!J42</f>
        <v>2020</v>
      </c>
    </row>
    <row r="43" spans="2:11">
      <c r="B43" s="8" t="s">
        <v>248</v>
      </c>
      <c r="C43" s="8" t="s">
        <v>247</v>
      </c>
      <c r="D43" s="8" t="s">
        <v>246</v>
      </c>
      <c r="E43" s="8" t="s">
        <v>245</v>
      </c>
      <c r="F43" s="8" t="s">
        <v>244</v>
      </c>
      <c r="G43" s="8" t="s">
        <v>242</v>
      </c>
      <c r="H43" s="8" t="s">
        <v>241</v>
      </c>
      <c r="I43" s="1" t="s">
        <v>76</v>
      </c>
      <c r="J43" s="60"/>
      <c r="K43" s="60">
        <f>'Copy of BCEU Calculations'!J43</f>
        <v>1088009888559564.5</v>
      </c>
    </row>
    <row r="44" spans="2:11">
      <c r="I44" s="1" t="s">
        <v>77</v>
      </c>
      <c r="J44" s="7"/>
      <c r="K44" s="60">
        <f>'Copy of BCEU Calculations'!J44</f>
        <v>0</v>
      </c>
    </row>
    <row r="45" spans="2:11">
      <c r="F45" s="8" t="s">
        <v>233</v>
      </c>
      <c r="G45" s="8" t="s">
        <v>232</v>
      </c>
      <c r="H45" s="8" t="s">
        <v>231</v>
      </c>
      <c r="I45" s="1" t="s">
        <v>78</v>
      </c>
      <c r="J45" s="60"/>
      <c r="K45" s="60">
        <f>'Copy of BCEU Calculations'!J45</f>
        <v>873328070821432</v>
      </c>
    </row>
    <row r="46" spans="2:11">
      <c r="H46" s="8" t="s">
        <v>227</v>
      </c>
      <c r="I46" s="1" t="s">
        <v>79</v>
      </c>
      <c r="J46" s="60"/>
      <c r="K46" s="60">
        <f>'Copy of BCEU Calculations'!J46</f>
        <v>33250749638607.25</v>
      </c>
    </row>
    <row r="47" spans="2:11">
      <c r="I47" s="1" t="s">
        <v>81</v>
      </c>
      <c r="J47" s="7"/>
      <c r="K47" s="60">
        <f>'Copy of BCEU Calculations'!J47</f>
        <v>0</v>
      </c>
    </row>
    <row r="48" spans="2:11">
      <c r="I48" s="1" t="s">
        <v>162</v>
      </c>
      <c r="J48" s="7"/>
      <c r="K48" s="60">
        <f>'Copy of BCEU Calculations'!J48</f>
        <v>0</v>
      </c>
    </row>
    <row r="49" spans="6:11">
      <c r="I49" s="1" t="s">
        <v>446</v>
      </c>
      <c r="J49" s="7"/>
      <c r="K49" s="60">
        <f>'Copy of BCEU Calculations'!J49</f>
        <v>0</v>
      </c>
    </row>
    <row r="50" spans="6:11">
      <c r="I50" s="1" t="s">
        <v>447</v>
      </c>
      <c r="J50" s="7"/>
      <c r="K50" s="60">
        <f>'Copy of BCEU Calculations'!J50</f>
        <v>0</v>
      </c>
    </row>
    <row r="51" spans="6:11">
      <c r="G51" s="8" t="s">
        <v>223</v>
      </c>
      <c r="H51" s="8" t="s">
        <v>222</v>
      </c>
      <c r="I51" s="1" t="s">
        <v>448</v>
      </c>
      <c r="J51" s="60"/>
      <c r="K51" s="60">
        <f>'Copy of BCEU Calculations'!J51</f>
        <v>60553883035931.25</v>
      </c>
    </row>
    <row r="52" spans="6:11">
      <c r="I52" s="1" t="s">
        <v>449</v>
      </c>
      <c r="J52" s="7"/>
      <c r="K52" s="60">
        <f>'Copy of BCEU Calculations'!J52</f>
        <v>0</v>
      </c>
    </row>
    <row r="53" spans="6:11">
      <c r="K53" s="60">
        <f>'Copy of BCEU Calculations'!J53</f>
        <v>0</v>
      </c>
    </row>
    <row r="54" spans="6:11">
      <c r="H54" s="1" t="s">
        <v>588</v>
      </c>
      <c r="K54" s="60">
        <f>'Copy of BCEU Calculations'!J54</f>
        <v>0</v>
      </c>
    </row>
    <row r="55" spans="6:11">
      <c r="I55" s="1" t="s">
        <v>75</v>
      </c>
      <c r="J55" s="1"/>
      <c r="K55" s="60">
        <f>'Copy of BCEU Calculations'!J55</f>
        <v>2020</v>
      </c>
    </row>
    <row r="56" spans="6:11">
      <c r="F56" s="8" t="s">
        <v>237</v>
      </c>
      <c r="G56" s="8" t="s">
        <v>240</v>
      </c>
      <c r="H56" s="8" t="s">
        <v>239</v>
      </c>
      <c r="I56" s="1" t="s">
        <v>76</v>
      </c>
      <c r="J56" s="60"/>
      <c r="K56" s="60">
        <f>'Copy of BCEU Calculations'!J56</f>
        <v>1616476395554568</v>
      </c>
    </row>
    <row r="57" spans="6:11">
      <c r="I57" s="1" t="s">
        <v>77</v>
      </c>
      <c r="J57" s="7"/>
      <c r="K57" s="60">
        <f>'Copy of BCEU Calculations'!J57</f>
        <v>0</v>
      </c>
    </row>
    <row r="58" spans="6:11">
      <c r="H58" s="8" t="s">
        <v>230</v>
      </c>
      <c r="I58" s="1" t="s">
        <v>78</v>
      </c>
      <c r="J58" s="60"/>
      <c r="K58" s="60">
        <f>'Copy of BCEU Calculations'!J58</f>
        <v>182368294665263.5</v>
      </c>
    </row>
    <row r="59" spans="6:11">
      <c r="H59" s="8" t="s">
        <v>226</v>
      </c>
      <c r="I59" s="1" t="s">
        <v>79</v>
      </c>
      <c r="J59" s="60"/>
      <c r="K59" s="60">
        <f>'Copy of BCEU Calculations'!J59</f>
        <v>6005461206647.3145</v>
      </c>
    </row>
    <row r="60" spans="6:11">
      <c r="I60" s="1" t="s">
        <v>81</v>
      </c>
      <c r="J60" s="7"/>
      <c r="K60" s="60">
        <f>'Copy of BCEU Calculations'!J60</f>
        <v>0</v>
      </c>
    </row>
    <row r="61" spans="6:11">
      <c r="I61" s="1" t="s">
        <v>162</v>
      </c>
      <c r="J61" s="7"/>
      <c r="K61" s="60">
        <f>'Copy of BCEU Calculations'!J61</f>
        <v>0</v>
      </c>
    </row>
    <row r="62" spans="6:11">
      <c r="I62" s="1" t="s">
        <v>446</v>
      </c>
      <c r="J62" s="7"/>
      <c r="K62" s="60">
        <f>'Copy of BCEU Calculations'!J62</f>
        <v>0</v>
      </c>
    </row>
    <row r="63" spans="6:11">
      <c r="I63" s="1" t="s">
        <v>447</v>
      </c>
      <c r="J63" s="7"/>
      <c r="K63" s="60">
        <f>'Copy of BCEU Calculations'!J63</f>
        <v>0</v>
      </c>
    </row>
    <row r="64" spans="6:11">
      <c r="H64" s="8" t="s">
        <v>221</v>
      </c>
      <c r="I64" s="1" t="s">
        <v>448</v>
      </c>
      <c r="J64" s="60"/>
      <c r="K64" s="60">
        <f>'Copy of BCEU Calculations'!J64</f>
        <v>53509496825525</v>
      </c>
    </row>
    <row r="65" spans="8:11">
      <c r="I65" s="1" t="s">
        <v>449</v>
      </c>
      <c r="J65" s="7"/>
      <c r="K65" s="60">
        <f>'Copy of BCEU Calculations'!J65</f>
        <v>0</v>
      </c>
    </row>
    <row r="66" spans="8:11">
      <c r="K66" s="60">
        <f>'Copy of BCEU Calculations'!J66</f>
        <v>0</v>
      </c>
    </row>
    <row r="67" spans="8:11">
      <c r="H67" s="1" t="s">
        <v>589</v>
      </c>
      <c r="K67" s="60">
        <f>'Copy of BCEU Calculations'!J67</f>
        <v>0</v>
      </c>
    </row>
    <row r="68" spans="8:11">
      <c r="I68" s="1" t="s">
        <v>75</v>
      </c>
      <c r="J68" s="1"/>
      <c r="K68" s="60">
        <f>'Copy of BCEU Calculations'!J68</f>
        <v>2020</v>
      </c>
    </row>
    <row r="69" spans="8:11">
      <c r="H69" s="8" t="s">
        <v>250</v>
      </c>
      <c r="I69" s="1" t="s">
        <v>76</v>
      </c>
      <c r="J69" s="60"/>
      <c r="K69" s="60">
        <f>'Copy of BCEU Calculations'!J69</f>
        <v>126765055062776.5</v>
      </c>
    </row>
    <row r="70" spans="8:11">
      <c r="I70" s="1" t="s">
        <v>77</v>
      </c>
      <c r="J70" s="7"/>
      <c r="K70" s="60">
        <f>'Copy of BCEU Calculations'!J70</f>
        <v>0</v>
      </c>
    </row>
    <row r="71" spans="8:11">
      <c r="H71" s="8" t="s">
        <v>235</v>
      </c>
      <c r="I71" s="1" t="s">
        <v>78</v>
      </c>
      <c r="J71" s="60"/>
      <c r="K71" s="60">
        <f>'Copy of BCEU Calculations'!J71</f>
        <v>671970589411479</v>
      </c>
    </row>
    <row r="72" spans="8:11">
      <c r="H72" s="8" t="s">
        <v>228</v>
      </c>
      <c r="I72" s="1" t="s">
        <v>79</v>
      </c>
      <c r="J72" s="60"/>
      <c r="K72" s="60">
        <f>'Copy of BCEU Calculations'!J72</f>
        <v>65824617709983.75</v>
      </c>
    </row>
    <row r="73" spans="8:11">
      <c r="I73" s="1" t="s">
        <v>81</v>
      </c>
      <c r="J73" s="7"/>
      <c r="K73" s="60">
        <f>'Copy of BCEU Calculations'!J73</f>
        <v>0</v>
      </c>
    </row>
    <row r="74" spans="8:11">
      <c r="H74" s="8" t="s">
        <v>219</v>
      </c>
      <c r="I74" s="1" t="s">
        <v>162</v>
      </c>
      <c r="J74" s="60"/>
      <c r="K74" s="60">
        <f>'Copy of BCEU Calculations'!J74</f>
        <v>102657935458130</v>
      </c>
    </row>
    <row r="75" spans="8:11">
      <c r="I75" s="1" t="s">
        <v>446</v>
      </c>
      <c r="J75" s="7"/>
      <c r="K75" s="60">
        <f>'Copy of BCEU Calculations'!J75</f>
        <v>0</v>
      </c>
    </row>
    <row r="76" spans="8:11">
      <c r="I76" s="1" t="s">
        <v>447</v>
      </c>
      <c r="J76" s="7"/>
      <c r="K76" s="60">
        <f>'Copy of BCEU Calculations'!J76</f>
        <v>0</v>
      </c>
    </row>
    <row r="77" spans="8:11">
      <c r="H77" s="8" t="s">
        <v>224</v>
      </c>
      <c r="I77" s="1" t="s">
        <v>448</v>
      </c>
      <c r="J77" s="60"/>
      <c r="K77" s="60">
        <f>'Copy of BCEU Calculations'!J77</f>
        <v>57621972491741</v>
      </c>
    </row>
    <row r="78" spans="8:11">
      <c r="I78" s="1" t="s">
        <v>449</v>
      </c>
      <c r="J78" s="7"/>
      <c r="K78" s="60">
        <f>'Copy of BCEU Calculations'!J78</f>
        <v>0</v>
      </c>
    </row>
    <row r="79" spans="8:11">
      <c r="K79" s="60">
        <f>'Copy of BCEU Calculations'!J79</f>
        <v>0</v>
      </c>
    </row>
    <row r="80" spans="8:11">
      <c r="H80" s="1" t="s">
        <v>590</v>
      </c>
      <c r="K80" s="60">
        <f>'Copy of BCEU Calculations'!J80</f>
        <v>0</v>
      </c>
    </row>
    <row r="81" spans="7:11">
      <c r="I81" s="1" t="s">
        <v>75</v>
      </c>
      <c r="J81" s="1"/>
      <c r="K81" s="60">
        <f>'Copy of BCEU Calculations'!J81</f>
        <v>2020</v>
      </c>
    </row>
    <row r="82" spans="7:11">
      <c r="G82" s="8" t="s">
        <v>238</v>
      </c>
      <c r="H82" s="8" t="s">
        <v>249</v>
      </c>
      <c r="I82" s="1" t="s">
        <v>76</v>
      </c>
      <c r="J82" s="60"/>
      <c r="K82" s="60">
        <f>'Copy of BCEU Calculations'!J82</f>
        <v>167346945253322</v>
      </c>
    </row>
    <row r="83" spans="7:11">
      <c r="I83" s="1" t="s">
        <v>77</v>
      </c>
      <c r="J83" s="7"/>
      <c r="K83" s="60">
        <f>'Copy of BCEU Calculations'!J83</f>
        <v>0</v>
      </c>
    </row>
    <row r="84" spans="7:11">
      <c r="H84" s="8" t="s">
        <v>234</v>
      </c>
      <c r="I84" s="1" t="s">
        <v>78</v>
      </c>
      <c r="J84" s="60"/>
      <c r="K84" s="60">
        <f>'Copy of BCEU Calculations'!J84</f>
        <v>11164069695813.242</v>
      </c>
    </row>
    <row r="85" spans="7:11">
      <c r="I85" s="1" t="s">
        <v>79</v>
      </c>
      <c r="J85" s="7"/>
      <c r="K85" s="60">
        <f>'Copy of BCEU Calculations'!J85</f>
        <v>0</v>
      </c>
    </row>
    <row r="86" spans="7:11">
      <c r="I86" s="1" t="s">
        <v>81</v>
      </c>
      <c r="J86" s="7"/>
      <c r="K86" s="60">
        <f>'Copy of BCEU Calculations'!J86</f>
        <v>0</v>
      </c>
    </row>
    <row r="87" spans="7:11">
      <c r="I87" s="1" t="s">
        <v>162</v>
      </c>
      <c r="J87" s="7"/>
      <c r="K87" s="60">
        <f>'Copy of BCEU Calculations'!J87</f>
        <v>0</v>
      </c>
    </row>
    <row r="88" spans="7:11">
      <c r="I88" s="1" t="s">
        <v>446</v>
      </c>
      <c r="J88" s="7"/>
      <c r="K88" s="60">
        <f>'Copy of BCEU Calculations'!J88</f>
        <v>0</v>
      </c>
    </row>
    <row r="89" spans="7:11">
      <c r="I89" s="1" t="s">
        <v>447</v>
      </c>
      <c r="J89" s="7"/>
      <c r="K89" s="60">
        <f>'Copy of BCEU Calculations'!J89</f>
        <v>0</v>
      </c>
    </row>
    <row r="90" spans="7:11">
      <c r="I90" s="1" t="s">
        <v>448</v>
      </c>
      <c r="J90" s="7"/>
      <c r="K90" s="60">
        <f>'Copy of BCEU Calculations'!J90</f>
        <v>0</v>
      </c>
    </row>
    <row r="91" spans="7:11">
      <c r="I91" s="1" t="s">
        <v>449</v>
      </c>
      <c r="J91" s="7"/>
      <c r="K91" s="60">
        <f>'Copy of BCEU Calculations'!J91</f>
        <v>0</v>
      </c>
    </row>
    <row r="92" spans="7:11">
      <c r="K92" s="60">
        <f>'Copy of BCEU Calculations'!J92</f>
        <v>0</v>
      </c>
    </row>
    <row r="93" spans="7:11">
      <c r="H93" s="1" t="s">
        <v>591</v>
      </c>
      <c r="K93" s="60">
        <f>'Copy of BCEU Calculations'!J93</f>
        <v>0</v>
      </c>
    </row>
    <row r="94" spans="7:11">
      <c r="I94" s="1" t="s">
        <v>75</v>
      </c>
      <c r="J94" s="1"/>
      <c r="K94" s="60">
        <f>'Copy of BCEU Calculations'!J94</f>
        <v>2020</v>
      </c>
    </row>
    <row r="95" spans="7:11">
      <c r="H95" s="8" t="s">
        <v>243</v>
      </c>
      <c r="I95" s="1" t="s">
        <v>76</v>
      </c>
      <c r="J95" s="60"/>
      <c r="K95" s="60">
        <f>'Copy of BCEU Calculations'!J95</f>
        <v>37187990501632.5</v>
      </c>
    </row>
    <row r="96" spans="7:11">
      <c r="I96" s="1" t="s">
        <v>77</v>
      </c>
      <c r="J96" s="7"/>
      <c r="K96" s="60">
        <f>'Copy of BCEU Calculations'!J96</f>
        <v>0</v>
      </c>
    </row>
    <row r="97" spans="2:11">
      <c r="I97" s="1" t="s">
        <v>78</v>
      </c>
      <c r="J97" s="7"/>
      <c r="K97" s="60">
        <f>'Copy of BCEU Calculations'!J97</f>
        <v>0</v>
      </c>
    </row>
    <row r="98" spans="2:11">
      <c r="I98" s="1" t="s">
        <v>79</v>
      </c>
      <c r="J98" s="7"/>
      <c r="K98" s="60">
        <f>'Copy of BCEU Calculations'!J98</f>
        <v>0</v>
      </c>
    </row>
    <row r="99" spans="2:11">
      <c r="I99" s="1" t="s">
        <v>81</v>
      </c>
      <c r="J99" s="7"/>
      <c r="K99" s="60">
        <f>'Copy of BCEU Calculations'!J99</f>
        <v>0</v>
      </c>
    </row>
    <row r="100" spans="2:11">
      <c r="I100" s="1" t="s">
        <v>162</v>
      </c>
      <c r="J100" s="7"/>
      <c r="K100" s="60">
        <f>'Copy of BCEU Calculations'!J100</f>
        <v>0</v>
      </c>
    </row>
    <row r="101" spans="2:11">
      <c r="I101" s="1" t="s">
        <v>446</v>
      </c>
      <c r="J101" s="7"/>
      <c r="K101" s="60">
        <f>'Copy of BCEU Calculations'!J101</f>
        <v>0</v>
      </c>
    </row>
    <row r="102" spans="2:11">
      <c r="I102" s="1" t="s">
        <v>447</v>
      </c>
      <c r="J102" s="7"/>
      <c r="K102" s="60">
        <f>'Copy of BCEU Calculations'!J102</f>
        <v>0</v>
      </c>
    </row>
    <row r="103" spans="2:11">
      <c r="I103" s="1" t="s">
        <v>448</v>
      </c>
      <c r="J103" s="7"/>
      <c r="K103" s="60">
        <f>'Copy of BCEU Calculations'!J103</f>
        <v>0</v>
      </c>
    </row>
    <row r="104" spans="2:11">
      <c r="I104" s="1" t="s">
        <v>449</v>
      </c>
      <c r="J104" s="7"/>
      <c r="K104" s="60">
        <f>'Copy of BCEU Calculations'!J104</f>
        <v>0</v>
      </c>
    </row>
    <row r="105" spans="2:11">
      <c r="K105" s="60">
        <f>'Copy of BCEU Calculations'!J105</f>
        <v>0</v>
      </c>
    </row>
    <row r="106" spans="2:11">
      <c r="H106" s="1" t="s">
        <v>592</v>
      </c>
      <c r="K106" s="60">
        <f>'Copy of BCEU Calculations'!J106</f>
        <v>0</v>
      </c>
    </row>
    <row r="107" spans="2:11">
      <c r="I107" s="1" t="s">
        <v>75</v>
      </c>
      <c r="J107" s="1"/>
      <c r="K107" s="60">
        <f>'Copy of BCEU Calculations'!J107</f>
        <v>2020</v>
      </c>
    </row>
    <row r="108" spans="2:11">
      <c r="B108" s="8" t="s">
        <v>248</v>
      </c>
      <c r="C108" s="8" t="s">
        <v>247</v>
      </c>
      <c r="D108" s="8" t="s">
        <v>246</v>
      </c>
      <c r="E108" s="8" t="s">
        <v>245</v>
      </c>
      <c r="F108" s="8" t="s">
        <v>244</v>
      </c>
      <c r="G108" s="8" t="s">
        <v>242</v>
      </c>
      <c r="H108" s="8" t="s">
        <v>241</v>
      </c>
      <c r="I108" s="1" t="s">
        <v>76</v>
      </c>
      <c r="J108" s="60"/>
      <c r="K108" s="60">
        <f>'Copy of BCEU Calculations'!J108</f>
        <v>250120951083635.38</v>
      </c>
    </row>
    <row r="109" spans="2:11">
      <c r="I109" s="1" t="s">
        <v>77</v>
      </c>
      <c r="J109" s="7"/>
      <c r="K109" s="60">
        <f>'Copy of BCEU Calculations'!J109</f>
        <v>0</v>
      </c>
    </row>
    <row r="110" spans="2:11">
      <c r="F110" s="8" t="s">
        <v>233</v>
      </c>
      <c r="G110" s="8" t="s">
        <v>232</v>
      </c>
      <c r="H110" s="8" t="s">
        <v>231</v>
      </c>
      <c r="I110" s="1" t="s">
        <v>78</v>
      </c>
      <c r="J110" s="60"/>
      <c r="K110" s="60">
        <f>'Copy of BCEU Calculations'!J110</f>
        <v>200768072035711</v>
      </c>
    </row>
    <row r="111" spans="2:11">
      <c r="H111" s="8" t="s">
        <v>227</v>
      </c>
      <c r="I111" s="1" t="s">
        <v>79</v>
      </c>
      <c r="J111" s="60"/>
      <c r="K111" s="60">
        <f>'Copy of BCEU Calculations'!J111</f>
        <v>7643964647107.1563</v>
      </c>
    </row>
    <row r="112" spans="2:11">
      <c r="I112" s="1" t="s">
        <v>81</v>
      </c>
      <c r="J112" s="7"/>
      <c r="K112" s="60">
        <f>'Copy of BCEU Calculations'!J112</f>
        <v>0</v>
      </c>
    </row>
    <row r="113" spans="6:11">
      <c r="I113" s="1" t="s">
        <v>162</v>
      </c>
      <c r="J113" s="7"/>
      <c r="K113" s="60">
        <f>'Copy of BCEU Calculations'!J113</f>
        <v>0</v>
      </c>
    </row>
    <row r="114" spans="6:11">
      <c r="I114" s="1" t="s">
        <v>446</v>
      </c>
      <c r="J114" s="7"/>
      <c r="K114" s="60">
        <f>'Copy of BCEU Calculations'!J114</f>
        <v>0</v>
      </c>
    </row>
    <row r="115" spans="6:11">
      <c r="I115" s="1" t="s">
        <v>447</v>
      </c>
      <c r="J115" s="7"/>
      <c r="K115" s="60">
        <f>'Copy of BCEU Calculations'!J115</f>
        <v>0</v>
      </c>
    </row>
    <row r="116" spans="6:11">
      <c r="G116" s="8" t="s">
        <v>223</v>
      </c>
      <c r="H116" s="8" t="s">
        <v>222</v>
      </c>
      <c r="I116" s="1" t="s">
        <v>448</v>
      </c>
      <c r="J116" s="60"/>
      <c r="K116" s="60">
        <f>'Copy of BCEU Calculations'!J116</f>
        <v>13920640773592.688</v>
      </c>
    </row>
    <row r="117" spans="6:11">
      <c r="I117" s="1" t="s">
        <v>449</v>
      </c>
      <c r="J117" s="7"/>
      <c r="K117" s="60">
        <f>'Copy of BCEU Calculations'!J117</f>
        <v>0</v>
      </c>
    </row>
    <row r="118" spans="6:11">
      <c r="K118" s="60">
        <f>'Copy of BCEU Calculations'!J118</f>
        <v>0</v>
      </c>
    </row>
    <row r="119" spans="6:11">
      <c r="H119" s="1" t="s">
        <v>593</v>
      </c>
      <c r="K119" s="60">
        <f>'Copy of BCEU Calculations'!J119</f>
        <v>0</v>
      </c>
    </row>
    <row r="120" spans="6:11">
      <c r="I120" s="1" t="s">
        <v>75</v>
      </c>
      <c r="J120" s="1"/>
      <c r="K120" s="60">
        <f>'Copy of BCEU Calculations'!J120</f>
        <v>2020</v>
      </c>
    </row>
    <row r="121" spans="6:11">
      <c r="F121" s="8" t="s">
        <v>237</v>
      </c>
      <c r="G121" s="8" t="s">
        <v>240</v>
      </c>
      <c r="H121" s="8" t="s">
        <v>239</v>
      </c>
      <c r="I121" s="1" t="s">
        <v>76</v>
      </c>
      <c r="J121" s="60"/>
      <c r="K121" s="60">
        <f>'Copy of BCEU Calculations'!J121</f>
        <v>371609318731136</v>
      </c>
    </row>
    <row r="122" spans="6:11">
      <c r="I122" s="1" t="s">
        <v>77</v>
      </c>
      <c r="J122" s="7"/>
      <c r="K122" s="60">
        <f>'Copy of BCEU Calculations'!J122</f>
        <v>0</v>
      </c>
    </row>
    <row r="123" spans="6:11">
      <c r="H123" s="8" t="s">
        <v>230</v>
      </c>
      <c r="I123" s="1" t="s">
        <v>78</v>
      </c>
      <c r="J123" s="60"/>
      <c r="K123" s="60">
        <f>'Copy of BCEU Calculations'!J123</f>
        <v>41924372001403.188</v>
      </c>
    </row>
    <row r="124" spans="6:11">
      <c r="H124" s="8" t="s">
        <v>226</v>
      </c>
      <c r="I124" s="1" t="s">
        <v>79</v>
      </c>
      <c r="J124" s="60"/>
      <c r="K124" s="60">
        <f>'Copy of BCEU Calculations'!J124</f>
        <v>1380586412400.3037</v>
      </c>
    </row>
    <row r="125" spans="6:11">
      <c r="I125" s="1" t="s">
        <v>81</v>
      </c>
      <c r="J125" s="7"/>
      <c r="K125" s="60">
        <f>'Copy of BCEU Calculations'!J125</f>
        <v>0</v>
      </c>
    </row>
    <row r="126" spans="6:11">
      <c r="I126" s="1" t="s">
        <v>162</v>
      </c>
      <c r="J126" s="7"/>
      <c r="K126" s="60">
        <f>'Copy of BCEU Calculations'!J126</f>
        <v>0</v>
      </c>
    </row>
    <row r="127" spans="6:11">
      <c r="I127" s="1" t="s">
        <v>446</v>
      </c>
      <c r="J127" s="7"/>
      <c r="K127" s="60">
        <f>'Copy of BCEU Calculations'!J127</f>
        <v>0</v>
      </c>
    </row>
    <row r="128" spans="6:11">
      <c r="I128" s="1" t="s">
        <v>447</v>
      </c>
      <c r="J128" s="7"/>
      <c r="K128" s="60">
        <f>'Copy of BCEU Calculations'!J128</f>
        <v>0</v>
      </c>
    </row>
    <row r="129" spans="1:11">
      <c r="H129" s="8" t="s">
        <v>221</v>
      </c>
      <c r="I129" s="1" t="s">
        <v>448</v>
      </c>
      <c r="J129" s="60"/>
      <c r="K129" s="60">
        <f>'Copy of BCEU Calculations'!J129</f>
        <v>12301217460189</v>
      </c>
    </row>
    <row r="130" spans="1:11">
      <c r="I130" s="1" t="s">
        <v>449</v>
      </c>
      <c r="J130" s="7"/>
      <c r="K130" s="60">
        <f>'Copy of BCEU Calculations'!J130</f>
        <v>0</v>
      </c>
    </row>
    <row r="131" spans="1:11" s="62" customFormat="1" ht="18.75">
      <c r="A131" s="61" t="s">
        <v>74</v>
      </c>
      <c r="B131" s="61"/>
      <c r="C131" s="61"/>
      <c r="D131" s="61"/>
      <c r="E131" s="61"/>
      <c r="F131" s="61" t="s">
        <v>74</v>
      </c>
      <c r="G131" s="61"/>
      <c r="K131" s="60">
        <f>'Copy of BCEU Calculations'!J131</f>
        <v>0</v>
      </c>
    </row>
    <row r="132" spans="1:11">
      <c r="H132" s="1" t="s">
        <v>594</v>
      </c>
      <c r="K132" s="60">
        <f>'Copy of BCEU Calculations'!J132</f>
        <v>0</v>
      </c>
    </row>
    <row r="133" spans="1:11">
      <c r="I133" s="1" t="s">
        <v>75</v>
      </c>
      <c r="J133" s="1"/>
      <c r="K133" s="60">
        <f>'Copy of BCEU Calculations'!J133</f>
        <v>2020</v>
      </c>
    </row>
    <row r="134" spans="1:11">
      <c r="H134" s="8" t="s">
        <v>333</v>
      </c>
      <c r="I134" s="1" t="s">
        <v>76</v>
      </c>
      <c r="J134" s="60"/>
      <c r="K134" s="60">
        <f>'Copy of BCEU Calculations'!J134</f>
        <v>113627523809523.75</v>
      </c>
    </row>
    <row r="135" spans="1:11">
      <c r="I135" s="1" t="s">
        <v>77</v>
      </c>
      <c r="J135" s="7"/>
      <c r="K135" s="60">
        <f>'Copy of BCEU Calculations'!J135</f>
        <v>0</v>
      </c>
    </row>
    <row r="136" spans="1:11">
      <c r="H136" s="8" t="s">
        <v>323</v>
      </c>
      <c r="I136" s="1" t="s">
        <v>78</v>
      </c>
      <c r="J136" s="60"/>
      <c r="K136" s="60">
        <f>'Copy of BCEU Calculations'!J136</f>
        <v>1789100000000000</v>
      </c>
    </row>
    <row r="137" spans="1:11">
      <c r="H137" s="8" t="s">
        <v>317</v>
      </c>
      <c r="I137" s="1" t="s">
        <v>79</v>
      </c>
      <c r="J137" s="60"/>
      <c r="K137" s="60">
        <f>'Copy of BCEU Calculations'!J137</f>
        <v>191903047619047.66</v>
      </c>
    </row>
    <row r="138" spans="1:11">
      <c r="I138" s="1" t="s">
        <v>81</v>
      </c>
      <c r="J138" s="63"/>
      <c r="K138" s="60">
        <f>'Copy of BCEU Calculations'!J138</f>
        <v>316453454465051.5</v>
      </c>
    </row>
    <row r="139" spans="1:11">
      <c r="I139" s="1" t="s">
        <v>162</v>
      </c>
      <c r="J139" s="7"/>
      <c r="K139" s="60">
        <f>'Copy of BCEU Calculations'!J139</f>
        <v>0</v>
      </c>
    </row>
    <row r="140" spans="1:11">
      <c r="I140" s="1" t="s">
        <v>446</v>
      </c>
      <c r="J140" s="7"/>
      <c r="K140" s="60">
        <f>'Copy of BCEU Calculations'!J140</f>
        <v>0</v>
      </c>
    </row>
    <row r="141" spans="1:11">
      <c r="I141" s="1" t="s">
        <v>447</v>
      </c>
      <c r="J141" s="7"/>
      <c r="K141" s="60">
        <f>'Copy of BCEU Calculations'!J141</f>
        <v>0</v>
      </c>
    </row>
    <row r="142" spans="1:11">
      <c r="F142" s="8" t="s">
        <v>314</v>
      </c>
      <c r="G142" s="8" t="s">
        <v>317</v>
      </c>
      <c r="H142" s="8" t="s">
        <v>312</v>
      </c>
      <c r="I142" s="1" t="s">
        <v>448</v>
      </c>
      <c r="J142" s="60"/>
      <c r="K142" s="60">
        <f>'Copy of BCEU Calculations'!J142</f>
        <v>397070444908951.94</v>
      </c>
    </row>
    <row r="143" spans="1:11">
      <c r="I143" s="1" t="s">
        <v>449</v>
      </c>
      <c r="J143" s="7"/>
      <c r="K143" s="60">
        <f>'Copy of BCEU Calculations'!J143</f>
        <v>0</v>
      </c>
    </row>
    <row r="144" spans="1:11">
      <c r="K144" s="60">
        <f>'Copy of BCEU Calculations'!J144</f>
        <v>0</v>
      </c>
    </row>
    <row r="145" spans="7:11">
      <c r="H145" s="1" t="s">
        <v>595</v>
      </c>
      <c r="K145" s="60">
        <f>'Copy of BCEU Calculations'!J145</f>
        <v>0</v>
      </c>
    </row>
    <row r="146" spans="7:11">
      <c r="I146" s="1" t="s">
        <v>75</v>
      </c>
      <c r="J146" s="1"/>
      <c r="K146" s="60">
        <f>'Copy of BCEU Calculations'!J146</f>
        <v>2020</v>
      </c>
    </row>
    <row r="147" spans="7:11">
      <c r="G147" s="8" t="s">
        <v>330</v>
      </c>
      <c r="H147" s="8" t="s">
        <v>332</v>
      </c>
      <c r="I147" s="1" t="s">
        <v>76</v>
      </c>
      <c r="J147" s="60"/>
      <c r="K147" s="60">
        <f>'Copy of BCEU Calculations'!J147</f>
        <v>955882666666666.5</v>
      </c>
    </row>
    <row r="148" spans="7:11">
      <c r="I148" s="1" t="s">
        <v>77</v>
      </c>
      <c r="J148" s="7"/>
      <c r="K148" s="60">
        <f>'Copy of BCEU Calculations'!J148</f>
        <v>0</v>
      </c>
    </row>
    <row r="149" spans="7:11">
      <c r="H149" s="8" t="s">
        <v>322</v>
      </c>
      <c r="I149" s="1" t="s">
        <v>78</v>
      </c>
      <c r="J149" s="60"/>
      <c r="K149" s="60">
        <f>'Copy of BCEU Calculations'!J149</f>
        <v>25744571428571.438</v>
      </c>
    </row>
    <row r="150" spans="7:11">
      <c r="I150" s="1" t="s">
        <v>79</v>
      </c>
      <c r="J150" s="7"/>
      <c r="K150" s="60">
        <f>'Copy of BCEU Calculations'!J150</f>
        <v>0</v>
      </c>
    </row>
    <row r="151" spans="7:11">
      <c r="I151" s="1" t="s">
        <v>81</v>
      </c>
      <c r="J151" s="7"/>
      <c r="K151" s="60">
        <f>'Copy of BCEU Calculations'!J151</f>
        <v>0</v>
      </c>
    </row>
    <row r="152" spans="7:11">
      <c r="I152" s="1" t="s">
        <v>162</v>
      </c>
      <c r="J152" s="7"/>
      <c r="K152" s="60">
        <f>'Copy of BCEU Calculations'!J152</f>
        <v>0</v>
      </c>
    </row>
    <row r="153" spans="7:11">
      <c r="I153" s="1" t="s">
        <v>446</v>
      </c>
      <c r="J153" s="7"/>
      <c r="K153" s="60">
        <f>'Copy of BCEU Calculations'!J153</f>
        <v>0</v>
      </c>
    </row>
    <row r="154" spans="7:11">
      <c r="I154" s="1" t="s">
        <v>447</v>
      </c>
      <c r="J154" s="7"/>
      <c r="K154" s="60">
        <f>'Copy of BCEU Calculations'!J154</f>
        <v>0</v>
      </c>
    </row>
    <row r="155" spans="7:11">
      <c r="I155" s="1" t="s">
        <v>448</v>
      </c>
      <c r="J155" s="7"/>
      <c r="K155" s="60">
        <f>'Copy of BCEU Calculations'!J155</f>
        <v>0</v>
      </c>
    </row>
    <row r="156" spans="7:11">
      <c r="I156" s="1" t="s">
        <v>449</v>
      </c>
      <c r="J156" s="7"/>
      <c r="K156" s="60">
        <f>'Copy of BCEU Calculations'!J156</f>
        <v>0</v>
      </c>
    </row>
    <row r="157" spans="7:11">
      <c r="K157" s="60">
        <f>'Copy of BCEU Calculations'!J157</f>
        <v>0</v>
      </c>
    </row>
    <row r="158" spans="7:11">
      <c r="H158" s="1" t="s">
        <v>596</v>
      </c>
      <c r="K158" s="60">
        <f>'Copy of BCEU Calculations'!J158</f>
        <v>0</v>
      </c>
    </row>
    <row r="159" spans="7:11">
      <c r="I159" s="1" t="s">
        <v>75</v>
      </c>
      <c r="J159" s="1"/>
      <c r="K159" s="60">
        <f>'Copy of BCEU Calculations'!J159</f>
        <v>2020</v>
      </c>
    </row>
    <row r="160" spans="7:11">
      <c r="H160" s="8" t="s">
        <v>328</v>
      </c>
      <c r="I160" s="1" t="s">
        <v>76</v>
      </c>
      <c r="J160" s="60"/>
      <c r="K160" s="60">
        <f>'Copy of BCEU Calculations'!J160</f>
        <v>483921238095238.25</v>
      </c>
    </row>
    <row r="161" spans="6:11">
      <c r="I161" s="1" t="s">
        <v>77</v>
      </c>
      <c r="J161" s="7"/>
      <c r="K161" s="60">
        <f>'Copy of BCEU Calculations'!J161</f>
        <v>0</v>
      </c>
    </row>
    <row r="162" spans="6:11">
      <c r="I162" s="1" t="s">
        <v>78</v>
      </c>
      <c r="J162" s="7"/>
      <c r="K162" s="60">
        <f>'Copy of BCEU Calculations'!J162</f>
        <v>0</v>
      </c>
    </row>
    <row r="163" spans="6:11">
      <c r="I163" s="1" t="s">
        <v>79</v>
      </c>
      <c r="J163" s="7"/>
      <c r="K163" s="60">
        <f>'Copy of BCEU Calculations'!J163</f>
        <v>0</v>
      </c>
    </row>
    <row r="164" spans="6:11">
      <c r="I164" s="1" t="s">
        <v>81</v>
      </c>
      <c r="J164" s="7"/>
      <c r="K164" s="60">
        <f>'Copy of BCEU Calculations'!J164</f>
        <v>0</v>
      </c>
    </row>
    <row r="165" spans="6:11">
      <c r="I165" s="1" t="s">
        <v>162</v>
      </c>
      <c r="J165" s="7"/>
      <c r="K165" s="60">
        <f>'Copy of BCEU Calculations'!J165</f>
        <v>0</v>
      </c>
    </row>
    <row r="166" spans="6:11">
      <c r="I166" s="1" t="s">
        <v>446</v>
      </c>
      <c r="J166" s="7"/>
      <c r="K166" s="60">
        <f>'Copy of BCEU Calculations'!J166</f>
        <v>0</v>
      </c>
    </row>
    <row r="167" spans="6:11">
      <c r="I167" s="1" t="s">
        <v>447</v>
      </c>
      <c r="J167" s="7"/>
      <c r="K167" s="60">
        <f>'Copy of BCEU Calculations'!J167</f>
        <v>0</v>
      </c>
    </row>
    <row r="168" spans="6:11">
      <c r="I168" s="1" t="s">
        <v>448</v>
      </c>
      <c r="J168" s="7"/>
      <c r="K168" s="60">
        <f>'Copy of BCEU Calculations'!J168</f>
        <v>0</v>
      </c>
    </row>
    <row r="169" spans="6:11">
      <c r="I169" s="1" t="s">
        <v>449</v>
      </c>
      <c r="J169" s="7"/>
      <c r="K169" s="60">
        <f>'Copy of BCEU Calculations'!J169</f>
        <v>0</v>
      </c>
    </row>
    <row r="170" spans="6:11">
      <c r="K170" s="60">
        <f>'Copy of BCEU Calculations'!J170</f>
        <v>0</v>
      </c>
    </row>
    <row r="171" spans="6:11">
      <c r="H171" s="1" t="s">
        <v>597</v>
      </c>
      <c r="K171" s="60">
        <f>'Copy of BCEU Calculations'!J171</f>
        <v>0</v>
      </c>
    </row>
    <row r="172" spans="6:11">
      <c r="I172" s="1" t="s">
        <v>75</v>
      </c>
      <c r="J172" s="1"/>
      <c r="K172" s="60">
        <f>'Copy of BCEU Calculations'!J172</f>
        <v>2020</v>
      </c>
    </row>
    <row r="173" spans="6:11">
      <c r="F173" s="8" t="s">
        <v>327</v>
      </c>
      <c r="G173" s="8" t="s">
        <v>329</v>
      </c>
      <c r="H173" s="8" t="s">
        <v>331</v>
      </c>
      <c r="I173" s="1" t="s">
        <v>76</v>
      </c>
      <c r="J173" s="60"/>
      <c r="K173" s="60">
        <f>'Copy of BCEU Calculations'!J173</f>
        <v>698045047619047</v>
      </c>
    </row>
    <row r="174" spans="6:11">
      <c r="I174" s="1" t="s">
        <v>77</v>
      </c>
      <c r="J174" s="7"/>
      <c r="K174" s="60">
        <f>'Copy of BCEU Calculations'!J174</f>
        <v>0</v>
      </c>
    </row>
    <row r="175" spans="6:11">
      <c r="G175" s="8" t="s">
        <v>321</v>
      </c>
      <c r="H175" s="8" t="s">
        <v>320</v>
      </c>
      <c r="I175" s="1" t="s">
        <v>78</v>
      </c>
      <c r="J175" s="60"/>
      <c r="K175" s="60">
        <f>'Copy of BCEU Calculations'!J175</f>
        <v>893298857142856</v>
      </c>
    </row>
    <row r="176" spans="6:11">
      <c r="H176" s="8" t="s">
        <v>316</v>
      </c>
      <c r="I176" s="1" t="s">
        <v>79</v>
      </c>
      <c r="J176" s="60"/>
      <c r="K176" s="60">
        <f>'Copy of BCEU Calculations'!J176</f>
        <v>5701285714285.7188</v>
      </c>
    </row>
    <row r="177" spans="6:11">
      <c r="I177" s="1" t="s">
        <v>81</v>
      </c>
      <c r="J177" s="7"/>
      <c r="K177" s="60">
        <f>'Copy of BCEU Calculations'!J177</f>
        <v>0</v>
      </c>
    </row>
    <row r="178" spans="6:11">
      <c r="I178" s="1" t="s">
        <v>162</v>
      </c>
      <c r="J178" s="7"/>
      <c r="K178" s="60">
        <f>'Copy of BCEU Calculations'!J178</f>
        <v>0</v>
      </c>
    </row>
    <row r="179" spans="6:11">
      <c r="I179" s="1" t="s">
        <v>446</v>
      </c>
      <c r="J179" s="7"/>
      <c r="K179" s="60">
        <f>'Copy of BCEU Calculations'!J179</f>
        <v>0</v>
      </c>
    </row>
    <row r="180" spans="6:11">
      <c r="I180" s="1" t="s">
        <v>447</v>
      </c>
      <c r="J180" s="7"/>
      <c r="K180" s="60">
        <f>'Copy of BCEU Calculations'!J180</f>
        <v>0</v>
      </c>
    </row>
    <row r="181" spans="6:11">
      <c r="F181" s="8" t="s">
        <v>314</v>
      </c>
      <c r="G181" s="8" t="s">
        <v>316</v>
      </c>
      <c r="H181" s="8" t="s">
        <v>312</v>
      </c>
      <c r="I181" s="1" t="s">
        <v>448</v>
      </c>
      <c r="J181" s="60"/>
      <c r="K181" s="60">
        <f>'Copy of BCEU Calculations'!J181</f>
        <v>11802478618779.156</v>
      </c>
    </row>
    <row r="182" spans="6:11">
      <c r="I182" s="1" t="s">
        <v>449</v>
      </c>
      <c r="J182" s="7"/>
      <c r="K182" s="60">
        <f>'Copy of BCEU Calculations'!J182</f>
        <v>0</v>
      </c>
    </row>
    <row r="183" spans="6:11">
      <c r="K183" s="60">
        <f>'Copy of BCEU Calculations'!J183</f>
        <v>0</v>
      </c>
    </row>
    <row r="184" spans="6:11">
      <c r="H184" s="1" t="s">
        <v>598</v>
      </c>
      <c r="K184" s="60">
        <f>'Copy of BCEU Calculations'!J184</f>
        <v>0</v>
      </c>
    </row>
    <row r="185" spans="6:11">
      <c r="I185" s="1" t="s">
        <v>75</v>
      </c>
      <c r="J185" s="1"/>
      <c r="K185" s="60">
        <f>'Copy of BCEU Calculations'!J185</f>
        <v>2020</v>
      </c>
    </row>
    <row r="186" spans="6:11">
      <c r="F186" s="8" t="s">
        <v>326</v>
      </c>
      <c r="G186" s="8" t="s">
        <v>325</v>
      </c>
      <c r="H186" s="8" t="s">
        <v>324</v>
      </c>
      <c r="I186" s="1" t="s">
        <v>76</v>
      </c>
      <c r="J186" s="60"/>
      <c r="K186" s="60">
        <f>'Copy of BCEU Calculations'!J186</f>
        <v>2417146142857144</v>
      </c>
    </row>
    <row r="187" spans="6:11">
      <c r="H187" s="8" t="s">
        <v>312</v>
      </c>
      <c r="I187" s="1" t="s">
        <v>77</v>
      </c>
      <c r="J187" s="60"/>
      <c r="K187" s="60">
        <f>'Copy of BCEU Calculations'!J187</f>
        <v>24252801904761.906</v>
      </c>
    </row>
    <row r="188" spans="6:11">
      <c r="H188" s="8" t="s">
        <v>319</v>
      </c>
      <c r="I188" s="1" t="s">
        <v>78</v>
      </c>
      <c r="J188" s="60"/>
      <c r="K188" s="60">
        <f>'Copy of BCEU Calculations'!J188</f>
        <v>880583587301588</v>
      </c>
    </row>
    <row r="189" spans="6:11">
      <c r="H189" s="8" t="s">
        <v>315</v>
      </c>
      <c r="I189" s="1" t="s">
        <v>79</v>
      </c>
      <c r="J189" s="60"/>
      <c r="K189" s="60">
        <f>'Copy of BCEU Calculations'!J189</f>
        <v>75589428571428.5</v>
      </c>
    </row>
    <row r="190" spans="6:11">
      <c r="I190" s="1" t="s">
        <v>81</v>
      </c>
      <c r="J190" s="7"/>
      <c r="K190" s="60">
        <f>'Copy of BCEU Calculations'!J190</f>
        <v>0</v>
      </c>
    </row>
    <row r="191" spans="6:11">
      <c r="I191" s="1" t="s">
        <v>162</v>
      </c>
      <c r="J191" s="7"/>
      <c r="K191" s="60">
        <f>'Copy of BCEU Calculations'!J191</f>
        <v>0</v>
      </c>
    </row>
    <row r="192" spans="6:11">
      <c r="I192" s="1" t="s">
        <v>446</v>
      </c>
      <c r="J192" s="7"/>
      <c r="K192" s="60">
        <f>'Copy of BCEU Calculations'!J192</f>
        <v>0</v>
      </c>
    </row>
    <row r="193" spans="8:11">
      <c r="I193" s="1" t="s">
        <v>447</v>
      </c>
      <c r="J193" s="7"/>
      <c r="K193" s="60">
        <f>'Copy of BCEU Calculations'!J193</f>
        <v>0</v>
      </c>
    </row>
    <row r="194" spans="8:11">
      <c r="H194" s="8" t="s">
        <v>312</v>
      </c>
      <c r="I194" s="1" t="s">
        <v>448</v>
      </c>
      <c r="J194" s="60"/>
      <c r="K194" s="60">
        <f>'Copy of BCEU Calculations'!J194</f>
        <v>166282859460271.5</v>
      </c>
    </row>
    <row r="195" spans="8:11">
      <c r="I195" s="1" t="s">
        <v>449</v>
      </c>
      <c r="J195" s="7"/>
      <c r="K195" s="60">
        <f>'Copy of BCEU Calculations'!J195</f>
        <v>0</v>
      </c>
    </row>
    <row r="197" spans="8:11" s="64" customFormat="1">
      <c r="H197" s="64" t="s">
        <v>599</v>
      </c>
      <c r="K197" s="64">
        <f t="shared" ref="K197" si="0">K185</f>
        <v>2020</v>
      </c>
    </row>
    <row r="198" spans="8:11">
      <c r="I198" s="1" t="s">
        <v>600</v>
      </c>
      <c r="J198" t="s">
        <v>601</v>
      </c>
      <c r="K198" s="7">
        <f>'[1]AEO22 Table 4'!C48*10^15</f>
        <v>5181982000000000</v>
      </c>
    </row>
    <row r="199" spans="8:11">
      <c r="I199" s="1" t="s">
        <v>602</v>
      </c>
      <c r="J199" t="s">
        <v>603</v>
      </c>
      <c r="K199" s="7">
        <f>SUM(K4,K17,K30,K43,K56,K69,K82,K95,K108,K121)</f>
        <v>5098649982500332</v>
      </c>
    </row>
    <row r="201" spans="8:11">
      <c r="I201" t="s">
        <v>604</v>
      </c>
      <c r="J201" t="s">
        <v>601</v>
      </c>
      <c r="K201" s="6">
        <f>'[1]AEO22 Table 5'!C39*10^15</f>
        <v>4595164000000000</v>
      </c>
    </row>
    <row r="202" spans="8:11">
      <c r="I202" t="s">
        <v>602</v>
      </c>
      <c r="J202" t="s">
        <v>603</v>
      </c>
      <c r="K202" s="7">
        <f>SUM(K134,K147,K160,K173,K186)</f>
        <v>4668622619047620</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E1" zoomScale="103" zoomScaleNormal="90" workbookViewId="0">
      <selection activeCell="J4" sqref="J4"/>
    </sheetView>
  </sheetViews>
  <sheetFormatPr defaultRowHeight="15"/>
  <cols>
    <col min="1" max="1" width="3.28515625" customWidth="1"/>
    <col min="2" max="2" width="20.85546875" customWidth="1"/>
    <col min="3" max="3" width="18.7109375" customWidth="1"/>
    <col min="4" max="4" width="17.140625" customWidth="1"/>
    <col min="5" max="5" width="25.7109375" customWidth="1"/>
    <col min="6" max="6" width="19" customWidth="1"/>
    <col min="7" max="7" width="18.85546875" customWidth="1"/>
    <col min="8" max="8" width="35" customWidth="1"/>
    <col min="9" max="9" width="20.5703125" customWidth="1"/>
    <col min="10" max="10" width="12" customWidth="1"/>
    <col min="11" max="41" width="11.28515625" customWidth="1"/>
  </cols>
  <sheetData>
    <row r="1" spans="1:40" ht="18.75">
      <c r="A1" s="59" t="s">
        <v>73</v>
      </c>
      <c r="B1" s="59"/>
      <c r="C1" s="59"/>
      <c r="D1" s="59"/>
      <c r="E1" s="59"/>
      <c r="F1" s="59"/>
      <c r="G1" s="59"/>
    </row>
    <row r="2" spans="1:40">
      <c r="H2" s="1" t="s">
        <v>584</v>
      </c>
    </row>
    <row r="3" spans="1:40">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c r="H4" s="8" t="s">
        <v>250</v>
      </c>
      <c r="I4" s="1" t="s">
        <v>76</v>
      </c>
      <c r="J4" s="60" cm="1">
        <f t="array" ref="J4">TREND($O4:$T4,$O$3:$T$3,J$3)</f>
        <v>551419754461033</v>
      </c>
      <c r="K4" s="60">
        <f>INDEX(Table4,MATCH($H4,Table4_A,0),MATCH(K$3,Table4_1,0))*Percent_urban*quadrillion</f>
        <v>572634027685582.5</v>
      </c>
      <c r="L4" s="60">
        <f t="shared" ref="L4:N4" si="0">INDEX(Table4_22,MATCH($H4,Table4_A_22,0),MATCH(L$3,Table4_1_22,0))*Percent_urban*quadrillion</f>
        <v>606250083380555.25</v>
      </c>
      <c r="M4" s="60">
        <f t="shared" si="0"/>
        <v>604953217841819.75</v>
      </c>
      <c r="N4" s="60">
        <f t="shared" si="0"/>
        <v>534659853314984.25</v>
      </c>
      <c r="O4" s="60">
        <f t="shared" ref="O4:AN4" si="1">INDEX(Table4_22,MATCH($H4,Table4_A_22,0),MATCH(O$3,Table4_1_22,0))*Percent_urban*quadrillion</f>
        <v>534153303327126.94</v>
      </c>
      <c r="P4" s="60">
        <f t="shared" si="1"/>
        <v>533163782724844.13</v>
      </c>
      <c r="Q4" s="60">
        <f t="shared" si="1"/>
        <v>531117255727353.69</v>
      </c>
      <c r="R4" s="60">
        <f t="shared" si="1"/>
        <v>528021853153080.13</v>
      </c>
      <c r="S4" s="60">
        <f t="shared" si="1"/>
        <v>523899528211770.31</v>
      </c>
      <c r="T4" s="60">
        <f t="shared" si="1"/>
        <v>518625066299684.19</v>
      </c>
      <c r="U4" s="60">
        <f t="shared" si="1"/>
        <v>512642410102809</v>
      </c>
      <c r="V4" s="60">
        <f t="shared" si="1"/>
        <v>506568688739577.38</v>
      </c>
      <c r="W4" s="60">
        <f t="shared" si="1"/>
        <v>500152659920667.06</v>
      </c>
      <c r="X4" s="60">
        <f t="shared" si="1"/>
        <v>493465874848215</v>
      </c>
      <c r="Y4" s="60">
        <f t="shared" si="1"/>
        <v>487717386221970.31</v>
      </c>
      <c r="Z4" s="60">
        <f t="shared" si="1"/>
        <v>482256728567959.19</v>
      </c>
      <c r="AA4" s="60">
        <f t="shared" si="1"/>
        <v>476910715453735.94</v>
      </c>
      <c r="AB4" s="60">
        <f t="shared" si="1"/>
        <v>471118320407998.06</v>
      </c>
      <c r="AC4" s="60">
        <f t="shared" si="1"/>
        <v>465306411398040.94</v>
      </c>
      <c r="AD4" s="60">
        <f t="shared" si="1"/>
        <v>459888033999838</v>
      </c>
      <c r="AE4" s="60">
        <f t="shared" si="1"/>
        <v>454777001538087.88</v>
      </c>
      <c r="AF4" s="60">
        <f t="shared" si="1"/>
        <v>449970874767262.94</v>
      </c>
      <c r="AG4" s="60">
        <f t="shared" si="1"/>
        <v>445430625758924.94</v>
      </c>
      <c r="AH4" s="60">
        <f t="shared" si="1"/>
        <v>440864358131627.88</v>
      </c>
      <c r="AI4" s="60">
        <f t="shared" si="1"/>
        <v>436361510888043.44</v>
      </c>
      <c r="AJ4" s="60">
        <f t="shared" si="1"/>
        <v>432056242532178.38</v>
      </c>
      <c r="AK4" s="60">
        <f t="shared" si="1"/>
        <v>428000590301950.94</v>
      </c>
      <c r="AL4" s="60">
        <f t="shared" si="1"/>
        <v>423966891281470.06</v>
      </c>
      <c r="AM4" s="60">
        <f t="shared" si="1"/>
        <v>420109631020804.69</v>
      </c>
      <c r="AN4" s="60">
        <f t="shared" si="1"/>
        <v>416610126770824.81</v>
      </c>
    </row>
    <row r="5" spans="1:40">
      <c r="I5" s="1" t="s">
        <v>77</v>
      </c>
      <c r="J5" s="7" cm="1">
        <f t="array" ref="J5">TREND($O5:$T5,$O$3:$T$3,J$3)</f>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c r="H6" s="8" t="s">
        <v>235</v>
      </c>
      <c r="I6" s="1" t="s">
        <v>78</v>
      </c>
      <c r="J6" s="60" cm="1">
        <f t="array" ref="J6">TREND($O6:$T6,$O$3:$T$3,J$3)</f>
        <v>2923028410588520</v>
      </c>
      <c r="K6" s="60">
        <f t="shared" ref="K6:K7" si="2">INDEX(Table4,MATCH($H6,Table4_A,0),MATCH(K$3,Table4_1,0))*Percent_urban*quadrillion</f>
        <v>2912954326560349.5</v>
      </c>
      <c r="L6" s="60">
        <f t="shared" ref="L6:N7" si="3">INDEX(Table4_22,MATCH($H6,Table4_A_22,0),MATCH(L$3,Table4_1_22,0))*Percent_urban*quadrillion</f>
        <v>3038429929571764</v>
      </c>
      <c r="M6" s="60">
        <f t="shared" si="3"/>
        <v>3078436808548530.5</v>
      </c>
      <c r="N6" s="60">
        <f t="shared" si="3"/>
        <v>2865467907714725</v>
      </c>
      <c r="O6" s="60">
        <f t="shared" ref="O6:T7" si="4">INDEX(Table4_22,MATCH($H6,Table4_A_22,0),MATCH(O$3,Table4_1_22,0))*Percent_urban*quadrillion</f>
        <v>2874058930462235.5</v>
      </c>
      <c r="P6" s="60">
        <f t="shared" si="4"/>
        <v>2878953683153889.5</v>
      </c>
      <c r="Q6" s="60">
        <f t="shared" si="4"/>
        <v>2876911221565611.5</v>
      </c>
      <c r="R6" s="60">
        <f t="shared" si="4"/>
        <v>2869612998947624</v>
      </c>
      <c r="S6" s="60">
        <f t="shared" si="4"/>
        <v>2854685629401764.5</v>
      </c>
      <c r="T6" s="60">
        <f t="shared" si="4"/>
        <v>2835945719096575.5</v>
      </c>
      <c r="U6" s="60">
        <f t="shared" ref="U6:AD7" si="5">INDEX(Table4_22,MATCH($H6,Table4_A_22,0),MATCH(U$3,Table4_1_22,0))*Percent_urban*quadrillion</f>
        <v>2815080412855176.5</v>
      </c>
      <c r="V6" s="60">
        <f t="shared" si="5"/>
        <v>2794185022585606.5</v>
      </c>
      <c r="W6" s="60">
        <f t="shared" si="5"/>
        <v>2780081304946166.5</v>
      </c>
      <c r="X6" s="60">
        <f t="shared" si="5"/>
        <v>2763627780781996</v>
      </c>
      <c r="Y6" s="60">
        <f t="shared" si="5"/>
        <v>2747739348498340</v>
      </c>
      <c r="Z6" s="60">
        <f t="shared" si="5"/>
        <v>2733624247713106</v>
      </c>
      <c r="AA6" s="60">
        <f t="shared" si="5"/>
        <v>2720662910062333</v>
      </c>
      <c r="AB6" s="60">
        <f t="shared" si="5"/>
        <v>2707105583421031.5</v>
      </c>
      <c r="AC6" s="60">
        <f t="shared" si="5"/>
        <v>2695202878329150.5</v>
      </c>
      <c r="AD6" s="60">
        <f t="shared" si="5"/>
        <v>2684397020642758.5</v>
      </c>
      <c r="AE6" s="60">
        <f t="shared" ref="AE6:AN7" si="6">INDEX(Table4_22,MATCH($H6,Table4_A_22,0),MATCH(AE$3,Table4_1_22,0))*Percent_urban*quadrillion</f>
        <v>2673967619849429.5</v>
      </c>
      <c r="AF6" s="60">
        <f t="shared" si="6"/>
        <v>2664161852829272</v>
      </c>
      <c r="AG6" s="60">
        <f t="shared" si="6"/>
        <v>2655823698534768.5</v>
      </c>
      <c r="AH6" s="60">
        <f t="shared" si="6"/>
        <v>2648734437950295.5</v>
      </c>
      <c r="AI6" s="60">
        <f t="shared" si="6"/>
        <v>2640740217275155.5</v>
      </c>
      <c r="AJ6" s="60">
        <f t="shared" si="6"/>
        <v>2630016480854853</v>
      </c>
      <c r="AK6" s="60">
        <f t="shared" si="6"/>
        <v>2620379834857929</v>
      </c>
      <c r="AL6" s="60">
        <f t="shared" si="6"/>
        <v>2612136811138994</v>
      </c>
      <c r="AM6" s="60">
        <f t="shared" si="6"/>
        <v>2603936067675868</v>
      </c>
      <c r="AN6" s="60">
        <f t="shared" si="6"/>
        <v>2594643355298308</v>
      </c>
    </row>
    <row r="7" spans="1:40">
      <c r="H7" s="8" t="s">
        <v>228</v>
      </c>
      <c r="I7" s="1" t="s">
        <v>79</v>
      </c>
      <c r="J7" s="60" cm="1">
        <f t="array" ref="J7">TREND($O7:$T7,$O$3:$T$3,J$3)</f>
        <v>286332810861446</v>
      </c>
      <c r="K7" s="60">
        <f t="shared" si="2"/>
        <v>296822031247470.25</v>
      </c>
      <c r="L7" s="60">
        <f t="shared" si="3"/>
        <v>310536282684368.19</v>
      </c>
      <c r="M7" s="60">
        <f t="shared" si="3"/>
        <v>311846157532583.19</v>
      </c>
      <c r="N7" s="60">
        <f t="shared" si="3"/>
        <v>266276172589654.31</v>
      </c>
      <c r="O7" s="60">
        <f t="shared" si="4"/>
        <v>262840088723387</v>
      </c>
      <c r="P7" s="60">
        <f t="shared" si="4"/>
        <v>258686053590221</v>
      </c>
      <c r="Q7" s="60">
        <f t="shared" si="4"/>
        <v>254211664211122.78</v>
      </c>
      <c r="R7" s="60">
        <f t="shared" si="4"/>
        <v>249517742734558.41</v>
      </c>
      <c r="S7" s="60">
        <f t="shared" si="4"/>
        <v>244629494697644.28</v>
      </c>
      <c r="T7" s="60">
        <f t="shared" si="4"/>
        <v>239810358617339.88</v>
      </c>
      <c r="U7" s="60">
        <f t="shared" si="5"/>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si="6"/>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c r="I8" s="1" t="s">
        <v>81</v>
      </c>
      <c r="J8" s="7" cm="1">
        <f t="array" ref="J8">TREND($O8:$T8,$O$3:$T$3,J$3)</f>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c r="H9" s="8" t="s">
        <v>219</v>
      </c>
      <c r="I9" s="1" t="s">
        <v>162</v>
      </c>
      <c r="J9" s="60" cm="1">
        <f t="array" ref="J9">TREND($O9:$T9,$O$3:$T$3,J$3)</f>
        <v>446555350256156</v>
      </c>
      <c r="K9" s="60">
        <f t="shared" ref="K9" si="7">INDEX(Table4,MATCH($H9,Table4_A,0),MATCH(K$3,Table4_1,0))*Percent_urban*quadrillion</f>
        <v>377071582935319.31</v>
      </c>
      <c r="L9" s="60">
        <f t="shared" ref="L9:N9" si="8">INDEX(Table4_22,MATCH($H9,Table4_A_22,0),MATCH(L$3,Table4_1_22,0))*Percent_urban*quadrillion</f>
        <v>438195823524649.81</v>
      </c>
      <c r="M9" s="60">
        <f t="shared" si="8"/>
        <v>467042341131708.81</v>
      </c>
      <c r="N9" s="60">
        <f t="shared" si="8"/>
        <v>417166274751072.56</v>
      </c>
      <c r="O9" s="60">
        <f t="shared" ref="O9:AN9" si="9">INDEX(Table4_22,MATCH($H9,Table4_A_22,0),MATCH(O$3,Table4_1_22,0))*Percent_urban*quadrillion</f>
        <v>398299523678458.69</v>
      </c>
      <c r="P9" s="60">
        <f t="shared" si="9"/>
        <v>383907975066785.38</v>
      </c>
      <c r="Q9" s="60">
        <f t="shared" si="9"/>
        <v>372098774386788.63</v>
      </c>
      <c r="R9" s="60">
        <f t="shared" si="9"/>
        <v>361984036266493.94</v>
      </c>
      <c r="S9" s="60">
        <f t="shared" si="9"/>
        <v>353801993685744.31</v>
      </c>
      <c r="T9" s="60">
        <f t="shared" si="9"/>
        <v>346386687282441.5</v>
      </c>
      <c r="U9" s="60">
        <f t="shared" si="9"/>
        <v>339794219703715.63</v>
      </c>
      <c r="V9" s="60">
        <f t="shared" si="9"/>
        <v>333204191370517.25</v>
      </c>
      <c r="W9" s="60">
        <f t="shared" si="9"/>
        <v>327371955314498.5</v>
      </c>
      <c r="X9" s="60">
        <f t="shared" si="9"/>
        <v>321199037966485.88</v>
      </c>
      <c r="Y9" s="60">
        <f t="shared" si="9"/>
        <v>315080597101918.56</v>
      </c>
      <c r="Z9" s="60">
        <f t="shared" si="9"/>
        <v>308918249817858</v>
      </c>
      <c r="AA9" s="60">
        <f t="shared" si="9"/>
        <v>303163256536873.56</v>
      </c>
      <c r="AB9" s="60">
        <f t="shared" si="9"/>
        <v>297655440135999.31</v>
      </c>
      <c r="AC9" s="60">
        <f t="shared" si="9"/>
        <v>292363903505221.38</v>
      </c>
      <c r="AD9" s="60">
        <f t="shared" si="9"/>
        <v>287213843115032.81</v>
      </c>
      <c r="AE9" s="60">
        <f t="shared" si="9"/>
        <v>282645136242208.31</v>
      </c>
      <c r="AF9" s="60">
        <f t="shared" si="9"/>
        <v>278131718934671.75</v>
      </c>
      <c r="AG9" s="60">
        <f t="shared" si="9"/>
        <v>274052487331012.72</v>
      </c>
      <c r="AH9" s="60">
        <f t="shared" si="9"/>
        <v>269952115599449.47</v>
      </c>
      <c r="AI9" s="60">
        <f t="shared" si="9"/>
        <v>266315200518092.75</v>
      </c>
      <c r="AJ9" s="60">
        <f t="shared" si="9"/>
        <v>263334442483607.22</v>
      </c>
      <c r="AK9" s="60">
        <f t="shared" si="9"/>
        <v>260253675382498.16</v>
      </c>
      <c r="AL9" s="60">
        <f t="shared" si="9"/>
        <v>257006226503683.31</v>
      </c>
      <c r="AM9" s="60">
        <f t="shared" si="9"/>
        <v>253771786934347.94</v>
      </c>
      <c r="AN9" s="60">
        <f t="shared" si="9"/>
        <v>250448721444183.63</v>
      </c>
    </row>
    <row r="10" spans="1:40">
      <c r="I10" s="1" t="s">
        <v>446</v>
      </c>
      <c r="J10" s="7" cm="1">
        <f t="array" ref="J10">TREND($O10:$T10,$O$3:$T$3,J$3)</f>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c r="I11" s="1" t="s">
        <v>447</v>
      </c>
      <c r="J11" s="7" cm="1">
        <f t="array" ref="J11">TREND($O11:$T11,$O$3:$T$3,J$3)</f>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c r="H12" s="8" t="s">
        <v>224</v>
      </c>
      <c r="I12" s="1" t="s">
        <v>448</v>
      </c>
      <c r="J12" s="60" cm="1">
        <f t="array" ref="J12">TREND($O12:$T12,$O$3:$T$3,J$3)</f>
        <v>250651837032068.5</v>
      </c>
      <c r="K12" s="60">
        <f t="shared" ref="K12" si="10">INDEX(Table4,MATCH($H12,Table4_A,0),MATCH(K$3,Table4_1,0))*Percent_urban*quadrillion</f>
        <v>264419093661458.72</v>
      </c>
      <c r="L12" s="60">
        <f t="shared" ref="L12:N12" si="11">INDEX(Table4_22,MATCH($H12,Table4_A_22,0),MATCH(L$3,Table4_1_22,0))*Percent_urban*quadrillion</f>
        <v>276767367603011.41</v>
      </c>
      <c r="M12" s="60">
        <f t="shared" si="11"/>
        <v>267181132680320.5</v>
      </c>
      <c r="N12" s="60">
        <f t="shared" si="11"/>
        <v>242581341536468.84</v>
      </c>
      <c r="O12" s="60">
        <f t="shared" ref="O12:AN12" si="12">INDEX(Table4_22,MATCH($H12,Table4_A_22,0),MATCH(O$3,Table4_1_22,0))*Percent_urban*quadrillion</f>
        <v>239459107261393.97</v>
      </c>
      <c r="P12" s="60">
        <f t="shared" si="12"/>
        <v>237193048166437.31</v>
      </c>
      <c r="Q12" s="60">
        <f t="shared" si="12"/>
        <v>235214820043714.06</v>
      </c>
      <c r="R12" s="60">
        <f t="shared" si="12"/>
        <v>233097554925928.91</v>
      </c>
      <c r="S12" s="60">
        <f t="shared" si="12"/>
        <v>230759131546992.63</v>
      </c>
      <c r="T12" s="60">
        <f t="shared" si="12"/>
        <v>228187353679268.16</v>
      </c>
      <c r="U12" s="60">
        <f t="shared" si="12"/>
        <v>225471660325427.03</v>
      </c>
      <c r="V12" s="60">
        <f t="shared" si="12"/>
        <v>222662462559702.06</v>
      </c>
      <c r="W12" s="60">
        <f t="shared" si="12"/>
        <v>220077675382498.19</v>
      </c>
      <c r="X12" s="60">
        <f t="shared" si="12"/>
        <v>217431093985266.72</v>
      </c>
      <c r="Y12" s="60">
        <f t="shared" si="12"/>
        <v>214942250465473.97</v>
      </c>
      <c r="Z12" s="60">
        <f t="shared" si="12"/>
        <v>212642855014976.13</v>
      </c>
      <c r="AA12" s="60">
        <f t="shared" si="12"/>
        <v>210519085242451.22</v>
      </c>
      <c r="AB12" s="60">
        <f t="shared" si="12"/>
        <v>208449791953371.63</v>
      </c>
      <c r="AC12" s="60">
        <f t="shared" si="12"/>
        <v>206496769367764.94</v>
      </c>
      <c r="AD12" s="60">
        <f t="shared" si="12"/>
        <v>204655138994576.22</v>
      </c>
      <c r="AE12" s="60">
        <f t="shared" si="12"/>
        <v>202901321460374</v>
      </c>
      <c r="AF12" s="60">
        <f t="shared" si="12"/>
        <v>201170270217760.84</v>
      </c>
      <c r="AG12" s="60">
        <f t="shared" si="12"/>
        <v>199518087913867.06</v>
      </c>
      <c r="AH12" s="60">
        <f t="shared" si="12"/>
        <v>197952092285274.81</v>
      </c>
      <c r="AI12" s="60">
        <f t="shared" si="12"/>
        <v>196435694649073.09</v>
      </c>
      <c r="AJ12" s="60">
        <f t="shared" si="12"/>
        <v>194901409212337.06</v>
      </c>
      <c r="AK12" s="60">
        <f t="shared" si="12"/>
        <v>193419161013518.97</v>
      </c>
      <c r="AL12" s="60">
        <f t="shared" si="12"/>
        <v>191953174451550.22</v>
      </c>
      <c r="AM12" s="60">
        <f t="shared" si="12"/>
        <v>190527841981704.84</v>
      </c>
      <c r="AN12" s="60">
        <f t="shared" si="12"/>
        <v>189150481340565.03</v>
      </c>
    </row>
    <row r="13" spans="1:40">
      <c r="I13" s="1" t="s">
        <v>449</v>
      </c>
      <c r="J13" s="7" cm="1">
        <f t="array" ref="J13">TREND($O13:$T13,$O$3:$T$3,J$3)</f>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c r="H15" s="1" t="s">
        <v>585</v>
      </c>
    </row>
    <row r="16" spans="1:40">
      <c r="I16" s="1" t="s">
        <v>75</v>
      </c>
      <c r="J16" s="1" cm="1">
        <f t="array" ref="J16">TREND($O16:$T16,$O$3:$T$3,J$3)</f>
        <v>2020</v>
      </c>
      <c r="K16" s="1">
        <v>2021</v>
      </c>
      <c r="L16" s="1">
        <v>2022</v>
      </c>
      <c r="M16" s="1">
        <v>2023</v>
      </c>
      <c r="N16" s="1">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c r="G17" s="8" t="s">
        <v>238</v>
      </c>
      <c r="H17" s="8" t="s">
        <v>249</v>
      </c>
      <c r="I17" s="1" t="s">
        <v>76</v>
      </c>
      <c r="J17" s="60" cm="1">
        <f t="array" ref="J17">TREND($O17:$T17,$O$3:$T$3,J$3)</f>
        <v>727948340460964</v>
      </c>
      <c r="K17" s="60">
        <f t="shared" ref="K17" si="13">SUM(INDEX(Table4,MATCH($G17,Table4_A,0),MATCH(K$16,Table4_1,0)),INDEX(Table4,MATCH($H17,Table4_A,0),MATCH(K$16,Table4_1,0)))*Percent_urban*quadrillion</f>
        <v>718494405569497.25</v>
      </c>
      <c r="L17" s="60">
        <f t="shared" ref="L17:N17" si="14">SUM(INDEX(Table4_22,MATCH($G17,Table4_A_22,0),MATCH(L$16,Table4_1_22,0)),INDEX(Table4_22,MATCH($H17,Table4_A_22,0),MATCH(L$16,Table4_1_22,0)))*Percent_urban*quadrillion</f>
        <v>766542663968266.75</v>
      </c>
      <c r="M17" s="60">
        <f t="shared" si="14"/>
        <v>669525738525054.63</v>
      </c>
      <c r="N17" s="60">
        <f t="shared" si="14"/>
        <v>788719471221565.5</v>
      </c>
      <c r="O17" s="60">
        <f t="shared" ref="O17:AN17" si="15">SUM(INDEX(Table4_22,MATCH($G17,Table4_A_22,0),MATCH(O$16,Table4_1_22,0)),INDEX(Table4_22,MATCH($H17,Table4_A_22,0),MATCH(O$16,Table4_1_22,0)))*Percent_urban*quadrillion</f>
        <v>805881189670525.38</v>
      </c>
      <c r="P17" s="60">
        <f t="shared" si="15"/>
        <v>822156648911195.5</v>
      </c>
      <c r="Q17" s="60">
        <f t="shared" si="15"/>
        <v>838996386950538.38</v>
      </c>
      <c r="R17" s="60">
        <f t="shared" si="15"/>
        <v>855353154375455.38</v>
      </c>
      <c r="S17" s="60">
        <f t="shared" si="15"/>
        <v>870618765967781.13</v>
      </c>
      <c r="T17" s="60">
        <f t="shared" si="15"/>
        <v>883846794462883.38</v>
      </c>
      <c r="U17" s="60">
        <f t="shared" si="15"/>
        <v>896111320974662</v>
      </c>
      <c r="V17" s="60">
        <f t="shared" si="15"/>
        <v>909127948190723</v>
      </c>
      <c r="W17" s="60">
        <f t="shared" si="15"/>
        <v>921946996519064.25</v>
      </c>
      <c r="X17" s="60">
        <f t="shared" si="15"/>
        <v>934818082085323.25</v>
      </c>
      <c r="Y17" s="60">
        <f t="shared" si="15"/>
        <v>949454368331579.38</v>
      </c>
      <c r="Z17" s="60">
        <f t="shared" si="15"/>
        <v>965433865781591.38</v>
      </c>
      <c r="AA17" s="60">
        <f t="shared" si="15"/>
        <v>982177660163523</v>
      </c>
      <c r="AB17" s="60">
        <f t="shared" si="15"/>
        <v>998634436655063.38</v>
      </c>
      <c r="AC17" s="60">
        <f t="shared" si="15"/>
        <v>1015456286893871.9</v>
      </c>
      <c r="AD17" s="60">
        <f t="shared" si="15"/>
        <v>1032579790496235.8</v>
      </c>
      <c r="AE17" s="60">
        <f t="shared" si="15"/>
        <v>1049878106694730</v>
      </c>
      <c r="AF17" s="60">
        <f t="shared" si="15"/>
        <v>1067737449364526.9</v>
      </c>
      <c r="AG17" s="60">
        <f t="shared" si="15"/>
        <v>1086239126689872.8</v>
      </c>
      <c r="AH17" s="60">
        <f t="shared" si="15"/>
        <v>1105614053914028.9</v>
      </c>
      <c r="AI17" s="60">
        <f t="shared" si="15"/>
        <v>1125811819962762</v>
      </c>
      <c r="AJ17" s="60">
        <f t="shared" si="15"/>
        <v>1147770721282279.5</v>
      </c>
      <c r="AK17" s="60">
        <f t="shared" si="15"/>
        <v>1170748414150408.8</v>
      </c>
      <c r="AL17" s="60">
        <f t="shared" si="15"/>
        <v>1194300955881162.3</v>
      </c>
      <c r="AM17" s="60">
        <f t="shared" si="15"/>
        <v>1217893338622197</v>
      </c>
      <c r="AN17" s="60">
        <f t="shared" si="15"/>
        <v>1242506952157370.5</v>
      </c>
    </row>
    <row r="18" spans="7:40">
      <c r="I18" s="1" t="s">
        <v>77</v>
      </c>
      <c r="J18" s="7" cm="1">
        <f t="array" ref="J18">TREND($O18:$T18,$O$3:$T$3,J$3)</f>
        <v>0</v>
      </c>
      <c r="K18" s="7">
        <v>0</v>
      </c>
      <c r="L18" s="7">
        <v>0</v>
      </c>
      <c r="M18" s="7">
        <v>0</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c r="H19" s="8" t="s">
        <v>234</v>
      </c>
      <c r="I19" s="1" t="s">
        <v>78</v>
      </c>
      <c r="J19" s="60" cm="1">
        <f t="array" ref="J19">TREND($O19:$T19,$O$3:$T$3,J$3)</f>
        <v>48562977923234.375</v>
      </c>
      <c r="K19" s="60">
        <f t="shared" ref="K19" si="16">INDEX(Table4,MATCH($H19,Table4_A,0),MATCH(K$16,Table4_1,0))*Percent_urban*quadrillion</f>
        <v>45572424188456.242</v>
      </c>
      <c r="L19" s="60">
        <f t="shared" ref="L19:N19" si="17">INDEX(Table4_22,MATCH($H19,Table4_A_22,0),MATCH(L$16,Table4_1_22,0))*Percent_urban*quadrillion</f>
        <v>47880763539221.242</v>
      </c>
      <c r="M19" s="60">
        <f t="shared" si="17"/>
        <v>41085025499878.563</v>
      </c>
      <c r="N19" s="60">
        <f t="shared" si="17"/>
        <v>48346659434955.063</v>
      </c>
      <c r="O19" s="60">
        <f t="shared" ref="O19:AN19" si="18">INDEX(Table4_22,MATCH($H19,Table4_A_22,0),MATCH(O$16,Table4_1_22,0))*Percent_urban*quadrillion</f>
        <v>48641808143770.742</v>
      </c>
      <c r="P19" s="60">
        <f t="shared" si="18"/>
        <v>48854835586497.203</v>
      </c>
      <c r="Q19" s="60">
        <f t="shared" si="18"/>
        <v>48977610944709.781</v>
      </c>
      <c r="R19" s="60">
        <f t="shared" si="18"/>
        <v>49015012709463.289</v>
      </c>
      <c r="S19" s="60">
        <f t="shared" si="18"/>
        <v>48975984781024.852</v>
      </c>
      <c r="T19" s="60">
        <f t="shared" si="18"/>
        <v>48865405650449.281</v>
      </c>
      <c r="U19" s="60">
        <f t="shared" si="18"/>
        <v>48695471545373.594</v>
      </c>
      <c r="V19" s="60">
        <f t="shared" si="18"/>
        <v>48513341212660.883</v>
      </c>
      <c r="W19" s="60">
        <f t="shared" si="18"/>
        <v>48313323079413.906</v>
      </c>
      <c r="X19" s="60">
        <f t="shared" si="18"/>
        <v>48146641301708.078</v>
      </c>
      <c r="Y19" s="60">
        <f t="shared" si="18"/>
        <v>48052323807981.859</v>
      </c>
      <c r="Z19" s="60">
        <f t="shared" si="18"/>
        <v>48066146199303.813</v>
      </c>
      <c r="AA19" s="60">
        <f t="shared" si="18"/>
        <v>48188108475673.922</v>
      </c>
      <c r="AB19" s="60">
        <f t="shared" si="18"/>
        <v>48322266979681.047</v>
      </c>
      <c r="AC19" s="60">
        <f t="shared" si="18"/>
        <v>48488948757386.867</v>
      </c>
      <c r="AD19" s="60">
        <f t="shared" si="18"/>
        <v>48655630535092.688</v>
      </c>
      <c r="AE19" s="60">
        <f t="shared" si="18"/>
        <v>48803611430421.758</v>
      </c>
      <c r="AF19" s="60">
        <f t="shared" si="18"/>
        <v>48972732453654.977</v>
      </c>
      <c r="AG19" s="60">
        <f t="shared" si="18"/>
        <v>49154049704525.211</v>
      </c>
      <c r="AH19" s="60">
        <f t="shared" si="18"/>
        <v>49358946328827.008</v>
      </c>
      <c r="AI19" s="60">
        <f t="shared" si="18"/>
        <v>49545955152594.508</v>
      </c>
      <c r="AJ19" s="60">
        <f t="shared" si="18"/>
        <v>49709384602930.461</v>
      </c>
      <c r="AK19" s="60">
        <f t="shared" si="18"/>
        <v>49874440216951.344</v>
      </c>
      <c r="AL19" s="60">
        <f t="shared" si="18"/>
        <v>50083402250465.469</v>
      </c>
      <c r="AM19" s="60">
        <f t="shared" si="18"/>
        <v>50305373593459.07</v>
      </c>
      <c r="AN19" s="60">
        <f t="shared" si="18"/>
        <v>50510270217760.859</v>
      </c>
    </row>
    <row r="20" spans="7:40">
      <c r="I20" s="1" t="s">
        <v>79</v>
      </c>
      <c r="J20" s="7" cm="1">
        <f t="array" ref="J20">TREND($O20:$T20,$O$3:$T$3,J$3)</f>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c r="I21" s="1" t="s">
        <v>81</v>
      </c>
      <c r="J21" s="7" cm="1">
        <f t="array" ref="J21">TREND($O21:$T21,$O$3:$T$3,J$3)</f>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c r="I22" s="1" t="s">
        <v>162</v>
      </c>
      <c r="J22" s="7" cm="1">
        <f t="array" ref="J22">TREND($O22:$T22,$O$3:$T$3,J$3)</f>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c r="I23" s="1" t="s">
        <v>446</v>
      </c>
      <c r="J23" s="7" cm="1">
        <f t="array" ref="J23">TREND($O23:$T23,$O$3:$T$3,J$3)</f>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c r="I24" s="1" t="s">
        <v>447</v>
      </c>
      <c r="J24" s="7" cm="1">
        <f t="array" ref="J24">TREND($O24:$T24,$O$3:$T$3,J$3)</f>
        <v>0</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c r="I25" s="1" t="s">
        <v>448</v>
      </c>
      <c r="J25" s="7" cm="1">
        <f t="array" ref="J25">TREND($O25:$T25,$O$3:$T$3,J$3)</f>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c r="I26" s="1" t="s">
        <v>449</v>
      </c>
      <c r="J26" s="7" cm="1">
        <f t="array" ref="J26">TREND($O26:$T26,$O$3:$T$3,J$3)</f>
        <v>0</v>
      </c>
      <c r="K26" s="7">
        <v>0</v>
      </c>
      <c r="L26" s="7">
        <v>0</v>
      </c>
      <c r="M26" s="7">
        <v>0</v>
      </c>
      <c r="N26" s="7">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c r="H28" s="1" t="s">
        <v>586</v>
      </c>
    </row>
    <row r="29" spans="7:40">
      <c r="I29" s="1" t="s">
        <v>75</v>
      </c>
      <c r="J29" s="1" cm="1">
        <f t="array" ref="J29">TREND($O29:$T29,$O$3:$T$3,J$3)</f>
        <v>2020</v>
      </c>
      <c r="K29" s="1">
        <v>2021</v>
      </c>
      <c r="L29" s="1">
        <v>2022</v>
      </c>
      <c r="M29" s="1">
        <v>2023</v>
      </c>
      <c r="N29" s="1">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c r="H30" s="8" t="s">
        <v>243</v>
      </c>
      <c r="I30" s="1" t="s">
        <v>76</v>
      </c>
      <c r="J30" s="60" cm="1">
        <f t="array" ref="J30">TREND($O30:$T30,$O$3:$T$3,J$3)</f>
        <v>161765342831700.75</v>
      </c>
      <c r="K30" s="60">
        <f t="shared" ref="K30" si="19">INDEX(Table4,MATCH($H30,Table4_A,0),MATCH(K$16,Table4_1,0))*Percent_urban*quadrillion</f>
        <v>164624680644377.88</v>
      </c>
      <c r="L30" s="60">
        <f t="shared" ref="L30:N30" si="20">INDEX(Table4_22,MATCH($H30,Table4_A_22,0),MATCH(L$16,Table4_1_22,0))*Percent_urban*quadrillion</f>
        <v>186415274022504.66</v>
      </c>
      <c r="M30" s="60">
        <f t="shared" si="20"/>
        <v>173316525540354.53</v>
      </c>
      <c r="N30" s="60">
        <f t="shared" si="20"/>
        <v>168140446531207</v>
      </c>
      <c r="O30" s="60">
        <f t="shared" ref="O30:AN30" si="21">INDEX(Table4_22,MATCH($H30,Table4_A_22,0),MATCH(O$16,Table4_1_22,0))*Percent_urban*quadrillion</f>
        <v>166786665263498.75</v>
      </c>
      <c r="P30" s="60">
        <f t="shared" si="21"/>
        <v>166844394074313.94</v>
      </c>
      <c r="Q30" s="60">
        <f t="shared" si="21"/>
        <v>167823344612644.69</v>
      </c>
      <c r="R30" s="60">
        <f t="shared" si="21"/>
        <v>169389340241236.91</v>
      </c>
      <c r="S30" s="60">
        <f t="shared" si="21"/>
        <v>170930943414555.16</v>
      </c>
      <c r="T30" s="60">
        <f t="shared" si="21"/>
        <v>170506514692787.16</v>
      </c>
      <c r="U30" s="60">
        <f t="shared" si="21"/>
        <v>170067450497854.75</v>
      </c>
      <c r="V30" s="60">
        <f t="shared" si="21"/>
        <v>169816208208532.31</v>
      </c>
      <c r="W30" s="60">
        <f t="shared" si="21"/>
        <v>169582853719744.19</v>
      </c>
      <c r="X30" s="60">
        <f t="shared" si="21"/>
        <v>169556835100785.22</v>
      </c>
      <c r="Y30" s="60">
        <f t="shared" si="21"/>
        <v>169947114385169.59</v>
      </c>
      <c r="Z30" s="60">
        <f t="shared" si="21"/>
        <v>170443907390917.19</v>
      </c>
      <c r="AA30" s="60">
        <f t="shared" si="21"/>
        <v>170891915486116.75</v>
      </c>
      <c r="AB30" s="60">
        <f t="shared" si="21"/>
        <v>171200886586254.34</v>
      </c>
      <c r="AC30" s="60">
        <f t="shared" si="21"/>
        <v>171522866995871.44</v>
      </c>
      <c r="AD30" s="60">
        <f t="shared" si="21"/>
        <v>168879537926009.88</v>
      </c>
      <c r="AE30" s="60">
        <f t="shared" si="21"/>
        <v>166691534687930.06</v>
      </c>
      <c r="AF30" s="60">
        <f t="shared" si="21"/>
        <v>164983249736906</v>
      </c>
      <c r="AG30" s="60">
        <f t="shared" si="21"/>
        <v>163809159556383.06</v>
      </c>
      <c r="AH30" s="60">
        <f t="shared" si="21"/>
        <v>163305861895895.72</v>
      </c>
      <c r="AI30" s="60">
        <f t="shared" si="21"/>
        <v>163136740872662.5</v>
      </c>
      <c r="AJ30" s="60">
        <f t="shared" si="21"/>
        <v>163097712944224.06</v>
      </c>
      <c r="AK30" s="60">
        <f t="shared" si="21"/>
        <v>163209918238484.56</v>
      </c>
      <c r="AL30" s="60">
        <f t="shared" si="21"/>
        <v>163422132599368.59</v>
      </c>
      <c r="AM30" s="60">
        <f t="shared" si="21"/>
        <v>163773383955314.5</v>
      </c>
      <c r="AN30" s="60">
        <f t="shared" si="21"/>
        <v>164288064761596.38</v>
      </c>
    </row>
    <row r="31" spans="7:40">
      <c r="I31" s="1" t="s">
        <v>77</v>
      </c>
      <c r="J31" s="7" cm="1">
        <f t="array" ref="J31">TREND($O31:$T31,$O$3:$T$3,J$3)</f>
        <v>0</v>
      </c>
      <c r="K31" s="7">
        <v>0</v>
      </c>
      <c r="L31" s="7">
        <v>0</v>
      </c>
      <c r="M31" s="7">
        <v>0</v>
      </c>
      <c r="N31" s="7">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c r="I32" s="1" t="s">
        <v>78</v>
      </c>
      <c r="J32" s="7" cm="1">
        <f t="array" ref="J32">TREND($O32:$T32,$O$3:$T$3,J$3)</f>
        <v>0</v>
      </c>
      <c r="K32" s="7">
        <v>0</v>
      </c>
      <c r="L32" s="7">
        <v>0</v>
      </c>
      <c r="M32" s="7">
        <v>0</v>
      </c>
      <c r="N32" s="7">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c r="I33" s="1" t="s">
        <v>79</v>
      </c>
      <c r="J33" s="7" cm="1">
        <f t="array" ref="J33">TREND($O33:$T33,$O$3:$T$3,J$3)</f>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c r="I34" s="1" t="s">
        <v>81</v>
      </c>
      <c r="J34" s="7" cm="1">
        <f t="array" ref="J34">TREND($O34:$T34,$O$3:$T$3,J$3)</f>
        <v>0</v>
      </c>
      <c r="K34" s="7">
        <v>0</v>
      </c>
      <c r="L34" s="7">
        <v>0</v>
      </c>
      <c r="M34" s="7">
        <v>0</v>
      </c>
      <c r="N34" s="7">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c r="I35" s="1" t="s">
        <v>162</v>
      </c>
      <c r="J35" s="7" cm="1">
        <f t="array" ref="J35">TREND($O35:$T35,$O$3:$T$3,J$3)</f>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c r="I36" s="1" t="s">
        <v>446</v>
      </c>
      <c r="J36" s="7" cm="1">
        <f t="array" ref="J36">TREND($O36:$T36,$O$3:$T$3,J$3)</f>
        <v>0</v>
      </c>
      <c r="K36" s="7">
        <v>0</v>
      </c>
      <c r="L36" s="7">
        <v>0</v>
      </c>
      <c r="M36" s="7">
        <v>0</v>
      </c>
      <c r="N36" s="7">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c r="I37" s="1" t="s">
        <v>447</v>
      </c>
      <c r="J37" s="7" cm="1">
        <f t="array" ref="J37">TREND($O37:$T37,$O$3:$T$3,J$3)</f>
        <v>0</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c r="I38" s="1" t="s">
        <v>448</v>
      </c>
      <c r="J38" s="7" cm="1">
        <f t="array" ref="J38">TREND($O38:$T38,$O$3:$T$3,J$3)</f>
        <v>0</v>
      </c>
      <c r="K38" s="7">
        <v>0</v>
      </c>
      <c r="L38" s="7">
        <v>0</v>
      </c>
      <c r="M38" s="7">
        <v>0</v>
      </c>
      <c r="N38" s="7">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c r="I39" s="1" t="s">
        <v>449</v>
      </c>
      <c r="J39" s="7" cm="1">
        <f t="array" ref="J39">TREND($O39:$T39,$O$3:$T$3,J$3)</f>
        <v>0</v>
      </c>
      <c r="K39" s="7">
        <v>0</v>
      </c>
      <c r="L39" s="7">
        <v>0</v>
      </c>
      <c r="M39" s="7">
        <v>0</v>
      </c>
      <c r="N39" s="7">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c r="H41" s="1" t="s">
        <v>587</v>
      </c>
    </row>
    <row r="42" spans="2:40">
      <c r="I42" s="1" t="s">
        <v>75</v>
      </c>
      <c r="J42" s="1" cm="1">
        <f t="array" ref="J42">TREND($O42:$T42,$O$3:$T$3,J$3)</f>
        <v>2020</v>
      </c>
      <c r="K42" s="1">
        <v>2021</v>
      </c>
      <c r="L42" s="1">
        <v>2022</v>
      </c>
      <c r="M42" s="1">
        <v>2023</v>
      </c>
      <c r="N42" s="1">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c r="B43" s="8" t="s">
        <v>248</v>
      </c>
      <c r="C43" s="8" t="s">
        <v>247</v>
      </c>
      <c r="D43" s="8" t="s">
        <v>246</v>
      </c>
      <c r="E43" s="8" t="s">
        <v>245</v>
      </c>
      <c r="F43" s="8" t="s">
        <v>244</v>
      </c>
      <c r="G43" s="8" t="s">
        <v>242</v>
      </c>
      <c r="H43" s="8" t="s">
        <v>241</v>
      </c>
      <c r="I43" s="1" t="s">
        <v>76</v>
      </c>
      <c r="J43" s="60" cm="1">
        <f t="array" ref="J43">TREND($O43:$T43,$O$3:$T$3,J$3)</f>
        <v>1088009888559564.5</v>
      </c>
      <c r="K43" s="60">
        <f t="shared" ref="K43" si="22">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1060329460697806.3</v>
      </c>
      <c r="L43" s="60">
        <f t="shared" ref="L43:N43" si="23">SUM(INDEX(Table4_22,MATCH($G43,Table4_A_22,0),MATCH(L$42,Table4_1_22,0)),INDEX(Table4_22,MATCH($F43,Table4_A_22,0),MATCH(L$42,Table4_1_22,0)),INDEX(Table4_22,MATCH($E43,Table4_A_22,0),MATCH(L$42,Table4_1_22,0)),INDEX(Table4_22,MATCH($D43,Table4_A_22,0),MATCH(L$42,Table4_1_22,0)),INDEX(Table4_22,MATCH($C43,Table4_A_22,0),MATCH(L$42,Table4_1_22,0)),INDEX(Table4_22,MATCH($B43,Table4_A_22,0),MATCH(L$42,Table4_1_22,0)),INDEX(Table4_22,MATCH($H43,Table4_A_22,0),MATCH(L$42,Table4_1_22,0)))
*Percent_urban*quadrillion</f>
        <v>1063347620497045.1</v>
      </c>
      <c r="M43" s="60">
        <f t="shared" si="23"/>
        <v>1065775482878653</v>
      </c>
      <c r="N43" s="60">
        <f t="shared" si="23"/>
        <v>1069379874686311</v>
      </c>
      <c r="O43" s="60">
        <f>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H43,Table4_A_22,0),MATCH(O$42,Table4_1_22,0)),INDEX('[4]Heat Pump DOE Rule Adjustment'!$B$34:$AD$34,MATCH(O42,'[4]Heat Pump DOE Rule Adjustment'!$B$18:$AD$18,0)))
*Percent_urban*quadrillion</f>
        <v>1074348617825629.4</v>
      </c>
      <c r="P43" s="60">
        <f>SUM(INDEX(Table4_22,MATCH($G43,Table4_A_22,0),MATCH(P$42,Table4_1_22,0)),INDEX(Table4_22,MATCH($F43,Table4_A_22,0),MATCH(P$42,Table4_1_22,0)),INDEX(Table4_22,MATCH($E43,Table4_A_22,0),MATCH(P$42,Table4_1_22,0)),INDEX(Table4_22,MATCH($D43,Table4_A_22,0),MATCH(P$42,Table4_1_22,0)),INDEX(Table4_22,MATCH($C43,Table4_A_22,0),MATCH(P$42,Table4_1_22,0)),INDEX(Table4_22,MATCH($H43,Table4_A_22,0),MATCH(P$42,Table4_1_22,0)),INDEX('[4]Heat Pump DOE Rule Adjustment'!$B$34:$AD$34,MATCH(P42,'[4]Heat Pump DOE Rule Adjustment'!$B$18:$AD$18,0)))
*Percent_urban*quadrillion</f>
        <v>1078542493969076.3</v>
      </c>
      <c r="Q43" s="60">
        <f>SUM(INDEX(Table4_22,MATCH($G43,Table4_A_22,0),MATCH(Q$42,Table4_1_22,0)),INDEX(Table4_22,MATCH($F43,Table4_A_22,0),MATCH(Q$42,Table4_1_22,0)),INDEX(Table4_22,MATCH($E43,Table4_A_22,0),MATCH(Q$42,Table4_1_22,0)),INDEX(Table4_22,MATCH($D43,Table4_A_22,0),MATCH(Q$42,Table4_1_22,0)),INDEX(Table4_22,MATCH($C43,Table4_A_22,0),MATCH(Q$42,Table4_1_22,0)),INDEX(Table4_22,MATCH($H43,Table4_A_22,0),MATCH(Q$42,Table4_1_22,0)),INDEX('[4]Heat Pump DOE Rule Adjustment'!$B$34:$AD$34,MATCH(Q42,'[4]Heat Pump DOE Rule Adjustment'!$B$18:$AD$18,0)))
*Percent_urban*quadrillion</f>
        <v>1082320885291022.5</v>
      </c>
      <c r="R43" s="60">
        <f>SUM(INDEX(Table4_22,MATCH($G43,Table4_A_22,0),MATCH(R$42,Table4_1_22,0)),INDEX(Table4_22,MATCH($F43,Table4_A_22,0),MATCH(R$42,Table4_1_22,0)),INDEX(Table4_22,MATCH($E43,Table4_A_22,0),MATCH(R$42,Table4_1_22,0)),INDEX(Table4_22,MATCH($D43,Table4_A_22,0),MATCH(R$42,Table4_1_22,0)),INDEX(Table4_22,MATCH($C43,Table4_A_22,0),MATCH(R$42,Table4_1_22,0)),INDEX(Table4_22,MATCH($H43,Table4_A_22,0),MATCH(R$42,Table4_1_22,0)),INDEX('[4]Heat Pump DOE Rule Adjustment'!$B$34:$AD$34,MATCH(R42,'[4]Heat Pump DOE Rule Adjustment'!$B$18:$AD$18,0)))
*Percent_urban*quadrillion</f>
        <v>1085556137942200.3</v>
      </c>
      <c r="S43" s="60">
        <f>SUM(INDEX(Table4_22,MATCH($G43,Table4_A_22,0),MATCH(S$42,Table4_1_22,0)),INDEX(Table4_22,MATCH($F43,Table4_A_22,0),MATCH(S$42,Table4_1_22,0)),INDEX(Table4_22,MATCH($E43,Table4_A_22,0),MATCH(S$42,Table4_1_22,0)),INDEX(Table4_22,MATCH($D43,Table4_A_22,0),MATCH(S$42,Table4_1_22,0)),INDEX(Table4_22,MATCH($C43,Table4_A_22,0),MATCH(S$42,Table4_1_22,0)),INDEX(Table4_22,MATCH($H43,Table4_A_22,0),MATCH(S$42,Table4_1_22,0)),INDEX('[4]Heat Pump DOE Rule Adjustment'!$B$34:$AD$34,MATCH(S42,'[4]Heat Pump DOE Rule Adjustment'!$B$18:$AD$18,0)))
*Percent_urban*quadrillion</f>
        <v>1074847331186583.6</v>
      </c>
      <c r="T43" s="60">
        <f>SUM(INDEX(Table4_22,MATCH($G43,Table4_A_22,0),MATCH(T$42,Table4_1_22,0)),INDEX(Table4_22,MATCH($F43,Table4_A_22,0),MATCH(T$42,Table4_1_22,0)),INDEX(Table4_22,MATCH($E43,Table4_A_22,0),MATCH(T$42,Table4_1_22,0)),INDEX(Table4_22,MATCH($D43,Table4_A_22,0),MATCH(T$42,Table4_1_22,0)),INDEX(Table4_22,MATCH($C43,Table4_A_22,0),MATCH(T$42,Table4_1_22,0)),INDEX(Table4_22,MATCH($H43,Table4_A_22,0),MATCH(T$42,Table4_1_22,0)),INDEX('[4]Heat Pump DOE Rule Adjustment'!$B$34:$AD$34,MATCH(T42,'[4]Heat Pump DOE Rule Adjustment'!$B$18:$AD$18,0)))
*Percent_urban*quadrillion</f>
        <v>1065506128089997.1</v>
      </c>
      <c r="U43" s="60">
        <f>SUM(INDEX(Table4_22,MATCH($G43,Table4_A_22,0),MATCH(U$42,Table4_1_22,0)),INDEX(Table4_22,MATCH($F43,Table4_A_22,0),MATCH(U$42,Table4_1_22,0)),INDEX(Table4_22,MATCH($E43,Table4_A_22,0),MATCH(U$42,Table4_1_22,0)),INDEX(Table4_22,MATCH($D43,Table4_A_22,0),MATCH(U$42,Table4_1_22,0)),INDEX(Table4_22,MATCH($C43,Table4_A_22,0),MATCH(U$42,Table4_1_22,0)),INDEX(Table4_22,MATCH($H43,Table4_A_22,0),MATCH(U$42,Table4_1_22,0)),INDEX('[4]Heat Pump DOE Rule Adjustment'!$B$34:$AD$34,MATCH(U42,'[4]Heat Pump DOE Rule Adjustment'!$B$18:$AD$18,0)))
*Percent_urban*quadrillion</f>
        <v>1056151915683931.1</v>
      </c>
      <c r="V43" s="60">
        <f>SUM(INDEX(Table4_22,MATCH($G43,Table4_A_22,0),MATCH(V$42,Table4_1_22,0)),INDEX(Table4_22,MATCH($F43,Table4_A_22,0),MATCH(V$42,Table4_1_22,0)),INDEX(Table4_22,MATCH($E43,Table4_A_22,0),MATCH(V$42,Table4_1_22,0)),INDEX(Table4_22,MATCH($D43,Table4_A_22,0),MATCH(V$42,Table4_1_22,0)),INDEX(Table4_22,MATCH($C43,Table4_A_22,0),MATCH(V$42,Table4_1_22,0)),INDEX(Table4_22,MATCH($H43,Table4_A_22,0),MATCH(V$42,Table4_1_22,0)),INDEX('[4]Heat Pump DOE Rule Adjustment'!$B$34:$AD$34,MATCH(V42,'[4]Heat Pump DOE Rule Adjustment'!$B$18:$AD$18,0)))
*Percent_urban*quadrillion</f>
        <v>1047049758649030.1</v>
      </c>
      <c r="W43" s="60">
        <f>SUM(INDEX(Table4_22,MATCH($G43,Table4_A_22,0),MATCH(W$42,Table4_1_22,0)),INDEX(Table4_22,MATCH($F43,Table4_A_22,0),MATCH(W$42,Table4_1_22,0)),INDEX(Table4_22,MATCH($E43,Table4_A_22,0),MATCH(W$42,Table4_1_22,0)),INDEX(Table4_22,MATCH($D43,Table4_A_22,0),MATCH(W$42,Table4_1_22,0)),INDEX(Table4_22,MATCH($C43,Table4_A_22,0),MATCH(W$42,Table4_1_22,0)),INDEX(Table4_22,MATCH($H43,Table4_A_22,0),MATCH(W$42,Table4_1_22,0)),INDEX('[4]Heat Pump DOE Rule Adjustment'!$B$34:$AD$34,MATCH(W42,'[4]Heat Pump DOE Rule Adjustment'!$B$18:$AD$18,0)))
*Percent_urban*quadrillion</f>
        <v>1037908573685690.5</v>
      </c>
      <c r="X43" s="60">
        <f>SUM(INDEX(Table4_22,MATCH($G43,Table4_A_22,0),MATCH(X$42,Table4_1_22,0)),INDEX(Table4_22,MATCH($F43,Table4_A_22,0),MATCH(X$42,Table4_1_22,0)),INDEX(Table4_22,MATCH($E43,Table4_A_22,0),MATCH(X$42,Table4_1_22,0)),INDEX(Table4_22,MATCH($D43,Table4_A_22,0),MATCH(X$42,Table4_1_22,0)),INDEX(Table4_22,MATCH($C43,Table4_A_22,0),MATCH(X$42,Table4_1_22,0)),INDEX(Table4_22,MATCH($H43,Table4_A_22,0),MATCH(X$42,Table4_1_22,0)),INDEX('[4]Heat Pump DOE Rule Adjustment'!$B$34:$AD$34,MATCH(X42,'[4]Heat Pump DOE Rule Adjustment'!$B$18:$AD$18,0)))
*Percent_urban*quadrillion</f>
        <v>1029057841941389.6</v>
      </c>
      <c r="Y43" s="60">
        <f>SUM(INDEX(Table4_22,MATCH($G43,Table4_A_22,0),MATCH(Y$42,Table4_1_22,0)),INDEX(Table4_22,MATCH($F43,Table4_A_22,0),MATCH(Y$42,Table4_1_22,0)),INDEX(Table4_22,MATCH($E43,Table4_A_22,0),MATCH(Y$42,Table4_1_22,0)),INDEX(Table4_22,MATCH($D43,Table4_A_22,0),MATCH(Y$42,Table4_1_22,0)),INDEX(Table4_22,MATCH($C43,Table4_A_22,0),MATCH(Y$42,Table4_1_22,0)),INDEX(Table4_22,MATCH($H43,Table4_A_22,0),MATCH(Y$42,Table4_1_22,0)),INDEX('[4]Heat Pump DOE Rule Adjustment'!$B$34:$AD$34,MATCH(Y42,'[4]Heat Pump DOE Rule Adjustment'!$B$18:$AD$18,0)))
*Percent_urban*quadrillion</f>
        <v>1021315326633723.4</v>
      </c>
      <c r="Z43" s="60">
        <f>SUM(INDEX(Table4_22,MATCH($G43,Table4_A_22,0),MATCH(Z$42,Table4_1_22,0)),INDEX(Table4_22,MATCH($F43,Table4_A_22,0),MATCH(Z$42,Table4_1_22,0)),INDEX(Table4_22,MATCH($E43,Table4_A_22,0),MATCH(Z$42,Table4_1_22,0)),INDEX(Table4_22,MATCH($D43,Table4_A_22,0),MATCH(Z$42,Table4_1_22,0)),INDEX(Table4_22,MATCH($C43,Table4_A_22,0),MATCH(Z$42,Table4_1_22,0)),INDEX(Table4_22,MATCH($H43,Table4_A_22,0),MATCH(Z$42,Table4_1_22,0)),INDEX('[4]Heat Pump DOE Rule Adjustment'!$B$34:$AD$34,MATCH(Z42,'[4]Heat Pump DOE Rule Adjustment'!$B$18:$AD$18,0)))
*Percent_urban*quadrillion</f>
        <v>1013752477146788.1</v>
      </c>
      <c r="AA43" s="60">
        <f>SUM(INDEX(Table4_22,MATCH($G43,Table4_A_22,0),MATCH(AA$42,Table4_1_22,0)),INDEX(Table4_22,MATCH($F43,Table4_A_22,0),MATCH(AA$42,Table4_1_22,0)),INDEX(Table4_22,MATCH($E43,Table4_A_22,0),MATCH(AA$42,Table4_1_22,0)),INDEX(Table4_22,MATCH($D43,Table4_A_22,0),MATCH(AA$42,Table4_1_22,0)),INDEX(Table4_22,MATCH($C43,Table4_A_22,0),MATCH(AA$42,Table4_1_22,0)),INDEX(Table4_22,MATCH($H43,Table4_A_22,0),MATCH(AA$42,Table4_1_22,0)),INDEX('[4]Heat Pump DOE Rule Adjustment'!$B$34:$AD$34,MATCH(AA42,'[4]Heat Pump DOE Rule Adjustment'!$B$18:$AD$18,0)))
*Percent_urban*quadrillion</f>
        <v>1006258097954727.5</v>
      </c>
      <c r="AB43" s="60">
        <f>SUM(INDEX(Table4_22,MATCH($G43,Table4_A_22,0),MATCH(AB$42,Table4_1_22,0)),INDEX(Table4_22,MATCH($F43,Table4_A_22,0),MATCH(AB$42,Table4_1_22,0)),INDEX(Table4_22,MATCH($E43,Table4_A_22,0),MATCH(AB$42,Table4_1_22,0)),INDEX(Table4_22,MATCH($D43,Table4_A_22,0),MATCH(AB$42,Table4_1_22,0)),INDEX(Table4_22,MATCH($C43,Table4_A_22,0),MATCH(AB$42,Table4_1_22,0)),INDEX(Table4_22,MATCH($H43,Table4_A_22,0),MATCH(AB$42,Table4_1_22,0)),INDEX('[4]Heat Pump DOE Rule Adjustment'!$B$34:$AD$34,MATCH(AB42,'[4]Heat Pump DOE Rule Adjustment'!$B$18:$AD$18,0)))
*Percent_urban*quadrillion</f>
        <v>998727982963524.38</v>
      </c>
      <c r="AC43" s="60">
        <f>SUM(INDEX(Table4_22,MATCH($G43,Table4_A_22,0),MATCH(AC$42,Table4_1_22,0)),INDEX(Table4_22,MATCH($F43,Table4_A_22,0),MATCH(AC$42,Table4_1_22,0)),INDEX(Table4_22,MATCH($E43,Table4_A_22,0),MATCH(AC$42,Table4_1_22,0)),INDEX(Table4_22,MATCH($D43,Table4_A_22,0),MATCH(AC$42,Table4_1_22,0)),INDEX(Table4_22,MATCH($C43,Table4_A_22,0),MATCH(AC$42,Table4_1_22,0)),INDEX(Table4_22,MATCH($H43,Table4_A_22,0),MATCH(AC$42,Table4_1_22,0)),INDEX('[4]Heat Pump DOE Rule Adjustment'!$B$34:$AD$34,MATCH(AC42,'[4]Heat Pump DOE Rule Adjustment'!$B$18:$AD$18,0)))
*Percent_urban*quadrillion</f>
        <v>991417207381042.13</v>
      </c>
      <c r="AD43" s="60">
        <f>SUM(INDEX(Table4_22,MATCH($G43,Table4_A_22,0),MATCH(AD$42,Table4_1_22,0)),INDEX(Table4_22,MATCH($F43,Table4_A_22,0),MATCH(AD$42,Table4_1_22,0)),INDEX(Table4_22,MATCH($E43,Table4_A_22,0),MATCH(AD$42,Table4_1_22,0)),INDEX(Table4_22,MATCH($D43,Table4_A_22,0),MATCH(AD$42,Table4_1_22,0)),INDEX(Table4_22,MATCH($C43,Table4_A_22,0),MATCH(AD$42,Table4_1_22,0)),INDEX(Table4_22,MATCH($H43,Table4_A_22,0),MATCH(AD$42,Table4_1_22,0)),INDEX('[4]Heat Pump DOE Rule Adjustment'!$B$34:$AD$34,MATCH(AD42,'[4]Heat Pump DOE Rule Adjustment'!$B$18:$AD$18,0)))
*Percent_urban*quadrillion</f>
        <v>984460732895252.63</v>
      </c>
      <c r="AE43" s="60">
        <f>SUM(INDEX(Table4_22,MATCH($G43,Table4_A_22,0),MATCH(AE$42,Table4_1_22,0)),INDEX(Table4_22,MATCH($F43,Table4_A_22,0),MATCH(AE$42,Table4_1_22,0)),INDEX(Table4_22,MATCH($E43,Table4_A_22,0),MATCH(AE$42,Table4_1_22,0)),INDEX(Table4_22,MATCH($D43,Table4_A_22,0),MATCH(AE$42,Table4_1_22,0)),INDEX(Table4_22,MATCH($C43,Table4_A_22,0),MATCH(AE$42,Table4_1_22,0)),INDEX(Table4_22,MATCH($H43,Table4_A_22,0),MATCH(AE$42,Table4_1_22,0)),INDEX('[4]Heat Pump DOE Rule Adjustment'!$B$34:$AD$34,MATCH(AE42,'[4]Heat Pump DOE Rule Adjustment'!$B$18:$AD$18,0)))
*Percent_urban*quadrillion</f>
        <v>977856617881365</v>
      </c>
      <c r="AF43" s="60">
        <f>SUM(INDEX(Table4_22,MATCH($G43,Table4_A_22,0),MATCH(AF$42,Table4_1_22,0)),INDEX(Table4_22,MATCH($F43,Table4_A_22,0),MATCH(AF$42,Table4_1_22,0)),INDEX(Table4_22,MATCH($E43,Table4_A_22,0),MATCH(AF$42,Table4_1_22,0)),INDEX(Table4_22,MATCH($D43,Table4_A_22,0),MATCH(AF$42,Table4_1_22,0)),INDEX(Table4_22,MATCH($C43,Table4_A_22,0),MATCH(AF$42,Table4_1_22,0)),INDEX(Table4_22,MATCH($H43,Table4_A_22,0),MATCH(AF$42,Table4_1_22,0)),INDEX('[4]Heat Pump DOE Rule Adjustment'!$B$34:$AD$34,MATCH(AF42,'[4]Heat Pump DOE Rule Adjustment'!$B$18:$AD$18,0)))
*Percent_urban*quadrillion</f>
        <v>984758352015165.25</v>
      </c>
      <c r="AG43" s="60">
        <f>SUM(INDEX(Table4_22,MATCH($G43,Table4_A_22,0),MATCH(AG$42,Table4_1_22,0)),INDEX(Table4_22,MATCH($F43,Table4_A_22,0),MATCH(AG$42,Table4_1_22,0)),INDEX(Table4_22,MATCH($E43,Table4_A_22,0),MATCH(AG$42,Table4_1_22,0)),INDEX(Table4_22,MATCH($D43,Table4_A_22,0),MATCH(AG$42,Table4_1_22,0)),INDEX(Table4_22,MATCH($C43,Table4_A_22,0),MATCH(AG$42,Table4_1_22,0)),INDEX(Table4_22,MATCH($H43,Table4_A_22,0),MATCH(AG$42,Table4_1_22,0)),INDEX('[4]Heat Pump DOE Rule Adjustment'!$B$34:$AD$34,MATCH(AG42,'[4]Heat Pump DOE Rule Adjustment'!$B$18:$AD$18,0)))
*Percent_urban*quadrillion</f>
        <v>991738660263982.25</v>
      </c>
      <c r="AH43" s="60">
        <f>SUM(INDEX(Table4_22,MATCH($G43,Table4_A_22,0),MATCH(AH$42,Table4_1_22,0)),INDEX(Table4_22,MATCH($F43,Table4_A_22,0),MATCH(AH$42,Table4_1_22,0)),INDEX(Table4_22,MATCH($E43,Table4_A_22,0),MATCH(AH$42,Table4_1_22,0)),INDEX(Table4_22,MATCH($D43,Table4_A_22,0),MATCH(AH$42,Table4_1_22,0)),INDEX(Table4_22,MATCH($C43,Table4_A_22,0),MATCH(AH$42,Table4_1_22,0)),INDEX(Table4_22,MATCH($H43,Table4_A_22,0),MATCH(AH$42,Table4_1_22,0)),INDEX('[4]Heat Pump DOE Rule Adjustment'!$B$34:$AD$34,MATCH(AH42,'[4]Heat Pump DOE Rule Adjustment'!$B$18:$AD$18,0)))
*Percent_urban*quadrillion</f>
        <v>998682236840947.63</v>
      </c>
      <c r="AI43" s="60">
        <f>SUM(INDEX(Table4_22,MATCH($G43,Table4_A_22,0),MATCH(AI$42,Table4_1_22,0)),INDEX(Table4_22,MATCH($F43,Table4_A_22,0),MATCH(AI$42,Table4_1_22,0)),INDEX(Table4_22,MATCH($E43,Table4_A_22,0),MATCH(AI$42,Table4_1_22,0)),INDEX(Table4_22,MATCH($D43,Table4_A_22,0),MATCH(AI$42,Table4_1_22,0)),INDEX(Table4_22,MATCH($C43,Table4_A_22,0),MATCH(AI$42,Table4_1_22,0)),INDEX(Table4_22,MATCH($H43,Table4_A_22,0),MATCH(AI$42,Table4_1_22,0)),INDEX('[4]Heat Pump DOE Rule Adjustment'!$B$34:$AD$34,MATCH(AI42,'[4]Heat Pump DOE Rule Adjustment'!$B$18:$AD$18,0)))
*Percent_urban*quadrillion</f>
        <v>1005597873811567.4</v>
      </c>
      <c r="AJ43" s="60">
        <f>SUM(INDEX(Table4_22,MATCH($G43,Table4_A_22,0),MATCH(AJ$42,Table4_1_22,0)),INDEX(Table4_22,MATCH($F43,Table4_A_22,0),MATCH(AJ$42,Table4_1_22,0)),INDEX(Table4_22,MATCH($E43,Table4_A_22,0),MATCH(AJ$42,Table4_1_22,0)),INDEX(Table4_22,MATCH($D43,Table4_A_22,0),MATCH(AJ$42,Table4_1_22,0)),INDEX(Table4_22,MATCH($C43,Table4_A_22,0),MATCH(AJ$42,Table4_1_22,0)),INDEX(Table4_22,MATCH($H43,Table4_A_22,0),MATCH(AJ$42,Table4_1_22,0)),INDEX('[4]Heat Pump DOE Rule Adjustment'!$B$34:$AD$34,MATCH(AJ42,'[4]Heat Pump DOE Rule Adjustment'!$B$18:$AD$18,0)))
*Percent_urban*quadrillion</f>
        <v>1012670680491269.1</v>
      </c>
      <c r="AK43" s="60">
        <f>SUM(INDEX(Table4_22,MATCH($G43,Table4_A_22,0),MATCH(AK$42,Table4_1_22,0)),INDEX(Table4_22,MATCH($F43,Table4_A_22,0),MATCH(AK$42,Table4_1_22,0)),INDEX(Table4_22,MATCH($E43,Table4_A_22,0),MATCH(AK$42,Table4_1_22,0)),INDEX(Table4_22,MATCH($D43,Table4_A_22,0),MATCH(AK$42,Table4_1_22,0)),INDEX(Table4_22,MATCH($C43,Table4_A_22,0),MATCH(AK$42,Table4_1_22,0)),INDEX(Table4_22,MATCH($H43,Table4_A_22,0),MATCH(AK$42,Table4_1_22,0)),INDEX('[4]Heat Pump DOE Rule Adjustment'!$B$34:$AD$34,MATCH(AK42,'[4]Heat Pump DOE Rule Adjustment'!$B$18:$AD$18,0)))
*Percent_urban*quadrillion</f>
        <v>1019825252542795.4</v>
      </c>
      <c r="AL43" s="60">
        <f>SUM(INDEX(Table4_22,MATCH($G43,Table4_A_22,0),MATCH(AL$42,Table4_1_22,0)),INDEX(Table4_22,MATCH($F43,Table4_A_22,0),MATCH(AL$42,Table4_1_22,0)),INDEX(Table4_22,MATCH($E43,Table4_A_22,0),MATCH(AL$42,Table4_1_22,0)),INDEX(Table4_22,MATCH($D43,Table4_A_22,0),MATCH(AL$42,Table4_1_22,0)),INDEX(Table4_22,MATCH($C43,Table4_A_22,0),MATCH(AL$42,Table4_1_22,0)),INDEX(Table4_22,MATCH($H43,Table4_A_22,0),MATCH(AL$42,Table4_1_22,0)),INDEX('[4]Heat Pump DOE Rule Adjustment'!$B$34:$AD$34,MATCH(AL42,'[4]Heat Pump DOE Rule Adjustment'!$B$18:$AD$18,0)))
*Percent_urban*quadrillion</f>
        <v>1026874712970970.5</v>
      </c>
      <c r="AM43" s="60">
        <f>SUM(INDEX(Table4_22,MATCH($G43,Table4_A_22,0),MATCH(AM$42,Table4_1_22,0)),INDEX(Table4_22,MATCH($F43,Table4_A_22,0),MATCH(AM$42,Table4_1_22,0)),INDEX(Table4_22,MATCH($E43,Table4_A_22,0),MATCH(AM$42,Table4_1_22,0)),INDEX(Table4_22,MATCH($D43,Table4_A_22,0),MATCH(AM$42,Table4_1_22,0)),INDEX(Table4_22,MATCH($C43,Table4_A_22,0),MATCH(AM$42,Table4_1_22,0)),INDEX(Table4_22,MATCH($H43,Table4_A_22,0),MATCH(AM$42,Table4_1_22,0)),INDEX('[4]Heat Pump DOE Rule Adjustment'!$B$34:$AD$34,MATCH(AM42,'[4]Heat Pump DOE Rule Adjustment'!$B$18:$AD$18,0)))
*Percent_urban*quadrillion</f>
        <v>1033910056604944.6</v>
      </c>
      <c r="AN43" s="60">
        <f>SUM(INDEX(Table4_22,MATCH($G43,Table4_A_22,0),MATCH(AN$42,Table4_1_22,0)),INDEX(Table4_22,MATCH($F43,Table4_A_22,0),MATCH(AN$42,Table4_1_22,0)),INDEX(Table4_22,MATCH($E43,Table4_A_22,0),MATCH(AN$42,Table4_1_22,0)),INDEX(Table4_22,MATCH($D43,Table4_A_22,0),MATCH(AN$42,Table4_1_22,0)),INDEX(Table4_22,MATCH($C43,Table4_A_22,0),MATCH(AN$42,Table4_1_22,0)),INDEX(Table4_22,MATCH($H43,Table4_A_22,0),MATCH(AN$42,Table4_1_22,0)),INDEX('[4]Heat Pump DOE Rule Adjustment'!$B$34:$AD$34,MATCH(AN42,'[4]Heat Pump DOE Rule Adjustment'!$B$18:$AD$18,0)))
*Percent_urban*quadrillion</f>
        <v>1041119136306432</v>
      </c>
    </row>
    <row r="44" spans="2:40">
      <c r="I44" s="1" t="s">
        <v>77</v>
      </c>
      <c r="J44" s="7" cm="1">
        <f t="array" ref="J44">TREND($O44:$T44,$O$3:$T$3,J$3)</f>
        <v>0</v>
      </c>
      <c r="K44" s="7">
        <v>0</v>
      </c>
      <c r="L44" s="7">
        <v>0</v>
      </c>
      <c r="M44" s="7">
        <v>0</v>
      </c>
      <c r="N44" s="7">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c r="F45" s="8" t="s">
        <v>233</v>
      </c>
      <c r="G45" s="8" t="s">
        <v>232</v>
      </c>
      <c r="H45" s="8" t="s">
        <v>231</v>
      </c>
      <c r="I45" s="1" t="s">
        <v>78</v>
      </c>
      <c r="J45" s="60" cm="1">
        <f t="array" ref="J45">TREND($O45:$T45,$O$3:$T$3,J$3)</f>
        <v>873328070821432</v>
      </c>
      <c r="K45" s="60">
        <f t="shared" ref="K45" si="24">SUM(INDEX(Table4,MATCH($G45,Table4_A,0),MATCH(K$42,Table4_1,0)),INDEX(Table4,MATCH($H45,Table4_A,0),MATCH(K$42,Table4_1,0)),INDEX(Table4,MATCH($F45,Table4_A,0),MATCH(K$42,Table4_1,0)))*Percent_urban*quadrillion</f>
        <v>925152978223913.13</v>
      </c>
      <c r="L45" s="60">
        <f t="shared" ref="L45:N45" si="25">SUM(INDEX(Table4_22,MATCH($G45,Table4_A_22,0),MATCH(L$42,Table4_1_22,0)),INDEX(Table4_22,MATCH($H45,Table4_A_22,0),MATCH(L$42,Table4_1_22,0)),INDEX(Table4_22,MATCH($F45,Table4_A_22,0),MATCH(L$42,Table4_1_22,0)))*Percent_urban*quadrillion</f>
        <v>915725294260503.38</v>
      </c>
      <c r="M45" s="60">
        <f t="shared" si="25"/>
        <v>913872280741520.13</v>
      </c>
      <c r="N45" s="60">
        <f t="shared" si="25"/>
        <v>922464116570873.38</v>
      </c>
      <c r="O45" s="60">
        <f t="shared" ref="O45:AN45" si="26">SUM(INDEX(Table4_22,MATCH($G45,Table4_A_22,0),MATCH(O$42,Table4_1_22,0)),INDEX(Table4_22,MATCH($H45,Table4_A_22,0),MATCH(O$42,Table4_1_22,0)),INDEX(Table4_22,MATCH($F45,Table4_A_22,0),MATCH(O$42,Table4_1_22,0)))*Percent_urban*quadrillion</f>
        <v>936312526511778.38</v>
      </c>
      <c r="P45" s="60">
        <f t="shared" si="26"/>
        <v>950993532259370.13</v>
      </c>
      <c r="Q45" s="60">
        <f t="shared" si="26"/>
        <v>965075296689063.38</v>
      </c>
      <c r="R45" s="60">
        <f t="shared" si="26"/>
        <v>978731819315146.25</v>
      </c>
      <c r="S45" s="60">
        <f t="shared" si="26"/>
        <v>990249936695539.5</v>
      </c>
      <c r="T45" s="60">
        <f t="shared" si="26"/>
        <v>1000552496721444.3</v>
      </c>
      <c r="U45" s="60">
        <f t="shared" si="26"/>
        <v>1009182547397393.3</v>
      </c>
      <c r="V45" s="60">
        <f t="shared" si="26"/>
        <v>1017317431231279.9</v>
      </c>
      <c r="W45" s="60">
        <f t="shared" si="26"/>
        <v>1025439305755686.8</v>
      </c>
      <c r="X45" s="60">
        <f t="shared" si="26"/>
        <v>1033226190560997.1</v>
      </c>
      <c r="Y45" s="60">
        <f t="shared" si="26"/>
        <v>1041023645430259.8</v>
      </c>
      <c r="Z45" s="60">
        <f t="shared" si="26"/>
        <v>1048929240184570.6</v>
      </c>
      <c r="AA45" s="60">
        <f t="shared" si="26"/>
        <v>1056517733020318.9</v>
      </c>
      <c r="AB45" s="60">
        <f t="shared" si="26"/>
        <v>1063311844895976.6</v>
      </c>
      <c r="AC45" s="60">
        <f t="shared" si="26"/>
        <v>1070410862462559.6</v>
      </c>
      <c r="AD45" s="60">
        <f t="shared" si="26"/>
        <v>1077378973852505.5</v>
      </c>
      <c r="AE45" s="60">
        <f t="shared" si="26"/>
        <v>1084109665344450.6</v>
      </c>
      <c r="AF45" s="60">
        <f t="shared" si="26"/>
        <v>1090977767667772.8</v>
      </c>
      <c r="AG45" s="60">
        <f t="shared" si="26"/>
        <v>1098452429045576</v>
      </c>
      <c r="AH45" s="60">
        <f t="shared" si="26"/>
        <v>1106581621306565.1</v>
      </c>
      <c r="AI45" s="60">
        <f t="shared" si="26"/>
        <v>1114384767748724.9</v>
      </c>
      <c r="AJ45" s="60">
        <f t="shared" si="26"/>
        <v>1119756799481907.1</v>
      </c>
      <c r="AK45" s="60">
        <f t="shared" si="26"/>
        <v>1126093959362098.3</v>
      </c>
      <c r="AL45" s="60">
        <f t="shared" si="26"/>
        <v>1133724732453655</v>
      </c>
      <c r="AM45" s="60">
        <f t="shared" si="26"/>
        <v>1141844167732534.5</v>
      </c>
      <c r="AN45" s="60">
        <f t="shared" si="26"/>
        <v>1149540800453331</v>
      </c>
    </row>
    <row r="46" spans="2:40">
      <c r="H46" s="8" t="s">
        <v>227</v>
      </c>
      <c r="I46" s="1" t="s">
        <v>79</v>
      </c>
      <c r="J46" s="60" cm="1">
        <f t="array" ref="J46">TREND($O46:$T46,$O$3:$T$3,J$3)</f>
        <v>33250749638607.25</v>
      </c>
      <c r="K46" s="60">
        <f t="shared" ref="K46" si="27">INDEX(Table4,MATCH($H46,Table4_A,0),MATCH(K$42,Table4_1,0))*Percent_urban*quadrillion</f>
        <v>37948968833481.742</v>
      </c>
      <c r="L46" s="60">
        <f t="shared" ref="L46:N46" si="28">INDEX(Table4_22,MATCH($H46,Table4_A_22,0),MATCH(L$42,Table4_1_22,0))*Percent_urban*quadrillion</f>
        <v>34995855581640.09</v>
      </c>
      <c r="M46" s="60">
        <f t="shared" si="28"/>
        <v>32779394479073.902</v>
      </c>
      <c r="N46" s="60">
        <f t="shared" si="28"/>
        <v>31363005909495.672</v>
      </c>
      <c r="O46" s="60">
        <f t="shared" ref="O46:AN46" si="29">INDEX(Table4_22,MATCH($H46,Table4_A_22,0),MATCH(O$42,Table4_1_22,0))*Percent_urban*quadrillion</f>
        <v>30462924309884.234</v>
      </c>
      <c r="P46" s="60">
        <f t="shared" si="29"/>
        <v>29630328503197.602</v>
      </c>
      <c r="Q46" s="60">
        <f t="shared" si="29"/>
        <v>28906685663401.602</v>
      </c>
      <c r="R46" s="60">
        <f t="shared" si="29"/>
        <v>28303378936290.777</v>
      </c>
      <c r="S46" s="60">
        <f t="shared" si="29"/>
        <v>27822847567392.535</v>
      </c>
      <c r="T46" s="60">
        <f t="shared" si="29"/>
        <v>27484605520926.09</v>
      </c>
      <c r="U46" s="60">
        <f t="shared" si="29"/>
        <v>27089447745486.926</v>
      </c>
      <c r="V46" s="60">
        <f t="shared" si="29"/>
        <v>26673149842143.609</v>
      </c>
      <c r="W46" s="60">
        <f t="shared" si="29"/>
        <v>26238151056423.539</v>
      </c>
      <c r="X46" s="60">
        <f t="shared" si="29"/>
        <v>25803152270703.469</v>
      </c>
      <c r="Y46" s="60">
        <f t="shared" si="29"/>
        <v>25353518011818.992</v>
      </c>
      <c r="Z46" s="60">
        <f t="shared" si="29"/>
        <v>24910388407674.246</v>
      </c>
      <c r="AA46" s="60">
        <f t="shared" si="29"/>
        <v>24467258803529.504</v>
      </c>
      <c r="AB46" s="60">
        <f t="shared" si="29"/>
        <v>24031446935966.969</v>
      </c>
      <c r="AC46" s="60">
        <f t="shared" si="29"/>
        <v>23607018214198.977</v>
      </c>
      <c r="AD46" s="60">
        <f t="shared" si="29"/>
        <v>23198038047437.867</v>
      </c>
      <c r="AE46" s="60">
        <f t="shared" si="29"/>
        <v>22797188699101.434</v>
      </c>
      <c r="AF46" s="60">
        <f t="shared" si="29"/>
        <v>22419918724196.551</v>
      </c>
      <c r="AG46" s="60">
        <f t="shared" si="29"/>
        <v>22058097304298.551</v>
      </c>
      <c r="AH46" s="60">
        <f t="shared" si="29"/>
        <v>21721481421517.039</v>
      </c>
      <c r="AI46" s="60">
        <f t="shared" si="29"/>
        <v>21401127175584.879</v>
      </c>
      <c r="AJ46" s="60">
        <f t="shared" si="29"/>
        <v>21085651420707.52</v>
      </c>
      <c r="AK46" s="60">
        <f t="shared" si="29"/>
        <v>20784811138994.574</v>
      </c>
      <c r="AL46" s="60">
        <f t="shared" si="29"/>
        <v>20500232494130.98</v>
      </c>
      <c r="AM46" s="60">
        <f t="shared" si="29"/>
        <v>20222158504007.125</v>
      </c>
      <c r="AN46" s="60">
        <f t="shared" si="29"/>
        <v>19954654577835.344</v>
      </c>
    </row>
    <row r="47" spans="2:40">
      <c r="I47" s="1" t="s">
        <v>81</v>
      </c>
      <c r="J47" s="7" cm="1">
        <f t="array" ref="J47">TREND($O47:$T47,$O$3:$T$3,J$3)</f>
        <v>0</v>
      </c>
      <c r="K47" s="7">
        <v>0</v>
      </c>
      <c r="L47" s="7">
        <v>0</v>
      </c>
      <c r="M47" s="7">
        <v>0</v>
      </c>
      <c r="N47" s="7">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c r="I48" s="1" t="s">
        <v>162</v>
      </c>
      <c r="J48" s="7" cm="1">
        <f t="array" ref="J48">TREND($O48:$T48,$O$3:$T$3,J$3)</f>
        <v>0</v>
      </c>
      <c r="K48" s="7">
        <v>0</v>
      </c>
      <c r="L48" s="7">
        <v>0</v>
      </c>
      <c r="M48" s="7">
        <v>0</v>
      </c>
      <c r="N48" s="7">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c r="I49" s="1" t="s">
        <v>446</v>
      </c>
      <c r="J49" s="7" cm="1">
        <f t="array" ref="J49">TREND($O49:$T49,$O$3:$T$3,J$3)</f>
        <v>0</v>
      </c>
      <c r="K49" s="7">
        <v>0</v>
      </c>
      <c r="L49" s="7">
        <v>0</v>
      </c>
      <c r="M49" s="7">
        <v>0</v>
      </c>
      <c r="N49" s="7">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c r="I50" s="1" t="s">
        <v>447</v>
      </c>
      <c r="J50" s="7" cm="1">
        <f t="array" ref="J50">TREND($O50:$T50,$O$3:$T$3,J$3)</f>
        <v>0</v>
      </c>
      <c r="K50" s="7">
        <v>0</v>
      </c>
      <c r="L50" s="7">
        <v>0</v>
      </c>
      <c r="M50" s="7">
        <v>0</v>
      </c>
      <c r="N50" s="7">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c r="G51" s="8" t="s">
        <v>223</v>
      </c>
      <c r="H51" s="8" t="s">
        <v>222</v>
      </c>
      <c r="I51" s="1" t="s">
        <v>448</v>
      </c>
      <c r="J51" s="60" cm="1">
        <f t="array" ref="J51">TREND($O51:$T51,$O$3:$T$3,J$3)</f>
        <v>60553883035931.25</v>
      </c>
      <c r="K51" s="60">
        <f t="shared" ref="K51" si="30">SUM(INDEX(Table4,MATCH($G51,Table4_A,0),MATCH(K$42,Table4_1,0)),INDEX(Table4,MATCH($H51,Table4_A,0),MATCH(K$42,Table4_1,0)))*Percent_urban*quadrillion</f>
        <v>65178266655873.063</v>
      </c>
      <c r="L51" s="60">
        <f t="shared" ref="L51:N51" si="31">SUM(INDEX(Table4_22,MATCH($G51,Table4_A_22,0),MATCH(L$42,Table4_1_22,0)),INDEX(Table4_22,MATCH($H51,Table4_A_22,0),MATCH(L$42,Table4_1_22,0)))*Percent_urban*quadrillion</f>
        <v>62730890310046.141</v>
      </c>
      <c r="M51" s="60">
        <f t="shared" si="31"/>
        <v>59995682991985.742</v>
      </c>
      <c r="N51" s="60">
        <f t="shared" si="31"/>
        <v>57988183922933.695</v>
      </c>
      <c r="O51" s="60">
        <f t="shared" ref="O51:AN51" si="32">SUM(INDEX(Table4_22,MATCH($G51,Table4_A_22,0),MATCH(O$42,Table4_1_22,0)),INDEX(Table4_22,MATCH($H51,Table4_A_22,0),MATCH(O$42,Table4_1_22,0)))*Percent_urban*quadrillion</f>
        <v>56614888691006.227</v>
      </c>
      <c r="P51" s="60">
        <f t="shared" si="32"/>
        <v>55562760786853.398</v>
      </c>
      <c r="Q51" s="60">
        <f t="shared" si="32"/>
        <v>54674062333036.5</v>
      </c>
      <c r="R51" s="60">
        <f t="shared" si="32"/>
        <v>53873989800048.563</v>
      </c>
      <c r="S51" s="60">
        <f t="shared" si="32"/>
        <v>53142216141827.898</v>
      </c>
      <c r="T51" s="60">
        <f t="shared" si="32"/>
        <v>52474675949162.141</v>
      </c>
      <c r="U51" s="60">
        <f t="shared" si="32"/>
        <v>51671351088804.328</v>
      </c>
      <c r="V51" s="60">
        <f t="shared" si="32"/>
        <v>50772082571035.375</v>
      </c>
      <c r="W51" s="60">
        <f t="shared" si="32"/>
        <v>49862243989314.336</v>
      </c>
      <c r="X51" s="60">
        <f t="shared" si="32"/>
        <v>48956470816805.633</v>
      </c>
      <c r="Y51" s="60">
        <f t="shared" si="32"/>
        <v>48084033999838.094</v>
      </c>
      <c r="Z51" s="60">
        <f t="shared" si="32"/>
        <v>47273391402898.07</v>
      </c>
      <c r="AA51" s="60">
        <f t="shared" si="32"/>
        <v>46521290698615.719</v>
      </c>
      <c r="AB51" s="60">
        <f t="shared" si="32"/>
        <v>45778133894600.5</v>
      </c>
      <c r="AC51" s="60">
        <f t="shared" si="32"/>
        <v>45068313446126.445</v>
      </c>
      <c r="AD51" s="60">
        <f t="shared" si="32"/>
        <v>44389390107666.148</v>
      </c>
      <c r="AE51" s="60">
        <f t="shared" si="32"/>
        <v>43739737715534.68</v>
      </c>
      <c r="AF51" s="60">
        <f t="shared" si="32"/>
        <v>43126674006314.258</v>
      </c>
      <c r="AG51" s="60">
        <f t="shared" si="32"/>
        <v>42561582125799.391</v>
      </c>
      <c r="AH51" s="60">
        <f t="shared" si="32"/>
        <v>42046088237675.047</v>
      </c>
      <c r="AI51" s="60">
        <f t="shared" si="32"/>
        <v>41568809196146.68</v>
      </c>
      <c r="AJ51" s="60">
        <f t="shared" si="32"/>
        <v>41106978709625.195</v>
      </c>
      <c r="AK51" s="60">
        <f t="shared" si="32"/>
        <v>40681736906014.734</v>
      </c>
      <c r="AL51" s="60">
        <f t="shared" si="32"/>
        <v>40287392212418.031</v>
      </c>
      <c r="AM51" s="60">
        <f t="shared" si="32"/>
        <v>39919066137780.297</v>
      </c>
      <c r="AN51" s="60">
        <f t="shared" si="32"/>
        <v>39573506354731.641</v>
      </c>
    </row>
    <row r="52" spans="6:40">
      <c r="I52" s="1" t="s">
        <v>449</v>
      </c>
      <c r="J52" s="7" cm="1">
        <f t="array" ref="J52">TREND($O52:$T52,$O$3:$T$3,J$3)</f>
        <v>0</v>
      </c>
      <c r="K52" s="7">
        <v>0</v>
      </c>
      <c r="L52" s="7">
        <v>0</v>
      </c>
      <c r="M52" s="7">
        <v>0</v>
      </c>
      <c r="N52" s="7">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c r="H54" s="1" t="s">
        <v>588</v>
      </c>
    </row>
    <row r="55" spans="6:40">
      <c r="I55" s="1" t="s">
        <v>75</v>
      </c>
      <c r="J55" s="1" cm="1">
        <f t="array" ref="J55">TREND($O55:$T55,$O$3:$T$3,J$3)</f>
        <v>2020</v>
      </c>
      <c r="K55" s="1">
        <v>2021</v>
      </c>
      <c r="L55" s="1">
        <v>2022</v>
      </c>
      <c r="M55" s="1">
        <v>2023</v>
      </c>
      <c r="N55" s="1">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c r="F56" s="8" t="s">
        <v>237</v>
      </c>
      <c r="G56" s="8" t="s">
        <v>240</v>
      </c>
      <c r="H56" s="8" t="s">
        <v>239</v>
      </c>
      <c r="I56" s="1" t="s">
        <v>76</v>
      </c>
      <c r="J56" s="60" cm="1">
        <f t="array" ref="J56">TREND($O56:$T56,$O$3:$T$3,J$3)</f>
        <v>1616476395554568</v>
      </c>
      <c r="K56" s="60">
        <f t="shared" ref="K56" si="33">SUM(INDEX(Table4,MATCH($G56,Table4_A,0),MATCH(K$55,Table4_1,0)),INDEX(Table4,MATCH($H56,Table4_A,0),MATCH(K$55,Table4_1,0)),INDEX(Table4,MATCH($F56,Table4_A,0),MATCH(K$55,Table4_1,0)))*Percent_urban*quadrillion</f>
        <v>1697291271432040.8</v>
      </c>
      <c r="L56" s="60">
        <f t="shared" ref="L56:N56" si="34">SUM(INDEX(Table4_22,MATCH($G56,Table4_A_22,0),MATCH(L$55,Table4_1_22,0)),INDEX(Table4_22,MATCH($H56,Table4_A_22,0),MATCH(L$55,Table4_1_22,0)),INDEX(Table4_22,MATCH($F56,Table4_A_22,0),MATCH(L$55,Table4_1_22,0)))*Percent_urban*quadrillion</f>
        <v>1653962953128794.8</v>
      </c>
      <c r="M56" s="60">
        <f t="shared" si="34"/>
        <v>1690165422164656</v>
      </c>
      <c r="N56" s="60">
        <f t="shared" si="34"/>
        <v>1708140222456083.3</v>
      </c>
      <c r="O56" s="60">
        <f t="shared" ref="O56:AN56" si="35">SUM(INDEX(Table4_22,MATCH($G56,Table4_A_22,0),MATCH(O$55,Table4_1_22,0)),INDEX(Table4_22,MATCH($H56,Table4_A_22,0),MATCH(O$55,Table4_1_22,0)),INDEX(Table4_22,MATCH($F56,Table4_A_22,0),MATCH(O$55,Table4_1_22,0)))*Percent_urban*quadrillion</f>
        <v>1734078346312636.3</v>
      </c>
      <c r="P56" s="60">
        <f t="shared" si="35"/>
        <v>1759559518173723</v>
      </c>
      <c r="Q56" s="60">
        <f t="shared" si="35"/>
        <v>1788460512264227.3</v>
      </c>
      <c r="R56" s="60">
        <f t="shared" si="35"/>
        <v>1812750519226099</v>
      </c>
      <c r="S56" s="60">
        <f t="shared" si="35"/>
        <v>1833322302922366.8</v>
      </c>
      <c r="T56" s="60">
        <f t="shared" si="35"/>
        <v>1853381845057880.8</v>
      </c>
      <c r="U56" s="60">
        <f t="shared" si="35"/>
        <v>1873299910952804.8</v>
      </c>
      <c r="V56" s="60">
        <f t="shared" si="35"/>
        <v>1893705012871367</v>
      </c>
      <c r="W56" s="60">
        <f t="shared" si="35"/>
        <v>1913963760058285.5</v>
      </c>
      <c r="X56" s="60">
        <f t="shared" si="35"/>
        <v>1932432101028090.5</v>
      </c>
      <c r="Y56" s="60">
        <f t="shared" si="35"/>
        <v>1954515403869505.5</v>
      </c>
      <c r="Z56" s="60">
        <f t="shared" si="35"/>
        <v>1978898102161418</v>
      </c>
      <c r="AA56" s="60">
        <f t="shared" si="35"/>
        <v>2005363916133732.5</v>
      </c>
      <c r="AB56" s="60">
        <f t="shared" si="35"/>
        <v>2031012582854367</v>
      </c>
      <c r="AC56" s="60">
        <f t="shared" si="35"/>
        <v>2057663779486764.3</v>
      </c>
      <c r="AD56" s="60">
        <f t="shared" si="35"/>
        <v>2086577782886748</v>
      </c>
      <c r="AE56" s="60">
        <f t="shared" si="35"/>
        <v>2116588633692220.5</v>
      </c>
      <c r="AF56" s="60">
        <f t="shared" si="35"/>
        <v>2149183458593054</v>
      </c>
      <c r="AG56" s="60">
        <f t="shared" si="35"/>
        <v>2183411764915405.3</v>
      </c>
      <c r="AH56" s="60">
        <f t="shared" si="35"/>
        <v>2219318272160608.5</v>
      </c>
      <c r="AI56" s="60">
        <f t="shared" si="35"/>
        <v>2257000550149761</v>
      </c>
      <c r="AJ56" s="60">
        <f t="shared" si="35"/>
        <v>2296697644944547.5</v>
      </c>
      <c r="AK56" s="60">
        <f t="shared" si="35"/>
        <v>2338623397069538</v>
      </c>
      <c r="AL56" s="60">
        <f t="shared" si="35"/>
        <v>2381672828300817.5</v>
      </c>
      <c r="AM56" s="60">
        <f t="shared" si="35"/>
        <v>2426496404112361.5</v>
      </c>
      <c r="AN56" s="60">
        <f t="shared" si="35"/>
        <v>2474942259532097.5</v>
      </c>
    </row>
    <row r="57" spans="6:40">
      <c r="I57" s="1" t="s">
        <v>77</v>
      </c>
      <c r="J57" s="7" cm="1">
        <f t="array" ref="J57">TREND($O57:$T57,$O$3:$T$3,J$3)</f>
        <v>0</v>
      </c>
      <c r="K57" s="7">
        <v>0</v>
      </c>
      <c r="L57" s="7">
        <v>0</v>
      </c>
      <c r="M57" s="7">
        <v>0</v>
      </c>
      <c r="N57" s="7">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c r="H58" s="8" t="s">
        <v>230</v>
      </c>
      <c r="I58" s="1" t="s">
        <v>78</v>
      </c>
      <c r="J58" s="60" cm="1">
        <f t="array" ref="J58">TREND($O58:$T58,$O$3:$T$3,J$3)</f>
        <v>182368294665263.5</v>
      </c>
      <c r="K58" s="60">
        <f t="shared" ref="K58:K59" si="36">INDEX(Table4,MATCH($H58,Table4_A,0),MATCH(K$55,Table4_1,0))*Percent_urban*quadrillion</f>
        <v>187726775034404.59</v>
      </c>
      <c r="L58" s="60">
        <f t="shared" ref="L58:N59" si="37">INDEX(Table4_22,MATCH($H58,Table4_A_22,0),MATCH(L$55,Table4_1_22,0))*Percent_urban*quadrillion</f>
        <v>184841960657330.19</v>
      </c>
      <c r="M58" s="60">
        <f t="shared" si="37"/>
        <v>183615020157046.88</v>
      </c>
      <c r="N58" s="60">
        <f t="shared" si="37"/>
        <v>183982533149842.16</v>
      </c>
      <c r="O58" s="60">
        <f t="shared" ref="O58:T59" si="38">INDEX(Table4_22,MATCH($H58,Table4_A_22,0),MATCH(O$55,Table4_1_22,0))*Percent_urban*quadrillion</f>
        <v>185224109123289.88</v>
      </c>
      <c r="P58" s="60">
        <f t="shared" si="38"/>
        <v>186545367117299.44</v>
      </c>
      <c r="Q58" s="60">
        <f t="shared" si="38"/>
        <v>187669046223589.41</v>
      </c>
      <c r="R58" s="60">
        <f t="shared" si="38"/>
        <v>188530099894762.38</v>
      </c>
      <c r="S58" s="60">
        <f t="shared" si="38"/>
        <v>188749631992228.56</v>
      </c>
      <c r="T58" s="60">
        <f t="shared" si="38"/>
        <v>188562623168461.09</v>
      </c>
      <c r="U58" s="60">
        <f t="shared" ref="U58:AD59" si="39">INDEX(Table4_22,MATCH($H58,Table4_A_22,0),MATCH(U$55,Table4_1_22,0))*Percent_urban*quadrillion</f>
        <v>188143886019590.38</v>
      </c>
      <c r="V58" s="60">
        <f t="shared" si="39"/>
        <v>187684494778596.28</v>
      </c>
      <c r="W58" s="60">
        <f t="shared" si="39"/>
        <v>187149486926252.72</v>
      </c>
      <c r="X58" s="60">
        <f t="shared" si="39"/>
        <v>186604722091799.56</v>
      </c>
      <c r="Y58" s="60">
        <f t="shared" si="39"/>
        <v>186080284303408.06</v>
      </c>
      <c r="Z58" s="60">
        <f t="shared" si="39"/>
        <v>185655042499797.63</v>
      </c>
      <c r="AA58" s="60">
        <f t="shared" si="39"/>
        <v>185255006233303.63</v>
      </c>
      <c r="AB58" s="60">
        <f t="shared" si="39"/>
        <v>184785858010199.94</v>
      </c>
      <c r="AC58" s="60">
        <f t="shared" si="39"/>
        <v>184422410426617</v>
      </c>
      <c r="AD58" s="60">
        <f t="shared" si="39"/>
        <v>184043514288027.19</v>
      </c>
      <c r="AE58" s="60">
        <f t="shared" ref="AE58:AN59" si="40">INDEX(Table4_22,MATCH($H58,Table4_A_22,0),MATCH(AE$55,Table4_1_22,0))*Percent_urban*quadrillion</f>
        <v>183638599530478.44</v>
      </c>
      <c r="AF58" s="60">
        <f t="shared" si="40"/>
        <v>183279217356107.84</v>
      </c>
      <c r="AG58" s="60">
        <f t="shared" si="40"/>
        <v>183019031166518.25</v>
      </c>
      <c r="AH58" s="60">
        <f t="shared" si="40"/>
        <v>182844218570387.75</v>
      </c>
      <c r="AI58" s="60">
        <f t="shared" si="40"/>
        <v>182583219298955.72</v>
      </c>
      <c r="AJ58" s="60">
        <f t="shared" si="40"/>
        <v>181761193556221.13</v>
      </c>
      <c r="AK58" s="60">
        <f t="shared" si="40"/>
        <v>181131868210151.38</v>
      </c>
      <c r="AL58" s="60">
        <f t="shared" si="40"/>
        <v>180778990690520.53</v>
      </c>
      <c r="AM58" s="60">
        <f t="shared" si="40"/>
        <v>180575720229903.69</v>
      </c>
      <c r="AN58" s="60">
        <f t="shared" si="40"/>
        <v>180332608759005.91</v>
      </c>
    </row>
    <row r="59" spans="6:40">
      <c r="H59" s="8" t="s">
        <v>226</v>
      </c>
      <c r="I59" s="1" t="s">
        <v>79</v>
      </c>
      <c r="J59" s="60" cm="1">
        <f t="array" ref="J59">TREND($O59:$T59,$O$3:$T$3,J$3)</f>
        <v>6005461206647.3145</v>
      </c>
      <c r="K59" s="60">
        <f t="shared" si="36"/>
        <v>6354234598882.8633</v>
      </c>
      <c r="L59" s="60">
        <f t="shared" si="37"/>
        <v>6123319355622.1162</v>
      </c>
      <c r="M59" s="60">
        <f t="shared" si="37"/>
        <v>5989973933457.46</v>
      </c>
      <c r="N59" s="60">
        <f t="shared" si="37"/>
        <v>5959889905286.165</v>
      </c>
      <c r="O59" s="60">
        <f t="shared" si="38"/>
        <v>5991600097142.3936</v>
      </c>
      <c r="P59" s="60">
        <f t="shared" si="38"/>
        <v>6007861733991.7422</v>
      </c>
      <c r="Q59" s="60">
        <f t="shared" si="38"/>
        <v>6014366388731.4824</v>
      </c>
      <c r="R59" s="60">
        <f t="shared" si="38"/>
        <v>6013553306889.0146</v>
      </c>
      <c r="S59" s="60">
        <f t="shared" si="38"/>
        <v>6004609406621.873</v>
      </c>
      <c r="T59" s="60">
        <f t="shared" si="38"/>
        <v>5992413178984.8613</v>
      </c>
      <c r="U59" s="60">
        <f t="shared" si="39"/>
        <v>5976151542135.5137</v>
      </c>
      <c r="V59" s="60">
        <f t="shared" si="39"/>
        <v>5960702987128.6318</v>
      </c>
      <c r="W59" s="60">
        <f t="shared" si="39"/>
        <v>5945254432121.751</v>
      </c>
      <c r="X59" s="60">
        <f t="shared" si="39"/>
        <v>5929805877114.8701</v>
      </c>
      <c r="Y59" s="60">
        <f t="shared" si="39"/>
        <v>5915170403950.457</v>
      </c>
      <c r="Z59" s="60">
        <f t="shared" si="39"/>
        <v>5900534930786.0439</v>
      </c>
      <c r="AA59" s="60">
        <f t="shared" si="39"/>
        <v>5885899457621.6299</v>
      </c>
      <c r="AB59" s="60">
        <f t="shared" si="39"/>
        <v>5872077066299.6846</v>
      </c>
      <c r="AC59" s="60">
        <f t="shared" si="39"/>
        <v>5858254674977.7373</v>
      </c>
      <c r="AD59" s="60">
        <f t="shared" si="39"/>
        <v>5845245365498.2588</v>
      </c>
      <c r="AE59" s="60">
        <f t="shared" si="40"/>
        <v>5830609892333.8457</v>
      </c>
      <c r="AF59" s="60">
        <f t="shared" si="40"/>
        <v>5817600582854.3672</v>
      </c>
      <c r="AG59" s="60">
        <f t="shared" si="40"/>
        <v>5804591273374.8887</v>
      </c>
      <c r="AH59" s="60">
        <f t="shared" si="40"/>
        <v>5793208127580.3447</v>
      </c>
      <c r="AI59" s="60">
        <f t="shared" si="40"/>
        <v>5781824981785.8008</v>
      </c>
      <c r="AJ59" s="60">
        <f t="shared" si="40"/>
        <v>5767189508621.3867</v>
      </c>
      <c r="AK59" s="60">
        <f t="shared" si="40"/>
        <v>5753367117299.4404</v>
      </c>
      <c r="AL59" s="60">
        <f t="shared" si="40"/>
        <v>5741170889662.4287</v>
      </c>
      <c r="AM59" s="60">
        <f t="shared" si="40"/>
        <v>5729787743867.8867</v>
      </c>
      <c r="AN59" s="60">
        <f t="shared" si="40"/>
        <v>5718404598073.3428</v>
      </c>
    </row>
    <row r="60" spans="6:40">
      <c r="I60" s="1" t="s">
        <v>81</v>
      </c>
      <c r="J60" s="7" cm="1">
        <f t="array" ref="J60">TREND($O60:$T60,$O$3:$T$3,J$3)</f>
        <v>0</v>
      </c>
      <c r="K60" s="7">
        <v>0</v>
      </c>
      <c r="L60" s="7">
        <v>0</v>
      </c>
      <c r="M60" s="7">
        <v>0</v>
      </c>
      <c r="N60" s="7">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c r="I61" s="1" t="s">
        <v>162</v>
      </c>
      <c r="J61" s="7" cm="1">
        <f t="array" ref="J61">TREND($O61:$T61,$O$3:$T$3,J$3)</f>
        <v>0</v>
      </c>
      <c r="K61" s="7">
        <v>0</v>
      </c>
      <c r="L61" s="7">
        <v>0</v>
      </c>
      <c r="M61" s="7">
        <v>0</v>
      </c>
      <c r="N61" s="7">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c r="I62" s="1" t="s">
        <v>446</v>
      </c>
      <c r="J62" s="7" cm="1">
        <f t="array" ref="J62">TREND($O62:$T62,$O$3:$T$3,J$3)</f>
        <v>0</v>
      </c>
      <c r="K62" s="7">
        <v>0</v>
      </c>
      <c r="L62" s="7">
        <v>0</v>
      </c>
      <c r="M62" s="7">
        <v>0</v>
      </c>
      <c r="N62" s="7">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c r="I63" s="1" t="s">
        <v>447</v>
      </c>
      <c r="J63" s="7" cm="1">
        <f t="array" ref="J63">TREND($O63:$T63,$O$3:$T$3,J$3)</f>
        <v>0</v>
      </c>
      <c r="K63" s="7">
        <v>0</v>
      </c>
      <c r="L63" s="7">
        <v>0</v>
      </c>
      <c r="M63" s="7">
        <v>0</v>
      </c>
      <c r="N63" s="7">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c r="H64" s="8" t="s">
        <v>221</v>
      </c>
      <c r="I64" s="1" t="s">
        <v>448</v>
      </c>
      <c r="J64" s="60" cm="1">
        <f t="array" ref="J64">TREND($O64:$T64,$O$3:$T$3,J$3)</f>
        <v>53509496825525</v>
      </c>
      <c r="K64" s="60">
        <f t="shared" ref="K64" si="41">INDEX(Table4,MATCH($H64,Table4_A,0),MATCH(K$55,Table4_1,0))*Percent_urban*quadrillion</f>
        <v>59614347607868.523</v>
      </c>
      <c r="L64" s="60">
        <f t="shared" ref="L64:N64" si="42">INDEX(Table4_22,MATCH($H64,Table4_A_22,0),MATCH(L$55,Table4_1_22,0))*Percent_urban*quadrillion</f>
        <v>59794038695053.828</v>
      </c>
      <c r="M64" s="60">
        <f t="shared" si="42"/>
        <v>60071299603335.227</v>
      </c>
      <c r="N64" s="60">
        <f t="shared" si="42"/>
        <v>61012035295070.016</v>
      </c>
      <c r="O64" s="60">
        <f t="shared" ref="O64:AN64" si="43">INDEX(Table4_22,MATCH($H64,Table4_A_22,0),MATCH(O$55,Table4_1_22,0))*Percent_urban*quadrillion</f>
        <v>62580470169189.664</v>
      </c>
      <c r="P64" s="60">
        <f t="shared" si="43"/>
        <v>64410717396583.813</v>
      </c>
      <c r="Q64" s="60">
        <f t="shared" si="43"/>
        <v>66319020480854.852</v>
      </c>
      <c r="R64" s="60">
        <f t="shared" si="43"/>
        <v>68184230227475.109</v>
      </c>
      <c r="S64" s="60">
        <f t="shared" si="43"/>
        <v>69963253298793.813</v>
      </c>
      <c r="T64" s="60">
        <f t="shared" si="43"/>
        <v>71637388812434.234</v>
      </c>
      <c r="U64" s="60">
        <f t="shared" si="43"/>
        <v>73221272241560.75</v>
      </c>
      <c r="V64" s="60">
        <f t="shared" si="43"/>
        <v>74736856795920.016</v>
      </c>
      <c r="W64" s="60">
        <f t="shared" si="43"/>
        <v>76193086375779.172</v>
      </c>
      <c r="X64" s="60">
        <f t="shared" si="43"/>
        <v>77615979600097.141</v>
      </c>
      <c r="Y64" s="60">
        <f t="shared" si="43"/>
        <v>79056760624949.406</v>
      </c>
      <c r="Z64" s="60">
        <f t="shared" si="43"/>
        <v>80548765805877.109</v>
      </c>
      <c r="AA64" s="60">
        <f t="shared" si="43"/>
        <v>82076546587873.391</v>
      </c>
      <c r="AB64" s="60">
        <f t="shared" si="43"/>
        <v>83603514288027.188</v>
      </c>
      <c r="AC64" s="60">
        <f t="shared" si="43"/>
        <v>85165444507407.109</v>
      </c>
      <c r="AD64" s="60">
        <f t="shared" si="43"/>
        <v>86746075609163.766</v>
      </c>
      <c r="AE64" s="60">
        <f t="shared" si="43"/>
        <v>88337276774872.5</v>
      </c>
      <c r="AF64" s="60">
        <f t="shared" si="43"/>
        <v>89943926495588.109</v>
      </c>
      <c r="AG64" s="60">
        <f t="shared" si="43"/>
        <v>91596108799481.906</v>
      </c>
      <c r="AH64" s="60">
        <f t="shared" si="43"/>
        <v>93299515259451.141</v>
      </c>
      <c r="AI64" s="60">
        <f t="shared" si="43"/>
        <v>95024061847324.531</v>
      </c>
      <c r="AJ64" s="60">
        <f t="shared" si="43"/>
        <v>96703075852019.75</v>
      </c>
      <c r="AK64" s="60">
        <f t="shared" si="43"/>
        <v>98411360803043.781</v>
      </c>
      <c r="AL64" s="60">
        <f t="shared" si="43"/>
        <v>100140785881971.98</v>
      </c>
      <c r="AM64" s="60">
        <f t="shared" si="43"/>
        <v>101897042661701.59</v>
      </c>
      <c r="AN64" s="60">
        <f t="shared" si="43"/>
        <v>103675252651177.86</v>
      </c>
    </row>
    <row r="65" spans="8:40">
      <c r="I65" s="1" t="s">
        <v>449</v>
      </c>
      <c r="J65" s="7" cm="1">
        <f t="array" ref="J65">TREND($O65:$T65,$O$3:$T$3,J$3)</f>
        <v>0</v>
      </c>
      <c r="K65" s="7">
        <v>0</v>
      </c>
      <c r="L65" s="7">
        <v>0</v>
      </c>
      <c r="M65" s="7">
        <v>0</v>
      </c>
      <c r="N65" s="7">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c r="H67" s="1" t="s">
        <v>589</v>
      </c>
    </row>
    <row r="68" spans="8:40">
      <c r="I68" s="1" t="s">
        <v>75</v>
      </c>
      <c r="J68" s="1" cm="1">
        <f t="array" ref="J68">TREND($O68:$T68,$O$3:$T$3,J$3)</f>
        <v>2020</v>
      </c>
      <c r="K68" s="1">
        <v>2021</v>
      </c>
      <c r="L68" s="1">
        <v>2022</v>
      </c>
      <c r="M68" s="1">
        <v>2023</v>
      </c>
      <c r="N68" s="1">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c r="H69" s="8" t="s">
        <v>250</v>
      </c>
      <c r="I69" s="1" t="s">
        <v>76</v>
      </c>
      <c r="J69" s="60" cm="1">
        <f t="array" ref="J69">TREND($O69:$T69,$O$3:$T$3,J$3)</f>
        <v>126765055062776.5</v>
      </c>
      <c r="K69" s="60">
        <f t="shared" ref="K69" si="44">INDEX(Table4,MATCH($H69,Table4_A,0),MATCH(K$68,Table4_1,0))*Percent_rural*quadrillion</f>
        <v>131641972314417.55</v>
      </c>
      <c r="L69" s="60">
        <f t="shared" ref="L69:N69" si="45">INDEX(Table4_22,MATCH($H69,Table4_A_22,0),MATCH(L$68,Table4_1_22,0))*Percent_rural*quadrillion</f>
        <v>139369916619444.64</v>
      </c>
      <c r="M69" s="60">
        <f t="shared" si="45"/>
        <v>139071782158180.2</v>
      </c>
      <c r="N69" s="60">
        <f t="shared" si="45"/>
        <v>122912146685015.8</v>
      </c>
      <c r="O69" s="60">
        <f t="shared" ref="O69:AN69" si="46">INDEX(Table4_22,MATCH($H69,Table4_A_22,0),MATCH(O$68,Table4_1_22,0))*Percent_rural*quadrillion</f>
        <v>122795696672872.98</v>
      </c>
      <c r="P69" s="60">
        <f t="shared" si="46"/>
        <v>122568217275155.83</v>
      </c>
      <c r="Q69" s="60">
        <f t="shared" si="46"/>
        <v>122097744272646.31</v>
      </c>
      <c r="R69" s="60">
        <f t="shared" si="46"/>
        <v>121386146846919.77</v>
      </c>
      <c r="S69" s="60">
        <f t="shared" si="46"/>
        <v>120438471788229.56</v>
      </c>
      <c r="T69" s="60">
        <f t="shared" si="46"/>
        <v>119225933700315.7</v>
      </c>
      <c r="U69" s="60">
        <f t="shared" si="46"/>
        <v>117850589897190.95</v>
      </c>
      <c r="V69" s="60">
        <f t="shared" si="46"/>
        <v>116454311260422.56</v>
      </c>
      <c r="W69" s="60">
        <f t="shared" si="46"/>
        <v>114979340079332.95</v>
      </c>
      <c r="X69" s="60">
        <f t="shared" si="46"/>
        <v>113442125151784.98</v>
      </c>
      <c r="Y69" s="60">
        <f t="shared" si="46"/>
        <v>112120613778029.63</v>
      </c>
      <c r="Z69" s="60">
        <f t="shared" si="46"/>
        <v>110865271432040.81</v>
      </c>
      <c r="AA69" s="60">
        <f t="shared" si="46"/>
        <v>109636284546264.08</v>
      </c>
      <c r="AB69" s="60">
        <f t="shared" si="46"/>
        <v>108304679592001.95</v>
      </c>
      <c r="AC69" s="60">
        <f t="shared" si="46"/>
        <v>106968588601959.03</v>
      </c>
      <c r="AD69" s="60">
        <f t="shared" si="46"/>
        <v>105722966000161.91</v>
      </c>
      <c r="AE69" s="60">
        <f t="shared" si="46"/>
        <v>104547998461912.08</v>
      </c>
      <c r="AF69" s="60">
        <f t="shared" si="46"/>
        <v>103443125232736.98</v>
      </c>
      <c r="AG69" s="60">
        <f t="shared" si="46"/>
        <v>102399374241075.05</v>
      </c>
      <c r="AH69" s="60">
        <f t="shared" si="46"/>
        <v>101349641868372.05</v>
      </c>
      <c r="AI69" s="60">
        <f t="shared" si="46"/>
        <v>100314489111956.63</v>
      </c>
      <c r="AJ69" s="60">
        <f t="shared" si="46"/>
        <v>99324757467821.578</v>
      </c>
      <c r="AK69" s="60">
        <f t="shared" si="46"/>
        <v>98392409698049.047</v>
      </c>
      <c r="AL69" s="60">
        <f t="shared" si="46"/>
        <v>97465108718529.906</v>
      </c>
      <c r="AM69" s="60">
        <f t="shared" si="46"/>
        <v>96578368979195.344</v>
      </c>
      <c r="AN69" s="60">
        <f t="shared" si="46"/>
        <v>95773873229175.094</v>
      </c>
    </row>
    <row r="70" spans="8:40">
      <c r="I70" s="1" t="s">
        <v>77</v>
      </c>
      <c r="J70" s="7" cm="1">
        <f t="array" ref="J70">TREND($O70:$T70,$O$3:$T$3,J$3)</f>
        <v>0</v>
      </c>
      <c r="K70" s="7">
        <v>0</v>
      </c>
      <c r="L70" s="7">
        <v>0</v>
      </c>
      <c r="M70" s="7">
        <v>0</v>
      </c>
      <c r="N70" s="7">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c r="H71" s="8" t="s">
        <v>235</v>
      </c>
      <c r="I71" s="1" t="s">
        <v>78</v>
      </c>
      <c r="J71" s="60" cm="1">
        <f t="array" ref="J71">TREND($O71:$T71,$O$3:$T$3,J$3)</f>
        <v>671970589411479</v>
      </c>
      <c r="K71" s="60">
        <f t="shared" ref="K71:K72" si="47">INDEX(Table4,MATCH($H71,Table4_A,0),MATCH(K$68,Table4_1,0))*Percent_rural*quadrillion</f>
        <v>669654673439650.38</v>
      </c>
      <c r="L71" s="60">
        <f t="shared" ref="L71:N72" si="48">INDEX(Table4_22,MATCH($H71,Table4_A_22,0),MATCH(L$68,Table4_1_22,0))*Percent_rural*quadrillion</f>
        <v>698500070428236</v>
      </c>
      <c r="M71" s="60">
        <f t="shared" si="48"/>
        <v>707697191451469.25</v>
      </c>
      <c r="N71" s="60">
        <f t="shared" si="48"/>
        <v>658738092285274.75</v>
      </c>
      <c r="O71" s="60">
        <f t="shared" ref="O71:T72" si="49">INDEX(Table4_22,MATCH($H71,Table4_A_22,0),MATCH(O$68,Table4_1_22,0))*Percent_rural*quadrillion</f>
        <v>660713069537764.13</v>
      </c>
      <c r="P71" s="60">
        <f t="shared" si="49"/>
        <v>661838316846110.25</v>
      </c>
      <c r="Q71" s="60">
        <f t="shared" si="49"/>
        <v>661368778434388.38</v>
      </c>
      <c r="R71" s="60">
        <f t="shared" si="49"/>
        <v>659691001052376</v>
      </c>
      <c r="S71" s="60">
        <f t="shared" si="49"/>
        <v>656259370598235.25</v>
      </c>
      <c r="T71" s="60">
        <f t="shared" si="49"/>
        <v>651951280903424.25</v>
      </c>
      <c r="U71" s="60">
        <f t="shared" ref="U71:AD72" si="50">INDEX(Table4_22,MATCH($H71,Table4_A_22,0),MATCH(U$68,Table4_1_22,0))*Percent_rural*quadrillion</f>
        <v>647154587144823.13</v>
      </c>
      <c r="V71" s="60">
        <f t="shared" si="50"/>
        <v>642350977414393.13</v>
      </c>
      <c r="W71" s="60">
        <f t="shared" si="50"/>
        <v>639108695053833</v>
      </c>
      <c r="X71" s="60">
        <f t="shared" si="50"/>
        <v>635326219218003.75</v>
      </c>
      <c r="Y71" s="60">
        <f t="shared" si="50"/>
        <v>631673651501659.5</v>
      </c>
      <c r="Z71" s="60">
        <f t="shared" si="50"/>
        <v>628428752286893.88</v>
      </c>
      <c r="AA71" s="60">
        <f t="shared" si="50"/>
        <v>625449089937667</v>
      </c>
      <c r="AB71" s="60">
        <f t="shared" si="50"/>
        <v>622332416578968.63</v>
      </c>
      <c r="AC71" s="60">
        <f t="shared" si="50"/>
        <v>619596121670849.13</v>
      </c>
      <c r="AD71" s="60">
        <f t="shared" si="50"/>
        <v>617111979357241.13</v>
      </c>
      <c r="AE71" s="60">
        <f t="shared" ref="AE71:AN72" si="51">INDEX(Table4_22,MATCH($H71,Table4_A_22,0),MATCH(AE$68,Table4_1_22,0))*Percent_rural*quadrillion</f>
        <v>614714380150570.63</v>
      </c>
      <c r="AF71" s="60">
        <f t="shared" si="51"/>
        <v>612460147170727.75</v>
      </c>
      <c r="AG71" s="60">
        <f t="shared" si="51"/>
        <v>610543301465231</v>
      </c>
      <c r="AH71" s="60">
        <f t="shared" si="51"/>
        <v>608913562049704.5</v>
      </c>
      <c r="AI71" s="60">
        <f t="shared" si="51"/>
        <v>607075782724844.13</v>
      </c>
      <c r="AJ71" s="60">
        <f t="shared" si="51"/>
        <v>604610519145147</v>
      </c>
      <c r="AK71" s="60">
        <f t="shared" si="51"/>
        <v>602395165142070.75</v>
      </c>
      <c r="AL71" s="60">
        <f t="shared" si="51"/>
        <v>600500188861005.38</v>
      </c>
      <c r="AM71" s="60">
        <f t="shared" si="51"/>
        <v>598614932324131.75</v>
      </c>
      <c r="AN71" s="60">
        <f t="shared" si="51"/>
        <v>596478644701691.88</v>
      </c>
    </row>
    <row r="72" spans="8:40">
      <c r="H72" s="8" t="s">
        <v>228</v>
      </c>
      <c r="I72" s="1" t="s">
        <v>79</v>
      </c>
      <c r="J72" s="60" cm="1">
        <f t="array" ref="J72">TREND($O72:$T72,$O$3:$T$3,J$3)</f>
        <v>65824617709983.75</v>
      </c>
      <c r="K72" s="60">
        <f t="shared" si="47"/>
        <v>68235968752529.742</v>
      </c>
      <c r="L72" s="60">
        <f t="shared" si="48"/>
        <v>71388717315631.828</v>
      </c>
      <c r="M72" s="60">
        <f t="shared" si="48"/>
        <v>71689842467416.813</v>
      </c>
      <c r="N72" s="60">
        <f t="shared" si="48"/>
        <v>61213827410345.664</v>
      </c>
      <c r="O72" s="60">
        <f t="shared" si="49"/>
        <v>60423911276612.969</v>
      </c>
      <c r="P72" s="60">
        <f t="shared" si="49"/>
        <v>59468946409779.008</v>
      </c>
      <c r="Q72" s="60">
        <f t="shared" si="49"/>
        <v>58440335788877.188</v>
      </c>
      <c r="R72" s="60">
        <f t="shared" si="49"/>
        <v>57361257265441.594</v>
      </c>
      <c r="S72" s="60">
        <f t="shared" si="49"/>
        <v>56237505302355.703</v>
      </c>
      <c r="T72" s="60">
        <f t="shared" si="49"/>
        <v>55129641382660.078</v>
      </c>
      <c r="U72" s="60">
        <f t="shared" si="50"/>
        <v>54033553306889.016</v>
      </c>
      <c r="V72" s="60">
        <f t="shared" si="50"/>
        <v>52966250627377.961</v>
      </c>
      <c r="W72" s="60">
        <f t="shared" si="50"/>
        <v>52003995952400.234</v>
      </c>
      <c r="X72" s="60">
        <f t="shared" si="50"/>
        <v>51029217760867.805</v>
      </c>
      <c r="Y72" s="60">
        <f t="shared" si="50"/>
        <v>50065280822472.266</v>
      </c>
      <c r="Z72" s="60">
        <f t="shared" si="50"/>
        <v>49140596697158.586</v>
      </c>
      <c r="AA72" s="60">
        <f t="shared" si="50"/>
        <v>48247875576782.961</v>
      </c>
      <c r="AB72" s="60">
        <f t="shared" si="50"/>
        <v>47385061361612.555</v>
      </c>
      <c r="AC72" s="60">
        <f t="shared" si="50"/>
        <v>46545798834291.258</v>
      </c>
      <c r="AD72" s="60">
        <f t="shared" si="50"/>
        <v>45741676920586.086</v>
      </c>
      <c r="AE72" s="60">
        <f t="shared" si="51"/>
        <v>44945031733182.219</v>
      </c>
      <c r="AF72" s="60">
        <f t="shared" si="51"/>
        <v>44161096980490.57</v>
      </c>
      <c r="AG72" s="60">
        <f t="shared" si="51"/>
        <v>43368003238079.813</v>
      </c>
      <c r="AH72" s="60">
        <f t="shared" si="51"/>
        <v>42602386464826.359</v>
      </c>
      <c r="AI72" s="60">
        <f t="shared" si="51"/>
        <v>41837704282360.563</v>
      </c>
      <c r="AJ72" s="60">
        <f t="shared" si="51"/>
        <v>41059563992552.414</v>
      </c>
      <c r="AK72" s="60">
        <f t="shared" si="51"/>
        <v>40284227475107.258</v>
      </c>
      <c r="AL72" s="60">
        <f t="shared" si="51"/>
        <v>39525339755524.977</v>
      </c>
      <c r="AM72" s="60">
        <f t="shared" si="51"/>
        <v>38770564235408.398</v>
      </c>
      <c r="AN72" s="60">
        <f t="shared" si="51"/>
        <v>38035041285517.688</v>
      </c>
    </row>
    <row r="73" spans="8:40">
      <c r="I73" s="1" t="s">
        <v>81</v>
      </c>
      <c r="J73" s="7" cm="1">
        <f t="array" ref="J73">TREND($O73:$T73,$O$3:$T$3,J$3)</f>
        <v>0</v>
      </c>
      <c r="K73" s="7">
        <v>0</v>
      </c>
      <c r="L73" s="7">
        <v>0</v>
      </c>
      <c r="M73" s="7">
        <v>0</v>
      </c>
      <c r="N73" s="7">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c r="H74" s="8" t="s">
        <v>219</v>
      </c>
      <c r="I74" s="1" t="s">
        <v>162</v>
      </c>
      <c r="J74" s="60" cm="1">
        <f t="array" ref="J74">TREND($O74:$T74,$O$3:$T$3,J$3)</f>
        <v>102657935458130</v>
      </c>
      <c r="K74" s="60">
        <f t="shared" ref="K74" si="52">INDEX(Table4,MATCH($H74,Table4_A,0),MATCH(K$68,Table4_1,0))*Percent_rural*quadrillion</f>
        <v>86684417064680.641</v>
      </c>
      <c r="L74" s="60">
        <f t="shared" ref="L74:N74" si="53">INDEX(Table4_22,MATCH($H74,Table4_A_22,0),MATCH(L$68,Table4_1_22,0))*Percent_rural*quadrillion</f>
        <v>100736176475350.11</v>
      </c>
      <c r="M74" s="60">
        <f t="shared" si="53"/>
        <v>107367658868291.09</v>
      </c>
      <c r="N74" s="60">
        <f t="shared" si="53"/>
        <v>95901725248927.375</v>
      </c>
      <c r="O74" s="60">
        <f t="shared" ref="O74:AN74" si="54">INDEX(Table4_22,MATCH($H74,Table4_A_22,0),MATCH(O$68,Table4_1_22,0))*Percent_rural*quadrillion</f>
        <v>91564476321541.328</v>
      </c>
      <c r="P74" s="60">
        <f t="shared" si="54"/>
        <v>88256024933214.594</v>
      </c>
      <c r="Q74" s="60">
        <f t="shared" si="54"/>
        <v>85541225613211.359</v>
      </c>
      <c r="R74" s="60">
        <f t="shared" si="54"/>
        <v>83215963733506.031</v>
      </c>
      <c r="S74" s="60">
        <f t="shared" si="54"/>
        <v>81335006314255.641</v>
      </c>
      <c r="T74" s="60">
        <f t="shared" si="54"/>
        <v>79630312717558.484</v>
      </c>
      <c r="U74" s="60">
        <f t="shared" si="54"/>
        <v>78114780296284.297</v>
      </c>
      <c r="V74" s="60">
        <f t="shared" si="54"/>
        <v>76599808629482.719</v>
      </c>
      <c r="W74" s="60">
        <f t="shared" si="54"/>
        <v>75259044685501.5</v>
      </c>
      <c r="X74" s="60">
        <f t="shared" si="54"/>
        <v>73839962033514.109</v>
      </c>
      <c r="Y74" s="60">
        <f t="shared" si="54"/>
        <v>72433402898081.438</v>
      </c>
      <c r="Z74" s="60">
        <f t="shared" si="54"/>
        <v>71016750182141.984</v>
      </c>
      <c r="AA74" s="60">
        <f t="shared" si="54"/>
        <v>69693743463126.359</v>
      </c>
      <c r="AB74" s="60">
        <f t="shared" si="54"/>
        <v>68427559864000.648</v>
      </c>
      <c r="AC74" s="60">
        <f t="shared" si="54"/>
        <v>67211096494778.594</v>
      </c>
      <c r="AD74" s="60">
        <f t="shared" si="54"/>
        <v>66027156884967.211</v>
      </c>
      <c r="AE74" s="60">
        <f t="shared" si="54"/>
        <v>64976863757791.633</v>
      </c>
      <c r="AF74" s="60">
        <f t="shared" si="54"/>
        <v>63939281065328.258</v>
      </c>
      <c r="AG74" s="60">
        <f t="shared" si="54"/>
        <v>63001512668987.289</v>
      </c>
      <c r="AH74" s="60">
        <f t="shared" si="54"/>
        <v>62058884400550.469</v>
      </c>
      <c r="AI74" s="60">
        <f t="shared" si="54"/>
        <v>61222799481907.227</v>
      </c>
      <c r="AJ74" s="60">
        <f t="shared" si="54"/>
        <v>60537557516392.773</v>
      </c>
      <c r="AK74" s="60">
        <f t="shared" si="54"/>
        <v>59829324617501.82</v>
      </c>
      <c r="AL74" s="60">
        <f t="shared" si="54"/>
        <v>59082773496316.688</v>
      </c>
      <c r="AM74" s="60">
        <f t="shared" si="54"/>
        <v>58339213065652.078</v>
      </c>
      <c r="AN74" s="60">
        <f t="shared" si="54"/>
        <v>57575278555816.398</v>
      </c>
    </row>
    <row r="75" spans="8:40">
      <c r="I75" s="1" t="s">
        <v>446</v>
      </c>
      <c r="J75" s="7" cm="1">
        <f t="array" ref="J75">TREND($O75:$T75,$O$3:$T$3,J$3)</f>
        <v>0</v>
      </c>
      <c r="K75" s="7">
        <v>0</v>
      </c>
      <c r="L75" s="7">
        <v>0</v>
      </c>
      <c r="M75" s="7">
        <v>0</v>
      </c>
      <c r="N75" s="7">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c r="I76" s="1" t="s">
        <v>447</v>
      </c>
      <c r="J76" s="7" cm="1">
        <f t="array" ref="J76">TREND($O76:$T76,$O$3:$T$3,J$3)</f>
        <v>0</v>
      </c>
      <c r="K76" s="7">
        <v>0</v>
      </c>
      <c r="L76" s="7">
        <v>0</v>
      </c>
      <c r="M76" s="7">
        <v>0</v>
      </c>
      <c r="N76" s="7">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c r="H77" s="8" t="s">
        <v>224</v>
      </c>
      <c r="I77" s="1" t="s">
        <v>448</v>
      </c>
      <c r="J77" s="60" cm="1">
        <f t="array" ref="J77">TREND($O77:$T77,$O$3:$T$3,J$3)</f>
        <v>57621972491741</v>
      </c>
      <c r="K77" s="60">
        <f t="shared" ref="K77" si="55">INDEX(Table4,MATCH($H77,Table4_A,0),MATCH(K$68,Table4_1,0))*Percent_rural*quadrillion</f>
        <v>60786906338541.242</v>
      </c>
      <c r="L77" s="60">
        <f t="shared" ref="L77:N77" si="56">INDEX(Table4_22,MATCH($H77,Table4_A_22,0),MATCH(L$68,Table4_1_22,0))*Percent_rural*quadrillion</f>
        <v>63625632396988.586</v>
      </c>
      <c r="M77" s="60">
        <f t="shared" si="56"/>
        <v>61421867319679.43</v>
      </c>
      <c r="N77" s="60">
        <f t="shared" si="56"/>
        <v>55766658463531.125</v>
      </c>
      <c r="O77" s="60">
        <f t="shared" ref="O77:AN77" si="57">INDEX(Table4_22,MATCH($H77,Table4_A_22,0),MATCH(O$68,Table4_1_22,0))*Percent_rural*quadrillion</f>
        <v>55048892738606.008</v>
      </c>
      <c r="P77" s="60">
        <f t="shared" si="57"/>
        <v>54527951833562.695</v>
      </c>
      <c r="Q77" s="60">
        <f t="shared" si="57"/>
        <v>54073179956285.914</v>
      </c>
      <c r="R77" s="60">
        <f t="shared" si="57"/>
        <v>53586445074071.07</v>
      </c>
      <c r="S77" s="60">
        <f t="shared" si="57"/>
        <v>53048868453007.367</v>
      </c>
      <c r="T77" s="60">
        <f t="shared" si="57"/>
        <v>52457646320731.797</v>
      </c>
      <c r="U77" s="60">
        <f t="shared" si="57"/>
        <v>51833339674572.977</v>
      </c>
      <c r="V77" s="60">
        <f t="shared" si="57"/>
        <v>51187537440297.898</v>
      </c>
      <c r="W77" s="60">
        <f t="shared" si="57"/>
        <v>50593324617501.82</v>
      </c>
      <c r="X77" s="60">
        <f t="shared" si="57"/>
        <v>49984906014733.258</v>
      </c>
      <c r="Y77" s="60">
        <f t="shared" si="57"/>
        <v>49412749534526.023</v>
      </c>
      <c r="Z77" s="60">
        <f t="shared" si="57"/>
        <v>48884144985023.883</v>
      </c>
      <c r="AA77" s="60">
        <f t="shared" si="57"/>
        <v>48395914757548.773</v>
      </c>
      <c r="AB77" s="60">
        <f t="shared" si="57"/>
        <v>47920208046628.344</v>
      </c>
      <c r="AC77" s="60">
        <f t="shared" si="57"/>
        <v>47471230632235.086</v>
      </c>
      <c r="AD77" s="60">
        <f t="shared" si="57"/>
        <v>47047861005423.781</v>
      </c>
      <c r="AE77" s="60">
        <f t="shared" si="57"/>
        <v>46644678539626</v>
      </c>
      <c r="AF77" s="60">
        <f t="shared" si="57"/>
        <v>46246729782239.125</v>
      </c>
      <c r="AG77" s="60">
        <f t="shared" si="57"/>
        <v>45866912086132.922</v>
      </c>
      <c r="AH77" s="60">
        <f t="shared" si="57"/>
        <v>45506907714725.164</v>
      </c>
      <c r="AI77" s="60">
        <f t="shared" si="57"/>
        <v>45158305350926.898</v>
      </c>
      <c r="AJ77" s="60">
        <f t="shared" si="57"/>
        <v>44805590787662.914</v>
      </c>
      <c r="AK77" s="60">
        <f t="shared" si="57"/>
        <v>44464838986481.016</v>
      </c>
      <c r="AL77" s="60">
        <f t="shared" si="57"/>
        <v>44127825548449.766</v>
      </c>
      <c r="AM77" s="60">
        <f t="shared" si="57"/>
        <v>43800158018295.148</v>
      </c>
      <c r="AN77" s="60">
        <f t="shared" si="57"/>
        <v>43483518659434.953</v>
      </c>
    </row>
    <row r="78" spans="8:40">
      <c r="I78" s="1" t="s">
        <v>449</v>
      </c>
      <c r="J78" s="7" cm="1">
        <f t="array" ref="J78">TREND($O78:$T78,$O$3:$T$3,J$3)</f>
        <v>0</v>
      </c>
      <c r="K78" s="7">
        <v>0</v>
      </c>
      <c r="L78" s="7">
        <v>0</v>
      </c>
      <c r="M78" s="7">
        <v>0</v>
      </c>
      <c r="N78" s="7">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c r="H80" s="1" t="s">
        <v>590</v>
      </c>
    </row>
    <row r="81" spans="7:40">
      <c r="I81" s="1" t="s">
        <v>75</v>
      </c>
      <c r="J81" s="1" cm="1">
        <f t="array" ref="J81">TREND($O81:$T81,$O$3:$T$3,J$3)</f>
        <v>2020</v>
      </c>
      <c r="K81" s="1">
        <v>2021</v>
      </c>
      <c r="L81" s="1">
        <v>2022</v>
      </c>
      <c r="M81" s="1">
        <v>2023</v>
      </c>
      <c r="N81" s="1">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c r="G82" s="8" t="s">
        <v>238</v>
      </c>
      <c r="H82" s="8" t="s">
        <v>249</v>
      </c>
      <c r="I82" s="1" t="s">
        <v>76</v>
      </c>
      <c r="J82" s="60" cm="1">
        <f t="array" ref="J82">TREND($O82:$T82,$O$3:$T$3,J$3)</f>
        <v>167346945253322</v>
      </c>
      <c r="K82" s="60">
        <f t="shared" ref="K82" si="58">SUM(INDEX(Table4,MATCH($G82,Table4_A,0),MATCH(K$16,Table4_1,0)),INDEX(Table4,MATCH($H82,Table4_A,0),MATCH(K$16,Table4_1,0)))*Percent_rural*quadrillion</f>
        <v>165173594430502.69</v>
      </c>
      <c r="L82" s="60">
        <f t="shared" ref="L82:N82" si="59">SUM(INDEX(Table4_22,MATCH($G82,Table4_A_22,0),MATCH(L$16,Table4_1_22,0)),INDEX(Table4_22,MATCH($H82,Table4_A_22,0),MATCH(L$16,Table4_1_22,0)))*Percent_rural*quadrillion</f>
        <v>176219336031733.19</v>
      </c>
      <c r="M82" s="60">
        <f t="shared" si="59"/>
        <v>153916261474945.38</v>
      </c>
      <c r="N82" s="60">
        <f t="shared" si="59"/>
        <v>181317528778434.38</v>
      </c>
      <c r="O82" s="60">
        <f t="shared" ref="O82:AN82" si="60">SUM(INDEX(Table4_22,MATCH($G82,Table4_A_22,0),MATCH(O$16,Table4_1_22,0)),INDEX(Table4_22,MATCH($H82,Table4_A_22,0),MATCH(O$16,Table4_1_22,0)))*Percent_rural*quadrillion</f>
        <v>185262810329474.63</v>
      </c>
      <c r="P82" s="60">
        <f t="shared" si="60"/>
        <v>189004351088804.34</v>
      </c>
      <c r="Q82" s="60">
        <f t="shared" si="60"/>
        <v>192875613049461.69</v>
      </c>
      <c r="R82" s="60">
        <f t="shared" si="60"/>
        <v>196635845624544.66</v>
      </c>
      <c r="S82" s="60">
        <f t="shared" si="60"/>
        <v>200145234032218.91</v>
      </c>
      <c r="T82" s="60">
        <f t="shared" si="60"/>
        <v>203186205537116.47</v>
      </c>
      <c r="U82" s="60">
        <f t="shared" si="60"/>
        <v>206005679025337.97</v>
      </c>
      <c r="V82" s="60">
        <f t="shared" si="60"/>
        <v>208998051809277.13</v>
      </c>
      <c r="W82" s="60">
        <f t="shared" si="60"/>
        <v>211945003480935.81</v>
      </c>
      <c r="X82" s="60">
        <f t="shared" si="60"/>
        <v>214903917914676.59</v>
      </c>
      <c r="Y82" s="60">
        <f t="shared" si="60"/>
        <v>218268631668420.66</v>
      </c>
      <c r="Z82" s="60">
        <f t="shared" si="60"/>
        <v>221942134218408.47</v>
      </c>
      <c r="AA82" s="60">
        <f t="shared" si="60"/>
        <v>225791339836476.97</v>
      </c>
      <c r="AB82" s="60">
        <f t="shared" si="60"/>
        <v>229574563344936.44</v>
      </c>
      <c r="AC82" s="60">
        <f t="shared" si="60"/>
        <v>233441713106128.06</v>
      </c>
      <c r="AD82" s="60">
        <f t="shared" si="60"/>
        <v>237378209503764.28</v>
      </c>
      <c r="AE82" s="60">
        <f t="shared" si="60"/>
        <v>241354893305270</v>
      </c>
      <c r="AF82" s="60">
        <f t="shared" si="60"/>
        <v>245460550635473.19</v>
      </c>
      <c r="AG82" s="60">
        <f t="shared" si="60"/>
        <v>249713873310127.06</v>
      </c>
      <c r="AH82" s="60">
        <f t="shared" si="60"/>
        <v>254167946085971.03</v>
      </c>
      <c r="AI82" s="60">
        <f t="shared" si="60"/>
        <v>258811180037237.91</v>
      </c>
      <c r="AJ82" s="60">
        <f t="shared" si="60"/>
        <v>263859278717720.34</v>
      </c>
      <c r="AK82" s="60">
        <f t="shared" si="60"/>
        <v>269141585849591.19</v>
      </c>
      <c r="AL82" s="60">
        <f t="shared" si="60"/>
        <v>274556044118837.5</v>
      </c>
      <c r="AM82" s="60">
        <f t="shared" si="60"/>
        <v>279979661377802.94</v>
      </c>
      <c r="AN82" s="60">
        <f t="shared" si="60"/>
        <v>285638047842629.31</v>
      </c>
    </row>
    <row r="83" spans="7:40">
      <c r="I83" s="1" t="s">
        <v>77</v>
      </c>
      <c r="J83" s="7" cm="1">
        <f t="array" ref="J83">TREND($O83:$T83,$O$3:$T$3,J$3)</f>
        <v>0</v>
      </c>
      <c r="K83" s="7">
        <v>0</v>
      </c>
      <c r="L83" s="7">
        <v>0</v>
      </c>
      <c r="M83" s="7">
        <v>0</v>
      </c>
      <c r="N83" s="7">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c r="H84" s="8" t="s">
        <v>234</v>
      </c>
      <c r="I84" s="1" t="s">
        <v>78</v>
      </c>
      <c r="J84" s="60" cm="1">
        <f t="array" ref="J84">TREND($O84:$T84,$O$3:$T$3,J$3)</f>
        <v>11164069695813.242</v>
      </c>
      <c r="K84" s="60">
        <f t="shared" ref="K84" si="61">INDEX(Table4,MATCH($H84,Table4_A,0),MATCH(K$68,Table4_1,0))*Percent_rural*quadrillion</f>
        <v>10476575811543.754</v>
      </c>
      <c r="L84" s="60">
        <f t="shared" ref="L84:N84" si="62">INDEX(Table4_22,MATCH($H84,Table4_A_22,0),MATCH(L$68,Table4_1_22,0))*Percent_rural*quadrillion</f>
        <v>11007236460778.76</v>
      </c>
      <c r="M84" s="60">
        <f t="shared" si="62"/>
        <v>9444974500121.4277</v>
      </c>
      <c r="N84" s="60">
        <f t="shared" si="62"/>
        <v>11114340565044.928</v>
      </c>
      <c r="O84" s="60">
        <f t="shared" ref="O84:AN84" si="63">INDEX(Table4_22,MATCH($H84,Table4_A_22,0),MATCH(O$68,Table4_1_22,0))*Percent_rural*quadrillion</f>
        <v>11182191856229.258</v>
      </c>
      <c r="P84" s="60">
        <f t="shared" si="63"/>
        <v>11231164413502.793</v>
      </c>
      <c r="Q84" s="60">
        <f t="shared" si="63"/>
        <v>11259389055290.213</v>
      </c>
      <c r="R84" s="60">
        <f t="shared" si="63"/>
        <v>11267987290536.713</v>
      </c>
      <c r="S84" s="60">
        <f t="shared" si="63"/>
        <v>11259015218975.148</v>
      </c>
      <c r="T84" s="60">
        <f t="shared" si="63"/>
        <v>11233594349550.717</v>
      </c>
      <c r="U84" s="60">
        <f t="shared" si="63"/>
        <v>11194528454626.406</v>
      </c>
      <c r="V84" s="60">
        <f t="shared" si="63"/>
        <v>11152658787339.105</v>
      </c>
      <c r="W84" s="60">
        <f t="shared" si="63"/>
        <v>11106676920586.094</v>
      </c>
      <c r="X84" s="60">
        <f t="shared" si="63"/>
        <v>11068358698291.912</v>
      </c>
      <c r="Y84" s="60">
        <f t="shared" si="63"/>
        <v>11046676192018.133</v>
      </c>
      <c r="Z84" s="60">
        <f t="shared" si="63"/>
        <v>11049853800696.188</v>
      </c>
      <c r="AA84" s="60">
        <f t="shared" si="63"/>
        <v>11077891524326.074</v>
      </c>
      <c r="AB84" s="60">
        <f t="shared" si="63"/>
        <v>11108733020318.951</v>
      </c>
      <c r="AC84" s="60">
        <f t="shared" si="63"/>
        <v>11147051242613.131</v>
      </c>
      <c r="AD84" s="60">
        <f t="shared" si="63"/>
        <v>11185369464907.309</v>
      </c>
      <c r="AE84" s="60">
        <f t="shared" si="63"/>
        <v>11219388569578.238</v>
      </c>
      <c r="AF84" s="60">
        <f t="shared" si="63"/>
        <v>11258267546345.018</v>
      </c>
      <c r="AG84" s="60">
        <f t="shared" si="63"/>
        <v>11299950295474.783</v>
      </c>
      <c r="AH84" s="60">
        <f t="shared" si="63"/>
        <v>11347053671172.994</v>
      </c>
      <c r="AI84" s="60">
        <f t="shared" si="63"/>
        <v>11390044847405.488</v>
      </c>
      <c r="AJ84" s="60">
        <f t="shared" si="63"/>
        <v>11427615397069.537</v>
      </c>
      <c r="AK84" s="60">
        <f t="shared" si="63"/>
        <v>11465559783048.652</v>
      </c>
      <c r="AL84" s="60">
        <f t="shared" si="63"/>
        <v>11513597749534.525</v>
      </c>
      <c r="AM84" s="60">
        <f t="shared" si="63"/>
        <v>11564626406540.92</v>
      </c>
      <c r="AN84" s="60">
        <f t="shared" si="63"/>
        <v>11611729782239.131</v>
      </c>
    </row>
    <row r="85" spans="7:40">
      <c r="I85" s="1" t="s">
        <v>79</v>
      </c>
      <c r="J85" s="7" cm="1">
        <f t="array" ref="J85">TREND($O85:$T85,$O$3:$T$3,J$3)</f>
        <v>0</v>
      </c>
      <c r="K85" s="7">
        <v>0</v>
      </c>
      <c r="L85" s="7">
        <v>0</v>
      </c>
      <c r="M85" s="7">
        <v>0</v>
      </c>
      <c r="N85" s="7">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c r="I86" s="1" t="s">
        <v>81</v>
      </c>
      <c r="J86" s="7" cm="1">
        <f t="array" ref="J86">TREND($O86:$T86,$O$3:$T$3,J$3)</f>
        <v>0</v>
      </c>
      <c r="K86" s="7">
        <v>0</v>
      </c>
      <c r="L86" s="7">
        <v>0</v>
      </c>
      <c r="M86" s="7">
        <v>0</v>
      </c>
      <c r="N86" s="7">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c r="I87" s="1" t="s">
        <v>162</v>
      </c>
      <c r="J87" s="7" cm="1">
        <f t="array" ref="J87">TREND($O87:$T87,$O$3:$T$3,J$3)</f>
        <v>0</v>
      </c>
      <c r="K87" s="7">
        <v>0</v>
      </c>
      <c r="L87" s="7">
        <v>0</v>
      </c>
      <c r="M87" s="7">
        <v>0</v>
      </c>
      <c r="N87" s="7">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c r="I88" s="1" t="s">
        <v>446</v>
      </c>
      <c r="J88" s="7" cm="1">
        <f t="array" ref="J88">TREND($O88:$T88,$O$3:$T$3,J$3)</f>
        <v>0</v>
      </c>
      <c r="K88" s="7">
        <v>0</v>
      </c>
      <c r="L88" s="7">
        <v>0</v>
      </c>
      <c r="M88" s="7">
        <v>0</v>
      </c>
      <c r="N88" s="7">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c r="I89" s="1" t="s">
        <v>447</v>
      </c>
      <c r="J89" s="7" cm="1">
        <f t="array" ref="J89">TREND($O89:$T89,$O$3:$T$3,J$3)</f>
        <v>0</v>
      </c>
      <c r="K89" s="7">
        <v>0</v>
      </c>
      <c r="L89" s="7">
        <v>0</v>
      </c>
      <c r="M89" s="7">
        <v>0</v>
      </c>
      <c r="N89" s="7">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c r="I90" s="1" t="s">
        <v>448</v>
      </c>
      <c r="J90" s="7" cm="1">
        <f t="array" ref="J90">TREND($O90:$T90,$O$3:$T$3,J$3)</f>
        <v>0</v>
      </c>
      <c r="K90" s="7">
        <v>0</v>
      </c>
      <c r="L90" s="7">
        <v>0</v>
      </c>
      <c r="M90" s="7">
        <v>0</v>
      </c>
      <c r="N90" s="7">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c r="I91" s="1" t="s">
        <v>449</v>
      </c>
      <c r="J91" s="7" cm="1">
        <f t="array" ref="J91">TREND($O91:$T91,$O$3:$T$3,J$3)</f>
        <v>0</v>
      </c>
      <c r="K91" s="7">
        <v>0</v>
      </c>
      <c r="L91" s="7">
        <v>0</v>
      </c>
      <c r="M91" s="7">
        <v>0</v>
      </c>
      <c r="N91" s="7">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c r="H93" s="1" t="s">
        <v>591</v>
      </c>
    </row>
    <row r="94" spans="7:40">
      <c r="I94" s="1" t="s">
        <v>75</v>
      </c>
      <c r="J94" s="1" cm="1">
        <f t="array" ref="J94">TREND($O94:$T94,$O$3:$T$3,J$3)</f>
        <v>2020</v>
      </c>
      <c r="K94" s="1">
        <v>2021</v>
      </c>
      <c r="L94" s="1">
        <v>2022</v>
      </c>
      <c r="M94" s="1">
        <v>2023</v>
      </c>
      <c r="N94" s="1">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c r="H95" s="8" t="s">
        <v>243</v>
      </c>
      <c r="I95" s="1" t="s">
        <v>76</v>
      </c>
      <c r="J95" s="60" cm="1">
        <f t="array" ref="J95">TREND($O95:$T95,$O$3:$T$3,J$3)</f>
        <v>37187990501632.5</v>
      </c>
      <c r="K95" s="60">
        <f t="shared" ref="K95" si="64">INDEX(Table4,MATCH($H95,Table4_A,0),MATCH(K$68,Table4_1,0))*Percent_rural*quadrillion</f>
        <v>37845319355622.117</v>
      </c>
      <c r="L95" s="60">
        <f t="shared" ref="L95:N95" si="65">INDEX(Table4_22,MATCH($H95,Table4_A_22,0),MATCH(L$68,Table4_1_22,0))*Percent_rural*quadrillion</f>
        <v>42854725977495.344</v>
      </c>
      <c r="M95" s="60">
        <f t="shared" si="65"/>
        <v>39843474459645.43</v>
      </c>
      <c r="N95" s="60">
        <f t="shared" si="65"/>
        <v>38653553468793.008</v>
      </c>
      <c r="O95" s="60">
        <f t="shared" ref="O95:AN95" si="66">INDEX(Table4_22,MATCH($H95,Table4_A_22,0),MATCH(O$68,Table4_1_22,0))*Percent_rural*quadrillion</f>
        <v>38342334736501.258</v>
      </c>
      <c r="P95" s="60">
        <f t="shared" si="66"/>
        <v>38355605925686.063</v>
      </c>
      <c r="Q95" s="60">
        <f t="shared" si="66"/>
        <v>38580655387355.297</v>
      </c>
      <c r="R95" s="60">
        <f t="shared" si="66"/>
        <v>38940659758763.047</v>
      </c>
      <c r="S95" s="60">
        <f t="shared" si="66"/>
        <v>39295056585444.828</v>
      </c>
      <c r="T95" s="60">
        <f t="shared" si="66"/>
        <v>39197485307212.82</v>
      </c>
      <c r="U95" s="60">
        <f t="shared" si="66"/>
        <v>39096549502145.219</v>
      </c>
      <c r="V95" s="60">
        <f t="shared" si="66"/>
        <v>39038791791467.656</v>
      </c>
      <c r="W95" s="60">
        <f t="shared" si="66"/>
        <v>38985146280255.813</v>
      </c>
      <c r="X95" s="60">
        <f t="shared" si="66"/>
        <v>38979164899214.766</v>
      </c>
      <c r="Y95" s="60">
        <f t="shared" si="66"/>
        <v>39068885614830.406</v>
      </c>
      <c r="Z95" s="60">
        <f t="shared" si="66"/>
        <v>39183092609082.813</v>
      </c>
      <c r="AA95" s="60">
        <f t="shared" si="66"/>
        <v>39286084513883.266</v>
      </c>
      <c r="AB95" s="60">
        <f t="shared" si="66"/>
        <v>39357113413745.648</v>
      </c>
      <c r="AC95" s="60">
        <f t="shared" si="66"/>
        <v>39431133004128.555</v>
      </c>
      <c r="AD95" s="60">
        <f t="shared" si="66"/>
        <v>38823462073990.125</v>
      </c>
      <c r="AE95" s="60">
        <f t="shared" si="66"/>
        <v>38320465312069.945</v>
      </c>
      <c r="AF95" s="60">
        <f t="shared" si="66"/>
        <v>37927750263093.984</v>
      </c>
      <c r="AG95" s="60">
        <f t="shared" si="66"/>
        <v>37657840443616.93</v>
      </c>
      <c r="AH95" s="60">
        <f t="shared" si="66"/>
        <v>37542138104104.266</v>
      </c>
      <c r="AI95" s="60">
        <f t="shared" si="66"/>
        <v>37503259127337.492</v>
      </c>
      <c r="AJ95" s="60">
        <f t="shared" si="66"/>
        <v>37494287055775.922</v>
      </c>
      <c r="AK95" s="60">
        <f t="shared" si="66"/>
        <v>37520081761515.414</v>
      </c>
      <c r="AL95" s="60">
        <f t="shared" si="66"/>
        <v>37568867400631.422</v>
      </c>
      <c r="AM95" s="60">
        <f t="shared" si="66"/>
        <v>37649616044685.5</v>
      </c>
      <c r="AN95" s="60">
        <f t="shared" si="66"/>
        <v>37767935238403.625</v>
      </c>
    </row>
    <row r="96" spans="7:40">
      <c r="I96" s="1" t="s">
        <v>77</v>
      </c>
      <c r="J96" s="7" cm="1">
        <f t="array" ref="J96">TREND($O96:$T96,$O$3:$T$3,J$3)</f>
        <v>0</v>
      </c>
      <c r="K96" s="7">
        <v>0</v>
      </c>
      <c r="L96" s="7">
        <v>0</v>
      </c>
      <c r="M96" s="7">
        <v>0</v>
      </c>
      <c r="N96" s="7">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c r="I97" s="1" t="s">
        <v>78</v>
      </c>
      <c r="J97" s="7" cm="1">
        <f t="array" ref="J97">TREND($O97:$T97,$O$3:$T$3,J$3)</f>
        <v>0</v>
      </c>
      <c r="K97" s="7">
        <v>0</v>
      </c>
      <c r="L97" s="7">
        <v>0</v>
      </c>
      <c r="M97" s="7">
        <v>0</v>
      </c>
      <c r="N97" s="7">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c r="I98" s="1" t="s">
        <v>79</v>
      </c>
      <c r="J98" s="7" cm="1">
        <f t="array" ref="J98">TREND($O98:$T98,$O$3:$T$3,J$3)</f>
        <v>0</v>
      </c>
      <c r="K98" s="7">
        <v>0</v>
      </c>
      <c r="L98" s="7">
        <v>0</v>
      </c>
      <c r="M98" s="7">
        <v>0</v>
      </c>
      <c r="N98" s="7">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c r="I99" s="1" t="s">
        <v>81</v>
      </c>
      <c r="J99" s="7" cm="1">
        <f t="array" ref="J99">TREND($O99:$T99,$O$3:$T$3,J$3)</f>
        <v>0</v>
      </c>
      <c r="K99" s="7">
        <v>0</v>
      </c>
      <c r="L99" s="7">
        <v>0</v>
      </c>
      <c r="M99" s="7">
        <v>0</v>
      </c>
      <c r="N99" s="7">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c r="I100" s="1" t="s">
        <v>162</v>
      </c>
      <c r="J100" s="7" cm="1">
        <f t="array" ref="J100">TREND($O100:$T100,$O$3:$T$3,J$3)</f>
        <v>0</v>
      </c>
      <c r="K100" s="7">
        <v>0</v>
      </c>
      <c r="L100" s="7">
        <v>0</v>
      </c>
      <c r="M100" s="7">
        <v>0</v>
      </c>
      <c r="N100" s="7">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c r="I101" s="1" t="s">
        <v>446</v>
      </c>
      <c r="J101" s="7" cm="1">
        <f t="array" ref="J101">TREND($O101:$T101,$O$3:$T$3,J$3)</f>
        <v>0</v>
      </c>
      <c r="K101" s="7">
        <v>0</v>
      </c>
      <c r="L101" s="7">
        <v>0</v>
      </c>
      <c r="M101" s="7">
        <v>0</v>
      </c>
      <c r="N101" s="7">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c r="I102" s="1" t="s">
        <v>447</v>
      </c>
      <c r="J102" s="7" cm="1">
        <f t="array" ref="J102">TREND($O102:$T102,$O$3:$T$3,J$3)</f>
        <v>0</v>
      </c>
      <c r="K102" s="7">
        <v>0</v>
      </c>
      <c r="L102" s="7">
        <v>0</v>
      </c>
      <c r="M102" s="7">
        <v>0</v>
      </c>
      <c r="N102" s="7">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c r="I103" s="1" t="s">
        <v>448</v>
      </c>
      <c r="J103" s="7" cm="1">
        <f t="array" ref="J103">TREND($O103:$T103,$O$3:$T$3,J$3)</f>
        <v>0</v>
      </c>
      <c r="K103" s="7">
        <v>0</v>
      </c>
      <c r="L103" s="7">
        <v>0</v>
      </c>
      <c r="M103" s="7">
        <v>0</v>
      </c>
      <c r="N103" s="7">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c r="I104" s="1" t="s">
        <v>449</v>
      </c>
      <c r="J104" s="7" cm="1">
        <f t="array" ref="J104">TREND($O104:$T104,$O$3:$T$3,J$3)</f>
        <v>0</v>
      </c>
      <c r="K104" s="7">
        <v>0</v>
      </c>
      <c r="L104" s="7">
        <v>0</v>
      </c>
      <c r="M104" s="7">
        <v>0</v>
      </c>
      <c r="N104" s="7">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c r="H106" s="1" t="s">
        <v>592</v>
      </c>
    </row>
    <row r="107" spans="2:40">
      <c r="I107" s="1" t="s">
        <v>75</v>
      </c>
      <c r="J107" s="1" cm="1">
        <f t="array" ref="J107">TREND($O107:$T107,$O$3:$T$3,J$3)</f>
        <v>2020</v>
      </c>
      <c r="K107" s="1">
        <v>2021</v>
      </c>
      <c r="L107" s="1">
        <v>2022</v>
      </c>
      <c r="M107" s="1">
        <v>2023</v>
      </c>
      <c r="N107" s="1">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c r="B108" s="8" t="s">
        <v>248</v>
      </c>
      <c r="C108" s="8" t="s">
        <v>247</v>
      </c>
      <c r="D108" s="8" t="s">
        <v>246</v>
      </c>
      <c r="E108" s="8" t="s">
        <v>245</v>
      </c>
      <c r="F108" s="8" t="s">
        <v>244</v>
      </c>
      <c r="G108" s="8" t="s">
        <v>242</v>
      </c>
      <c r="H108" s="8" t="s">
        <v>241</v>
      </c>
      <c r="I108" s="1" t="s">
        <v>76</v>
      </c>
      <c r="J108" s="60" cm="1">
        <f t="array" ref="J108">TREND($O108:$T108,$O$3:$T$3,J$3)</f>
        <v>250120951083635.38</v>
      </c>
      <c r="K108" s="60">
        <f t="shared" ref="K108" si="67">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243757539302193.78</v>
      </c>
      <c r="L108" s="60">
        <f t="shared" ref="L108:N108" si="68">SUM(INDEX(Table4_22,MATCH($G108,Table4_A_22,0),MATCH(L$107,Table4_1_22,0)),INDEX(Table4_22,MATCH($F108,Table4_A_22,0),MATCH(L$107,Table4_1_22,0)),INDEX(Table4_22,MATCH($E108,Table4_A_22,0),MATCH(L$107,Table4_1_22,0)),INDEX(Table4_22,MATCH($D108,Table4_A_22,0),MATCH(L$107,Table4_1_22,0)),INDEX(Table4_22,MATCH($C108,Table4_A_22,0),MATCH(L$107,Table4_1_22,0)),INDEX(Table4_22,MATCH($B108,Table4_A_22,0),MATCH(L$107,Table4_1_22,0)),INDEX(Table4_22,MATCH($H108,Table4_A_22,0),MATCH(L$107,Table4_1_22,0)))*Percent_rural*quadrillion</f>
        <v>244451379502954.72</v>
      </c>
      <c r="M108" s="60">
        <f t="shared" si="68"/>
        <v>245009517121347.06</v>
      </c>
      <c r="N108" s="60">
        <f t="shared" si="68"/>
        <v>245838125313688.97</v>
      </c>
      <c r="O108" s="60">
        <f>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H108,Table4_A_22,0),MATCH(O$107,Table4_1_22,0)),INDEX('[4]Heat Pump DOE Rule Adjustment'!$B$34:$AD$34,MATCH(O107,'[4]Heat Pump DOE Rule Adjustment'!$B$18:$AD$18,0)))*Percent_rural*quadrillion</f>
        <v>246980382174370.59</v>
      </c>
      <c r="P108" s="60">
        <f>SUM(INDEX(Table4_22,MATCH($G108,Table4_A_22,0),MATCH(P$107,Table4_1_22,0)),INDEX(Table4_22,MATCH($F108,Table4_A_22,0),MATCH(P$107,Table4_1_22,0)),INDEX(Table4_22,MATCH($E108,Table4_A_22,0),MATCH(P$107,Table4_1_22,0)),INDEX(Table4_22,MATCH($D108,Table4_A_22,0),MATCH(P$107,Table4_1_22,0)),INDEX(Table4_22,MATCH($C108,Table4_A_22,0),MATCH(P$107,Table4_1_22,0)),INDEX(Table4_22,MATCH($H108,Table4_A_22,0),MATCH(P$107,Table4_1_22,0)),INDEX('[4]Heat Pump DOE Rule Adjustment'!$B$34:$AD$34,MATCH(P107,'[4]Heat Pump DOE Rule Adjustment'!$B$18:$AD$18,0)))*Percent_rural*quadrillion</f>
        <v>247944506030923.66</v>
      </c>
      <c r="Q108" s="60">
        <f>SUM(INDEX(Table4_22,MATCH($G108,Table4_A_22,0),MATCH(Q$107,Table4_1_22,0)),INDEX(Table4_22,MATCH($F108,Table4_A_22,0),MATCH(Q$107,Table4_1_22,0)),INDEX(Table4_22,MATCH($E108,Table4_A_22,0),MATCH(Q$107,Table4_1_22,0)),INDEX(Table4_22,MATCH($D108,Table4_A_22,0),MATCH(Q$107,Table4_1_22,0)),INDEX(Table4_22,MATCH($C108,Table4_A_22,0),MATCH(Q$107,Table4_1_22,0)),INDEX(Table4_22,MATCH($H108,Table4_A_22,0),MATCH(Q$107,Table4_1_22,0)),INDEX('[4]Heat Pump DOE Rule Adjustment'!$B$34:$AD$34,MATCH(Q107,'[4]Heat Pump DOE Rule Adjustment'!$B$18:$AD$18,0)))*Percent_rural*quadrillion</f>
        <v>248813114708977.56</v>
      </c>
      <c r="R108" s="60">
        <f>SUM(INDEX(Table4_22,MATCH($G108,Table4_A_22,0),MATCH(R$107,Table4_1_22,0)),INDEX(Table4_22,MATCH($F108,Table4_A_22,0),MATCH(R$107,Table4_1_22,0)),INDEX(Table4_22,MATCH($E108,Table4_A_22,0),MATCH(R$107,Table4_1_22,0)),INDEX(Table4_22,MATCH($D108,Table4_A_22,0),MATCH(R$107,Table4_1_22,0)),INDEX(Table4_22,MATCH($C108,Table4_A_22,0),MATCH(R$107,Table4_1_22,0)),INDEX(Table4_22,MATCH($H108,Table4_A_22,0),MATCH(R$107,Table4_1_22,0)),INDEX('[4]Heat Pump DOE Rule Adjustment'!$B$34:$AD$34,MATCH(R107,'[4]Heat Pump DOE Rule Adjustment'!$B$18:$AD$18,0)))*Percent_rural*quadrillion</f>
        <v>249556862057799.72</v>
      </c>
      <c r="S108" s="60">
        <f>SUM(INDEX(Table4_22,MATCH($G108,Table4_A_22,0),MATCH(S$107,Table4_1_22,0)),INDEX(Table4_22,MATCH($F108,Table4_A_22,0),MATCH(S$107,Table4_1_22,0)),INDEX(Table4_22,MATCH($E108,Table4_A_22,0),MATCH(S$107,Table4_1_22,0)),INDEX(Table4_22,MATCH($D108,Table4_A_22,0),MATCH(S$107,Table4_1_22,0)),INDEX(Table4_22,MATCH($C108,Table4_A_22,0),MATCH(S$107,Table4_1_22,0)),INDEX(Table4_22,MATCH($H108,Table4_A_22,0),MATCH(S$107,Table4_1_22,0)),INDEX('[4]Heat Pump DOE Rule Adjustment'!$B$34:$AD$34,MATCH(S107,'[4]Heat Pump DOE Rule Adjustment'!$B$18:$AD$18,0)))*Percent_rural*quadrillion</f>
        <v>247095030636182.97</v>
      </c>
      <c r="T108" s="60">
        <f>SUM(INDEX(Table4_22,MATCH($G108,Table4_A_22,0),MATCH(T$107,Table4_1_22,0)),INDEX(Table4_22,MATCH($F108,Table4_A_22,0),MATCH(T$107,Table4_1_22,0)),INDEX(Table4_22,MATCH($E108,Table4_A_22,0),MATCH(T$107,Table4_1_22,0)),INDEX(Table4_22,MATCH($D108,Table4_A_22,0),MATCH(T$107,Table4_1_22,0)),INDEX(Table4_22,MATCH($C108,Table4_A_22,0),MATCH(T$107,Table4_1_22,0)),INDEX(Table4_22,MATCH($H108,Table4_A_22,0),MATCH(T$107,Table4_1_22,0)),INDEX('[4]Heat Pump DOE Rule Adjustment'!$B$34:$AD$34,MATCH(T107,'[4]Heat Pump DOE Rule Adjustment'!$B$18:$AD$18,0)))*Percent_rural*quadrillion</f>
        <v>244947595555535.97</v>
      </c>
      <c r="U108" s="60">
        <f>SUM(INDEX(Table4_22,MATCH($G108,Table4_A_22,0),MATCH(U$107,Table4_1_22,0)),INDEX(Table4_22,MATCH($F108,Table4_A_22,0),MATCH(U$107,Table4_1_22,0)),INDEX(Table4_22,MATCH($E108,Table4_A_22,0),MATCH(U$107,Table4_1_22,0)),INDEX(Table4_22,MATCH($D108,Table4_A_22,0),MATCH(U$107,Table4_1_22,0)),INDEX(Table4_22,MATCH($C108,Table4_A_22,0),MATCH(U$107,Table4_1_22,0)),INDEX(Table4_22,MATCH($H108,Table4_A_22,0),MATCH(U$107,Table4_1_22,0)),INDEX('[4]Heat Pump DOE Rule Adjustment'!$B$34:$AD$34,MATCH(U107,'[4]Heat Pump DOE Rule Adjustment'!$B$18:$AD$18,0)))*Percent_rural*quadrillion</f>
        <v>242797169784368.5</v>
      </c>
      <c r="V108" s="60">
        <f>SUM(INDEX(Table4_22,MATCH($G108,Table4_A_22,0),MATCH(V$107,Table4_1_22,0)),INDEX(Table4_22,MATCH($F108,Table4_A_22,0),MATCH(V$107,Table4_1_22,0)),INDEX(Table4_22,MATCH($E108,Table4_A_22,0),MATCH(V$107,Table4_1_22,0)),INDEX(Table4_22,MATCH($D108,Table4_A_22,0),MATCH(V$107,Table4_1_22,0)),INDEX(Table4_22,MATCH($C108,Table4_A_22,0),MATCH(V$107,Table4_1_22,0)),INDEX(Table4_22,MATCH($H108,Table4_A_22,0),MATCH(V$107,Table4_1_22,0)),INDEX('[4]Heat Pump DOE Rule Adjustment'!$B$34:$AD$34,MATCH(V107,'[4]Heat Pump DOE Rule Adjustment'!$B$18:$AD$18,0)))*Percent_rural*quadrillion</f>
        <v>240704688642036.09</v>
      </c>
      <c r="W108" s="60">
        <f>SUM(INDEX(Table4_22,MATCH($G108,Table4_A_22,0),MATCH(W$107,Table4_1_22,0)),INDEX(Table4_22,MATCH($F108,Table4_A_22,0),MATCH(W$107,Table4_1_22,0)),INDEX(Table4_22,MATCH($E108,Table4_A_22,0),MATCH(W$107,Table4_1_22,0)),INDEX(Table4_22,MATCH($D108,Table4_A_22,0),MATCH(W$107,Table4_1_22,0)),INDEX(Table4_22,MATCH($C108,Table4_A_22,0),MATCH(W$107,Table4_1_22,0)),INDEX(Table4_22,MATCH($H108,Table4_A_22,0),MATCH(W$107,Table4_1_22,0)),INDEX('[4]Heat Pump DOE Rule Adjustment'!$B$34:$AD$34,MATCH(W107,'[4]Heat Pump DOE Rule Adjustment'!$B$18:$AD$18,0)))*Percent_rural*quadrillion</f>
        <v>238603235428142.13</v>
      </c>
      <c r="X108" s="60">
        <f>SUM(INDEX(Table4_22,MATCH($G108,Table4_A_22,0),MATCH(X$107,Table4_1_22,0)),INDEX(Table4_22,MATCH($F108,Table4_A_22,0),MATCH(X$107,Table4_1_22,0)),INDEX(Table4_22,MATCH($E108,Table4_A_22,0),MATCH(X$107,Table4_1_22,0)),INDEX(Table4_22,MATCH($D108,Table4_A_22,0),MATCH(X$107,Table4_1_22,0)),INDEX(Table4_22,MATCH($C108,Table4_A_22,0),MATCH(X$107,Table4_1_22,0)),INDEX(Table4_22,MATCH($H108,Table4_A_22,0),MATCH(X$107,Table4_1_22,0)),INDEX('[4]Heat Pump DOE Rule Adjustment'!$B$34:$AD$34,MATCH(X107,'[4]Heat Pump DOE Rule Adjustment'!$B$18:$AD$18,0)))*Percent_rural*quadrillion</f>
        <v>236568554066374.81</v>
      </c>
      <c r="Y108" s="60">
        <f>SUM(INDEX(Table4_22,MATCH($G108,Table4_A_22,0),MATCH(Y$107,Table4_1_22,0)),INDEX(Table4_22,MATCH($F108,Table4_A_22,0),MATCH(Y$107,Table4_1_22,0)),INDEX(Table4_22,MATCH($E108,Table4_A_22,0),MATCH(Y$107,Table4_1_22,0)),INDEX(Table4_22,MATCH($D108,Table4_A_22,0),MATCH(Y$107,Table4_1_22,0)),INDEX(Table4_22,MATCH($C108,Table4_A_22,0),MATCH(Y$107,Table4_1_22,0)),INDEX(Table4_22,MATCH($H108,Table4_A_22,0),MATCH(Y$107,Table4_1_22,0)),INDEX('[4]Heat Pump DOE Rule Adjustment'!$B$34:$AD$34,MATCH(Y107,'[4]Heat Pump DOE Rule Adjustment'!$B$18:$AD$18,0)))*Percent_rural*quadrillion</f>
        <v>234788638908529.25</v>
      </c>
      <c r="Z108" s="60">
        <f>SUM(INDEX(Table4_22,MATCH($G108,Table4_A_22,0),MATCH(Z$107,Table4_1_22,0)),INDEX(Table4_22,MATCH($F108,Table4_A_22,0),MATCH(Z$107,Table4_1_22,0)),INDEX(Table4_22,MATCH($E108,Table4_A_22,0),MATCH(Z$107,Table4_1_22,0)),INDEX(Table4_22,MATCH($D108,Table4_A_22,0),MATCH(Z$107,Table4_1_22,0)),INDEX(Table4_22,MATCH($C108,Table4_A_22,0),MATCH(Z$107,Table4_1_22,0)),INDEX(Table4_22,MATCH($H108,Table4_A_22,0),MATCH(Z$107,Table4_1_22,0)),INDEX('[4]Heat Pump DOE Rule Adjustment'!$B$34:$AD$34,MATCH(Z107,'[4]Heat Pump DOE Rule Adjustment'!$B$18:$AD$18,0)))*Percent_rural*quadrillion</f>
        <v>233050026855031.22</v>
      </c>
      <c r="AA108" s="60">
        <f>SUM(INDEX(Table4_22,MATCH($G108,Table4_A_22,0),MATCH(AA$107,Table4_1_22,0)),INDEX(Table4_22,MATCH($F108,Table4_A_22,0),MATCH(AA$107,Table4_1_22,0)),INDEX(Table4_22,MATCH($E108,Table4_A_22,0),MATCH(AA$107,Table4_1_22,0)),INDEX(Table4_22,MATCH($D108,Table4_A_22,0),MATCH(AA$107,Table4_1_22,0)),INDEX(Table4_22,MATCH($C108,Table4_A_22,0),MATCH(AA$107,Table4_1_22,0)),INDEX(Table4_22,MATCH($H108,Table4_A_22,0),MATCH(AA$107,Table4_1_22,0)),INDEX('[4]Heat Pump DOE Rule Adjustment'!$B$34:$AD$34,MATCH(AA107,'[4]Heat Pump DOE Rule Adjustment'!$B$18:$AD$18,0)))*Percent_rural*quadrillion</f>
        <v>231327155334275.81</v>
      </c>
      <c r="AB108" s="60">
        <f>SUM(INDEX(Table4_22,MATCH($G108,Table4_A_22,0),MATCH(AB$107,Table4_1_22,0)),INDEX(Table4_22,MATCH($F108,Table4_A_22,0),MATCH(AB$107,Table4_1_22,0)),INDEX(Table4_22,MATCH($E108,Table4_A_22,0),MATCH(AB$107,Table4_1_22,0)),INDEX(Table4_22,MATCH($D108,Table4_A_22,0),MATCH(AB$107,Table4_1_22,0)),INDEX(Table4_22,MATCH($C108,Table4_A_22,0),MATCH(AB$107,Table4_1_22,0)),INDEX(Table4_22,MATCH($H108,Table4_A_22,0),MATCH(AB$107,Table4_1_22,0)),INDEX('[4]Heat Pump DOE Rule Adjustment'!$B$34:$AD$34,MATCH(AB107,'[4]Heat Pump DOE Rule Adjustment'!$B$18:$AD$18,0)))*Percent_rural*quadrillion</f>
        <v>229596068564593.56</v>
      </c>
      <c r="AC108" s="60">
        <f>SUM(INDEX(Table4_22,MATCH($G108,Table4_A_22,0),MATCH(AC$107,Table4_1_22,0)),INDEX(Table4_22,MATCH($F108,Table4_A_22,0),MATCH(AC$107,Table4_1_22,0)),INDEX(Table4_22,MATCH($E108,Table4_A_22,0),MATCH(AC$107,Table4_1_22,0)),INDEX(Table4_22,MATCH($D108,Table4_A_22,0),MATCH(AC$107,Table4_1_22,0)),INDEX(Table4_22,MATCH($C108,Table4_A_22,0),MATCH(AC$107,Table4_1_22,0)),INDEX(Table4_22,MATCH($H108,Table4_A_22,0),MATCH(AC$107,Table4_1_22,0)),INDEX('[4]Heat Pump DOE Rule Adjustment'!$B$34:$AD$34,MATCH(AC107,'[4]Heat Pump DOE Rule Adjustment'!$B$18:$AD$18,0)))*Percent_rural*quadrillion</f>
        <v>227915405400520.31</v>
      </c>
      <c r="AD108" s="60">
        <f>SUM(INDEX(Table4_22,MATCH($G108,Table4_A_22,0),MATCH(AD$107,Table4_1_22,0)),INDEX(Table4_22,MATCH($F108,Table4_A_22,0),MATCH(AD$107,Table4_1_22,0)),INDEX(Table4_22,MATCH($E108,Table4_A_22,0),MATCH(AD$107,Table4_1_22,0)),INDEX(Table4_22,MATCH($D108,Table4_A_22,0),MATCH(AD$107,Table4_1_22,0)),INDEX(Table4_22,MATCH($C108,Table4_A_22,0),MATCH(AD$107,Table4_1_22,0)),INDEX(Table4_22,MATCH($H108,Table4_A_22,0),MATCH(AD$107,Table4_1_22,0)),INDEX('[4]Heat Pump DOE Rule Adjustment'!$B$34:$AD$34,MATCH(AD107,'[4]Heat Pump DOE Rule Adjustment'!$B$18:$AD$18,0)))*Percent_rural*quadrillion</f>
        <v>226316191980798.31</v>
      </c>
      <c r="AE108" s="60">
        <f>SUM(INDEX(Table4_22,MATCH($G108,Table4_A_22,0),MATCH(AE$107,Table4_1_22,0)),INDEX(Table4_22,MATCH($F108,Table4_A_22,0),MATCH(AE$107,Table4_1_22,0)),INDEX(Table4_22,MATCH($E108,Table4_A_22,0),MATCH(AE$107,Table4_1_22,0)),INDEX(Table4_22,MATCH($D108,Table4_A_22,0),MATCH(AE$107,Table4_1_22,0)),INDEX(Table4_22,MATCH($C108,Table4_A_22,0),MATCH(AE$107,Table4_1_22,0)),INDEX(Table4_22,MATCH($H108,Table4_A_22,0),MATCH(AE$107,Table4_1_22,0)),INDEX('[4]Heat Pump DOE Rule Adjustment'!$B$34:$AD$34,MATCH(AE107,'[4]Heat Pump DOE Rule Adjustment'!$B$18:$AD$18,0)))*Percent_rural*quadrillion</f>
        <v>224797981948234.97</v>
      </c>
      <c r="AF108" s="60">
        <f>SUM(INDEX(Table4_22,MATCH($G108,Table4_A_22,0),MATCH(AF$107,Table4_1_22,0)),INDEX(Table4_22,MATCH($F108,Table4_A_22,0),MATCH(AF$107,Table4_1_22,0)),INDEX(Table4_22,MATCH($E108,Table4_A_22,0),MATCH(AF$107,Table4_1_22,0)),INDEX(Table4_22,MATCH($D108,Table4_A_22,0),MATCH(AF$107,Table4_1_22,0)),INDEX(Table4_22,MATCH($C108,Table4_A_22,0),MATCH(AF$107,Table4_1_22,0)),INDEX(Table4_22,MATCH($H108,Table4_A_22,0),MATCH(AF$107,Table4_1_22,0)),INDEX('[4]Heat Pump DOE Rule Adjustment'!$B$34:$AD$34,MATCH(AF107,'[4]Heat Pump DOE Rule Adjustment'!$B$18:$AD$18,0)))*Percent_rural*quadrillion</f>
        <v>226384611191061</v>
      </c>
      <c r="AG108" s="60">
        <f>SUM(INDEX(Table4_22,MATCH($G108,Table4_A_22,0),MATCH(AG$107,Table4_1_22,0)),INDEX(Table4_22,MATCH($F108,Table4_A_22,0),MATCH(AG$107,Table4_1_22,0)),INDEX(Table4_22,MATCH($E108,Table4_A_22,0),MATCH(AG$107,Table4_1_22,0)),INDEX(Table4_22,MATCH($D108,Table4_A_22,0),MATCH(AG$107,Table4_1_22,0)),INDEX(Table4_22,MATCH($C108,Table4_A_22,0),MATCH(AG$107,Table4_1_22,0)),INDEX(Table4_22,MATCH($H108,Table4_A_22,0),MATCH(AG$107,Table4_1_22,0)),INDEX('[4]Heat Pump DOE Rule Adjustment'!$B$34:$AD$34,MATCH(AG107,'[4]Heat Pump DOE Rule Adjustment'!$B$18:$AD$18,0)))*Percent_rural*quadrillion</f>
        <v>227989303718591.69</v>
      </c>
      <c r="AH108" s="60">
        <f>SUM(INDEX(Table4_22,MATCH($G108,Table4_A_22,0),MATCH(AH$107,Table4_1_22,0)),INDEX(Table4_22,MATCH($F108,Table4_A_22,0),MATCH(AH$107,Table4_1_22,0)),INDEX(Table4_22,MATCH($E108,Table4_A_22,0),MATCH(AH$107,Table4_1_22,0)),INDEX(Table4_22,MATCH($D108,Table4_A_22,0),MATCH(AH$107,Table4_1_22,0)),INDEX(Table4_22,MATCH($C108,Table4_A_22,0),MATCH(AH$107,Table4_1_22,0)),INDEX(Table4_22,MATCH($H108,Table4_A_22,0),MATCH(AH$107,Table4_1_22,0)),INDEX('[4]Heat Pump DOE Rule Adjustment'!$B$34:$AD$34,MATCH(AH107,'[4]Heat Pump DOE Rule Adjustment'!$B$18:$AD$18,0)))*Percent_rural*quadrillion</f>
        <v>229585552057521.75</v>
      </c>
      <c r="AI108" s="60">
        <f>SUM(INDEX(Table4_22,MATCH($G108,Table4_A_22,0),MATCH(AI$107,Table4_1_22,0)),INDEX(Table4_22,MATCH($F108,Table4_A_22,0),MATCH(AI$107,Table4_1_22,0)),INDEX(Table4_22,MATCH($E108,Table4_A_22,0),MATCH(AI$107,Table4_1_22,0)),INDEX(Table4_22,MATCH($D108,Table4_A_22,0),MATCH(AI$107,Table4_1_22,0)),INDEX(Table4_22,MATCH($C108,Table4_A_22,0),MATCH(AI$107,Table4_1_22,0)),INDEX(Table4_22,MATCH($H108,Table4_A_22,0),MATCH(AI$107,Table4_1_22,0)),INDEX('[4]Heat Pump DOE Rule Adjustment'!$B$34:$AD$34,MATCH(AI107,'[4]Heat Pump DOE Rule Adjustment'!$B$18:$AD$18,0)))*Percent_rural*quadrillion</f>
        <v>231175377402519.81</v>
      </c>
      <c r="AJ108" s="60">
        <f>SUM(INDEX(Table4_22,MATCH($G108,Table4_A_22,0),MATCH(AJ$107,Table4_1_22,0)),INDEX(Table4_22,MATCH($F108,Table4_A_22,0),MATCH(AJ$107,Table4_1_22,0)),INDEX(Table4_22,MATCH($E108,Table4_A_22,0),MATCH(AJ$107,Table4_1_22,0)),INDEX(Table4_22,MATCH($D108,Table4_A_22,0),MATCH(AJ$107,Table4_1_22,0)),INDEX(Table4_22,MATCH($C108,Table4_A_22,0),MATCH(AJ$107,Table4_1_22,0)),INDEX(Table4_22,MATCH($H108,Table4_A_22,0),MATCH(AJ$107,Table4_1_22,0)),INDEX('[4]Heat Pump DOE Rule Adjustment'!$B$34:$AD$34,MATCH(AJ107,'[4]Heat Pump DOE Rule Adjustment'!$B$18:$AD$18,0)))*Percent_rural*quadrillion</f>
        <v>232801334254713.34</v>
      </c>
      <c r="AK108" s="60">
        <f>SUM(INDEX(Table4_22,MATCH($G108,Table4_A_22,0),MATCH(AK$107,Table4_1_22,0)),INDEX(Table4_22,MATCH($F108,Table4_A_22,0),MATCH(AK$107,Table4_1_22,0)),INDEX(Table4_22,MATCH($E108,Table4_A_22,0),MATCH(AK$107,Table4_1_22,0)),INDEX(Table4_22,MATCH($D108,Table4_A_22,0),MATCH(AK$107,Table4_1_22,0)),INDEX(Table4_22,MATCH($C108,Table4_A_22,0),MATCH(AK$107,Table4_1_22,0)),INDEX(Table4_22,MATCH($H108,Table4_A_22,0),MATCH(AK$107,Table4_1_22,0)),INDEX('[4]Heat Pump DOE Rule Adjustment'!$B$34:$AD$34,MATCH(AK107,'[4]Heat Pump DOE Rule Adjustment'!$B$18:$AD$18,0)))*Percent_rural*quadrillion</f>
        <v>234446088024822.22</v>
      </c>
      <c r="AL108" s="60">
        <f>SUM(INDEX(Table4_22,MATCH($G108,Table4_A_22,0),MATCH(AL$107,Table4_1_22,0)),INDEX(Table4_22,MATCH($F108,Table4_A_22,0),MATCH(AL$107,Table4_1_22,0)),INDEX(Table4_22,MATCH($E108,Table4_A_22,0),MATCH(AL$107,Table4_1_22,0)),INDEX(Table4_22,MATCH($D108,Table4_A_22,0),MATCH(AL$107,Table4_1_22,0)),INDEX(Table4_22,MATCH($C108,Table4_A_22,0),MATCH(AL$107,Table4_1_22,0)),INDEX(Table4_22,MATCH($H108,Table4_A_22,0),MATCH(AL$107,Table4_1_22,0)),INDEX('[4]Heat Pump DOE Rule Adjustment'!$B$34:$AD$34,MATCH(AL107,'[4]Heat Pump DOE Rule Adjustment'!$B$18:$AD$18,0)))*Percent_rural*quadrillion</f>
        <v>236066677842490.16</v>
      </c>
      <c r="AM108" s="60">
        <f>SUM(INDEX(Table4_22,MATCH($G108,Table4_A_22,0),MATCH(AM$107,Table4_1_22,0)),INDEX(Table4_22,MATCH($F108,Table4_A_22,0),MATCH(AM$107,Table4_1_22,0)),INDEX(Table4_22,MATCH($E108,Table4_A_22,0),MATCH(AM$107,Table4_1_22,0)),INDEX(Table4_22,MATCH($D108,Table4_A_22,0),MATCH(AM$107,Table4_1_22,0)),INDEX(Table4_22,MATCH($C108,Table4_A_22,0),MATCH(AM$107,Table4_1_22,0)),INDEX(Table4_22,MATCH($H108,Table4_A_22,0),MATCH(AM$107,Table4_1_22,0)),INDEX('[4]Heat Pump DOE Rule Adjustment'!$B$34:$AD$34,MATCH(AM107,'[4]Heat Pump DOE Rule Adjustment'!$B$18:$AD$18,0)))*Percent_rural*quadrillion</f>
        <v>237684022371646.5</v>
      </c>
      <c r="AN108" s="60">
        <f>SUM(INDEX(Table4_22,MATCH($G108,Table4_A_22,0),MATCH(AN$107,Table4_1_22,0)),INDEX(Table4_22,MATCH($F108,Table4_A_22,0),MATCH(AN$107,Table4_1_22,0)),INDEX(Table4_22,MATCH($E108,Table4_A_22,0),MATCH(AN$107,Table4_1_22,0)),INDEX(Table4_22,MATCH($D108,Table4_A_22,0),MATCH(AN$107,Table4_1_22,0)),INDEX(Table4_22,MATCH($C108,Table4_A_22,0),MATCH(AN$107,Table4_1_22,0)),INDEX(Table4_22,MATCH($H108,Table4_A_22,0),MATCH(AN$107,Table4_1_22,0)),INDEX('[4]Heat Pump DOE Rule Adjustment'!$B$34:$AD$34,MATCH(AN107,'[4]Heat Pump DOE Rule Adjustment'!$B$18:$AD$18,0)))*Percent_rural*quadrillion</f>
        <v>239341306823133.38</v>
      </c>
    </row>
    <row r="109" spans="2:40">
      <c r="I109" s="1" t="s">
        <v>77</v>
      </c>
      <c r="J109" s="7" cm="1">
        <f t="array" ref="J109">TREND($O109:$T109,$O$3:$T$3,J$3)</f>
        <v>0</v>
      </c>
      <c r="K109" s="7">
        <v>0</v>
      </c>
      <c r="L109" s="7">
        <v>0</v>
      </c>
      <c r="M109" s="7">
        <v>0</v>
      </c>
      <c r="N109" s="7">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c r="F110" s="8" t="s">
        <v>233</v>
      </c>
      <c r="G110" s="8" t="s">
        <v>232</v>
      </c>
      <c r="H110" s="8" t="s">
        <v>231</v>
      </c>
      <c r="I110" s="1" t="s">
        <v>78</v>
      </c>
      <c r="J110" s="60" cm="1">
        <f t="array" ref="J110">TREND($O110:$T110,$O$3:$T$3,J$3)</f>
        <v>200768072035711</v>
      </c>
      <c r="K110" s="60">
        <f t="shared" ref="K110" si="69">SUM(INDEX(Table4,MATCH($G110,Table4_A,0),MATCH(K$107,Table4_1,0)),INDEX(Table4,MATCH($H110,Table4_A,0),MATCH(K$107,Table4_1,0)),INDEX(Table4,MATCH($F110,Table4_A,0),MATCH(K$107,Table4_1,0)))*Percent_rural*quadrillion</f>
        <v>212682021776086.75</v>
      </c>
      <c r="L110" s="60">
        <f t="shared" ref="L110:N110" si="70">SUM(INDEX(Table4_22,MATCH($G110,Table4_A_22,0),MATCH(L$107,Table4_1_22,0)),INDEX(Table4_22,MATCH($H110,Table4_A_22,0),MATCH(L$107,Table4_1_22,0)),INDEX(Table4_22,MATCH($F110,Table4_A_22,0),MATCH(L$107,Table4_1_22,0)))*Percent_rural*quadrillion</f>
        <v>210514705739496.47</v>
      </c>
      <c r="M110" s="60">
        <f t="shared" si="70"/>
        <v>210088719258479.72</v>
      </c>
      <c r="N110" s="60">
        <f t="shared" si="70"/>
        <v>212063883429126.53</v>
      </c>
      <c r="O110" s="60">
        <f t="shared" ref="O110:AN110" si="71">SUM(INDEX(Table4_22,MATCH($G110,Table4_A_22,0),MATCH(O$107,Table4_1_22,0)),INDEX(Table4_22,MATCH($H110,Table4_A_22,0),MATCH(O$107,Table4_1_22,0)),INDEX(Table4_22,MATCH($F110,Table4_A_22,0),MATCH(O$107,Table4_1_22,0)))*Percent_rural*quadrillion</f>
        <v>215247473488221.47</v>
      </c>
      <c r="P110" s="60">
        <f t="shared" si="71"/>
        <v>218622467740629.78</v>
      </c>
      <c r="Q110" s="60">
        <f t="shared" si="71"/>
        <v>221859703310936.63</v>
      </c>
      <c r="R110" s="60">
        <f t="shared" si="71"/>
        <v>224999180684853.88</v>
      </c>
      <c r="S110" s="60">
        <f t="shared" si="71"/>
        <v>227647063304460.44</v>
      </c>
      <c r="T110" s="60">
        <f t="shared" si="71"/>
        <v>230015503278555.81</v>
      </c>
      <c r="U110" s="60">
        <f t="shared" si="71"/>
        <v>231999452602606.66</v>
      </c>
      <c r="V110" s="60">
        <f t="shared" si="71"/>
        <v>233869568768720.16</v>
      </c>
      <c r="W110" s="60">
        <f t="shared" si="71"/>
        <v>235736694244313.09</v>
      </c>
      <c r="X110" s="60">
        <f t="shared" si="71"/>
        <v>237526809439002.69</v>
      </c>
      <c r="Y110" s="60">
        <f t="shared" si="71"/>
        <v>239319354569740.13</v>
      </c>
      <c r="Z110" s="60">
        <f t="shared" si="71"/>
        <v>241136759815429.47</v>
      </c>
      <c r="AA110" s="60">
        <f t="shared" si="71"/>
        <v>242881266979681.03</v>
      </c>
      <c r="AB110" s="60">
        <f t="shared" si="71"/>
        <v>244443155104023.31</v>
      </c>
      <c r="AC110" s="60">
        <f t="shared" si="71"/>
        <v>246075137537440.31</v>
      </c>
      <c r="AD110" s="60">
        <f t="shared" si="71"/>
        <v>247677026147494.53</v>
      </c>
      <c r="AE110" s="60">
        <f t="shared" si="71"/>
        <v>249224334655549.25</v>
      </c>
      <c r="AF110" s="60">
        <f t="shared" si="71"/>
        <v>250803232332226.97</v>
      </c>
      <c r="AG110" s="60">
        <f t="shared" si="71"/>
        <v>252521570954424.06</v>
      </c>
      <c r="AH110" s="60">
        <f t="shared" si="71"/>
        <v>254390378693434.78</v>
      </c>
      <c r="AI110" s="60">
        <f t="shared" si="71"/>
        <v>256184232251274.97</v>
      </c>
      <c r="AJ110" s="60">
        <f t="shared" si="71"/>
        <v>257419200518092.75</v>
      </c>
      <c r="AK110" s="60">
        <f t="shared" si="71"/>
        <v>258876040637901.72</v>
      </c>
      <c r="AL110" s="60">
        <f t="shared" si="71"/>
        <v>260630267546345</v>
      </c>
      <c r="AM110" s="60">
        <f t="shared" si="71"/>
        <v>262496832267465.41</v>
      </c>
      <c r="AN110" s="60">
        <f t="shared" si="71"/>
        <v>264266199546668.81</v>
      </c>
    </row>
    <row r="111" spans="2:40">
      <c r="H111" s="8" t="s">
        <v>227</v>
      </c>
      <c r="I111" s="1" t="s">
        <v>79</v>
      </c>
      <c r="J111" s="60" cm="1">
        <f t="array" ref="J111">TREND($O111:$T111,$O$3:$T$3,J$3)</f>
        <v>7643964647107.1563</v>
      </c>
      <c r="K111" s="60">
        <f t="shared" ref="K111" si="72">INDEX(Table4,MATCH($H111,Table4_A,0),MATCH(K$107,Table4_1,0))*Percent_rural*quadrillion</f>
        <v>8724031166518.2539</v>
      </c>
      <c r="L111" s="60">
        <f t="shared" ref="L111:N111" si="73">INDEX(Table4_22,MATCH($H111,Table4_A_22,0),MATCH(L$107,Table4_1_22,0))*Percent_rural*quadrillion</f>
        <v>8045144418359.9131</v>
      </c>
      <c r="M111" s="60">
        <f t="shared" si="73"/>
        <v>7535605520926.0908</v>
      </c>
      <c r="N111" s="60">
        <f t="shared" si="73"/>
        <v>7209994090504.3311</v>
      </c>
      <c r="O111" s="60">
        <f t="shared" ref="O111:AN111" si="74">INDEX(Table4_22,MATCH($H111,Table4_A_22,0),MATCH(O$107,Table4_1_22,0))*Percent_rural*quadrillion</f>
        <v>7003075690115.7607</v>
      </c>
      <c r="P111" s="60">
        <f t="shared" si="74"/>
        <v>6811671496802.3965</v>
      </c>
      <c r="Q111" s="60">
        <f t="shared" si="74"/>
        <v>6645314336598.3975</v>
      </c>
      <c r="R111" s="60">
        <f t="shared" si="74"/>
        <v>6506621063709.2207</v>
      </c>
      <c r="S111" s="60">
        <f t="shared" si="74"/>
        <v>6396152432607.4629</v>
      </c>
      <c r="T111" s="60">
        <f t="shared" si="74"/>
        <v>6318394479073.9092</v>
      </c>
      <c r="U111" s="60">
        <f t="shared" si="74"/>
        <v>6227552254513.0732</v>
      </c>
      <c r="V111" s="60">
        <f t="shared" si="74"/>
        <v>6131850157856.3916</v>
      </c>
      <c r="W111" s="60">
        <f t="shared" si="74"/>
        <v>6031848943576.459</v>
      </c>
      <c r="X111" s="60">
        <f t="shared" si="74"/>
        <v>5931847729296.5264</v>
      </c>
      <c r="Y111" s="60">
        <f t="shared" si="74"/>
        <v>5828481988181.0088</v>
      </c>
      <c r="Z111" s="60">
        <f t="shared" si="74"/>
        <v>5726611592325.75</v>
      </c>
      <c r="AA111" s="60">
        <f t="shared" si="74"/>
        <v>5624741196470.4922</v>
      </c>
      <c r="AB111" s="60">
        <f t="shared" si="74"/>
        <v>5524553064033.0273</v>
      </c>
      <c r="AC111" s="60">
        <f t="shared" si="74"/>
        <v>5426981785801.0195</v>
      </c>
      <c r="AD111" s="60">
        <f t="shared" si="74"/>
        <v>5332961952562.1309</v>
      </c>
      <c r="AE111" s="60">
        <f t="shared" si="74"/>
        <v>5240811300898.5674</v>
      </c>
      <c r="AF111" s="60">
        <f t="shared" si="74"/>
        <v>5154081275803.4482</v>
      </c>
      <c r="AG111" s="60">
        <f t="shared" si="74"/>
        <v>5070902695701.4492</v>
      </c>
      <c r="AH111" s="60">
        <f t="shared" si="74"/>
        <v>4993518578482.959</v>
      </c>
      <c r="AI111" s="60">
        <f t="shared" si="74"/>
        <v>4919872824415.1221</v>
      </c>
      <c r="AJ111" s="60">
        <f t="shared" si="74"/>
        <v>4847348579292.4795</v>
      </c>
      <c r="AK111" s="60">
        <f t="shared" si="74"/>
        <v>4778188861005.4229</v>
      </c>
      <c r="AL111" s="60">
        <f t="shared" si="74"/>
        <v>4712767505869.0195</v>
      </c>
      <c r="AM111" s="60">
        <f t="shared" si="74"/>
        <v>4648841495992.876</v>
      </c>
      <c r="AN111" s="60">
        <f t="shared" si="74"/>
        <v>4587345422164.6563</v>
      </c>
    </row>
    <row r="112" spans="2:40">
      <c r="I112" s="1" t="s">
        <v>81</v>
      </c>
      <c r="J112" s="7" cm="1">
        <f t="array" ref="J112">TREND($O112:$T112,$O$3:$T$3,J$3)</f>
        <v>0</v>
      </c>
      <c r="K112" s="7">
        <v>0</v>
      </c>
      <c r="L112" s="7">
        <v>0</v>
      </c>
      <c r="M112" s="7">
        <v>0</v>
      </c>
      <c r="N112" s="7">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c r="I113" s="1" t="s">
        <v>162</v>
      </c>
      <c r="J113" s="7" cm="1">
        <f t="array" ref="J113">TREND($O113:$T113,$O$3:$T$3,J$3)</f>
        <v>0</v>
      </c>
      <c r="K113" s="7">
        <v>0</v>
      </c>
      <c r="L113" s="7">
        <v>0</v>
      </c>
      <c r="M113" s="7">
        <v>0</v>
      </c>
      <c r="N113" s="7">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c r="I114" s="1" t="s">
        <v>446</v>
      </c>
      <c r="J114" s="7" cm="1">
        <f t="array" ref="J114">TREND($O114:$T114,$O$3:$T$3,J$3)</f>
        <v>0</v>
      </c>
      <c r="K114" s="7">
        <v>0</v>
      </c>
      <c r="L114" s="7">
        <v>0</v>
      </c>
      <c r="M114" s="7">
        <v>0</v>
      </c>
      <c r="N114" s="7">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c r="I115" s="1" t="s">
        <v>447</v>
      </c>
      <c r="J115" s="7" cm="1">
        <f t="array" ref="J115">TREND($O115:$T115,$O$3:$T$3,J$3)</f>
        <v>0</v>
      </c>
      <c r="K115" s="7">
        <v>0</v>
      </c>
      <c r="L115" s="7">
        <v>0</v>
      </c>
      <c r="M115" s="7">
        <v>0</v>
      </c>
      <c r="N115" s="7">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c r="G116" s="8" t="s">
        <v>223</v>
      </c>
      <c r="H116" s="8" t="s">
        <v>222</v>
      </c>
      <c r="I116" s="1" t="s">
        <v>448</v>
      </c>
      <c r="J116" s="60" cm="1">
        <f t="array" ref="J116">TREND($O116:$T116,$O$3:$T$3,J$3)</f>
        <v>13920640773592.688</v>
      </c>
      <c r="K116" s="60">
        <f t="shared" ref="K116" si="75">SUM(INDEX(Table4,MATCH($G116,Table4_A,0),MATCH(K$107,Table4_1,0)),INDEX(Table4,MATCH($H116,Table4_A,0),MATCH(K$107,Table4_1,0)))*Percent_rural*quadrillion</f>
        <v>14983733344126.934</v>
      </c>
      <c r="L116" s="60">
        <f t="shared" ref="L116:N116" si="76">SUM(INDEX(Table4_22,MATCH($G116,Table4_A_22,0),MATCH(L$107,Table4_1_22,0)),INDEX(Table4_22,MATCH($H116,Table4_A_22,0),MATCH(L$107,Table4_1_22,0)))*Percent_rural*quadrillion</f>
        <v>14421109689953.855</v>
      </c>
      <c r="M116" s="60">
        <f t="shared" si="76"/>
        <v>13792317008014.246</v>
      </c>
      <c r="N116" s="60">
        <f t="shared" si="76"/>
        <v>13330816077066.299</v>
      </c>
      <c r="O116" s="60">
        <f t="shared" ref="O116:AN116" si="77">SUM(INDEX(Table4_22,MATCH($G116,Table4_A_22,0),MATCH(O$107,Table4_1_22,0)),INDEX(Table4_22,MATCH($H116,Table4_A_22,0),MATCH(O$107,Table4_1_22,0)))*Percent_rural*quadrillion</f>
        <v>13015111308993.766</v>
      </c>
      <c r="P116" s="60">
        <f t="shared" si="77"/>
        <v>12773239213146.605</v>
      </c>
      <c r="Q116" s="60">
        <f t="shared" si="77"/>
        <v>12568937666963.49</v>
      </c>
      <c r="R116" s="60">
        <f t="shared" si="77"/>
        <v>12385010199951.43</v>
      </c>
      <c r="S116" s="60">
        <f t="shared" si="77"/>
        <v>12216783858172.104</v>
      </c>
      <c r="T116" s="60">
        <f t="shared" si="77"/>
        <v>12063324050837.854</v>
      </c>
      <c r="U116" s="60">
        <f t="shared" si="77"/>
        <v>11878648911195.66</v>
      </c>
      <c r="V116" s="60">
        <f t="shared" si="77"/>
        <v>11671917428964.623</v>
      </c>
      <c r="W116" s="60">
        <f t="shared" si="77"/>
        <v>11462756010685.664</v>
      </c>
      <c r="X116" s="60">
        <f t="shared" si="77"/>
        <v>11254529183194.365</v>
      </c>
      <c r="Y116" s="60">
        <f t="shared" si="77"/>
        <v>11053966000161.904</v>
      </c>
      <c r="Z116" s="60">
        <f t="shared" si="77"/>
        <v>10867608597101.918</v>
      </c>
      <c r="AA116" s="60">
        <f t="shared" si="77"/>
        <v>10694709301384.279</v>
      </c>
      <c r="AB116" s="60">
        <f t="shared" si="77"/>
        <v>10523866105399.498</v>
      </c>
      <c r="AC116" s="60">
        <f t="shared" si="77"/>
        <v>10360686553873.555</v>
      </c>
      <c r="AD116" s="60">
        <f t="shared" si="77"/>
        <v>10204609892333.846</v>
      </c>
      <c r="AE116" s="60">
        <f t="shared" si="77"/>
        <v>10055262284465.311</v>
      </c>
      <c r="AF116" s="60">
        <f t="shared" si="77"/>
        <v>9914325993685.7441</v>
      </c>
      <c r="AG116" s="60">
        <f t="shared" si="77"/>
        <v>9784417874200.5977</v>
      </c>
      <c r="AH116" s="60">
        <f t="shared" si="77"/>
        <v>9665911762324.9395</v>
      </c>
      <c r="AI116" s="60">
        <f t="shared" si="77"/>
        <v>9556190803853.3145</v>
      </c>
      <c r="AJ116" s="60">
        <f t="shared" si="77"/>
        <v>9450021290374.8086</v>
      </c>
      <c r="AK116" s="60">
        <f t="shared" si="77"/>
        <v>9352263093985.2676</v>
      </c>
      <c r="AL116" s="60">
        <f t="shared" si="77"/>
        <v>9261607787581.9629</v>
      </c>
      <c r="AM116" s="60">
        <f t="shared" si="77"/>
        <v>9176933862219.7031</v>
      </c>
      <c r="AN116" s="60">
        <f t="shared" si="77"/>
        <v>9097493645268.3555</v>
      </c>
    </row>
    <row r="117" spans="6:40">
      <c r="I117" s="1" t="s">
        <v>449</v>
      </c>
      <c r="J117" s="7" cm="1">
        <f t="array" ref="J117">TREND($O117:$T117,$O$3:$T$3,J$3)</f>
        <v>0</v>
      </c>
      <c r="K117" s="7">
        <v>0</v>
      </c>
      <c r="L117" s="7">
        <v>0</v>
      </c>
      <c r="M117" s="7">
        <v>0</v>
      </c>
      <c r="N117" s="7">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c r="H119" s="1" t="s">
        <v>593</v>
      </c>
    </row>
    <row r="120" spans="6:40">
      <c r="I120" s="1" t="s">
        <v>75</v>
      </c>
      <c r="J120" s="1" cm="1">
        <f t="array" ref="J120">TREND($O120:$T120,$O$3:$T$3,J$3)</f>
        <v>2020</v>
      </c>
      <c r="K120" s="1">
        <v>2021</v>
      </c>
      <c r="L120" s="1">
        <v>2022</v>
      </c>
      <c r="M120" s="1">
        <v>2023</v>
      </c>
      <c r="N120" s="1">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c r="F121" s="8" t="s">
        <v>237</v>
      </c>
      <c r="G121" s="8" t="s">
        <v>240</v>
      </c>
      <c r="H121" s="8" t="s">
        <v>239</v>
      </c>
      <c r="I121" s="1" t="s">
        <v>76</v>
      </c>
      <c r="J121" s="60" cm="1">
        <f t="array" ref="J121">TREND($O121:$T121,$O$3:$T$3,J$3)</f>
        <v>371609318731136</v>
      </c>
      <c r="K121" s="60">
        <f t="shared" ref="K121" si="78">SUM(INDEX(Table4,MATCH($G121,Table4_A,0),MATCH(K$120,Table4_1,0)),INDEX(Table4,MATCH($H121,Table4_A,0),MATCH(K$120,Table4_1,0)),INDEX(Table4,MATCH($F121,Table4_A,0),MATCH(K$120,Table4_1,0)))*Percent_rural*quadrillion</f>
        <v>390187728567959.19</v>
      </c>
      <c r="L121" s="60">
        <f t="shared" ref="L121:N121" si="79">SUM(INDEX(Table4_22,MATCH($G121,Table4_A_22,0),MATCH(L$120,Table4_1_22,0)),INDEX(Table4_22,MATCH($H121,Table4_A_22,0),MATCH(L$120,Table4_1_22,0)),INDEX(Table4_22,MATCH($F121,Table4_A_22,0),MATCH(L$120,Table4_1_22,0)))*Percent_rural*quadrillion</f>
        <v>380227046871205.38</v>
      </c>
      <c r="M121" s="60">
        <f t="shared" si="79"/>
        <v>388549577835343.63</v>
      </c>
      <c r="N121" s="60">
        <f t="shared" si="79"/>
        <v>392681777543916.44</v>
      </c>
      <c r="O121" s="60">
        <f t="shared" ref="O121:AN121" si="80">SUM(INDEX(Table4_22,MATCH($G121,Table4_A_22,0),MATCH(O$120,Table4_1_22,0)),INDEX(Table4_22,MATCH($H121,Table4_A_22,0),MATCH(O$120,Table4_1_22,0)),INDEX(Table4_22,MATCH($F121,Table4_A_22,0),MATCH(O$120,Table4_1_22,0)))*Percent_rural*quadrillion</f>
        <v>398644653687363.38</v>
      </c>
      <c r="P121" s="60">
        <f t="shared" si="80"/>
        <v>404502481826277</v>
      </c>
      <c r="Q121" s="60">
        <f t="shared" si="80"/>
        <v>411146487735772.69</v>
      </c>
      <c r="R121" s="60">
        <f t="shared" si="80"/>
        <v>416730480773901.13</v>
      </c>
      <c r="S121" s="60">
        <f t="shared" si="80"/>
        <v>421459697077633</v>
      </c>
      <c r="T121" s="60">
        <f t="shared" si="80"/>
        <v>426071154942119.31</v>
      </c>
      <c r="U121" s="60">
        <f t="shared" si="80"/>
        <v>430650089047195</v>
      </c>
      <c r="V121" s="60">
        <f t="shared" si="80"/>
        <v>435340987128632.69</v>
      </c>
      <c r="W121" s="60">
        <f t="shared" si="80"/>
        <v>439998239941714.56</v>
      </c>
      <c r="X121" s="60">
        <f t="shared" si="80"/>
        <v>444243898971909.69</v>
      </c>
      <c r="Y121" s="60">
        <f t="shared" si="80"/>
        <v>449320596130494.63</v>
      </c>
      <c r="Z121" s="60">
        <f t="shared" si="80"/>
        <v>454925897838581.75</v>
      </c>
      <c r="AA121" s="60">
        <f t="shared" si="80"/>
        <v>461010083866267.31</v>
      </c>
      <c r="AB121" s="60">
        <f t="shared" si="80"/>
        <v>466906417145632.63</v>
      </c>
      <c r="AC121" s="60">
        <f t="shared" si="80"/>
        <v>473033220513235.63</v>
      </c>
      <c r="AD121" s="60">
        <f t="shared" si="80"/>
        <v>479680217113251.81</v>
      </c>
      <c r="AE121" s="60">
        <f t="shared" si="80"/>
        <v>486579366307779.5</v>
      </c>
      <c r="AF121" s="60">
        <f t="shared" si="80"/>
        <v>494072541406945.69</v>
      </c>
      <c r="AG121" s="60">
        <f t="shared" si="80"/>
        <v>501941235084594.88</v>
      </c>
      <c r="AH121" s="60">
        <f t="shared" si="80"/>
        <v>510195727839391.25</v>
      </c>
      <c r="AI121" s="60">
        <f t="shared" si="80"/>
        <v>518858449850238.75</v>
      </c>
      <c r="AJ121" s="60">
        <f t="shared" si="80"/>
        <v>527984355055452.06</v>
      </c>
      <c r="AK121" s="60">
        <f t="shared" si="80"/>
        <v>537622602930462.25</v>
      </c>
      <c r="AL121" s="60">
        <f t="shared" si="80"/>
        <v>547519171699182.38</v>
      </c>
      <c r="AM121" s="60">
        <f t="shared" si="80"/>
        <v>557823595887638.63</v>
      </c>
      <c r="AN121" s="60">
        <f t="shared" si="80"/>
        <v>568960740467902.63</v>
      </c>
    </row>
    <row r="122" spans="6:40">
      <c r="I122" s="1" t="s">
        <v>77</v>
      </c>
      <c r="J122" s="7" cm="1">
        <f t="array" ref="J122">TREND($O122:$T122,$O$3:$T$3,J$3)</f>
        <v>0</v>
      </c>
      <c r="K122" s="7">
        <v>0</v>
      </c>
      <c r="L122" s="7">
        <v>0</v>
      </c>
      <c r="M122" s="7">
        <v>0</v>
      </c>
      <c r="N122" s="7">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c r="H123" s="8" t="s">
        <v>230</v>
      </c>
      <c r="I123" s="1" t="s">
        <v>78</v>
      </c>
      <c r="J123" s="60" cm="1">
        <f t="array" ref="J123">TREND($O123:$T123,$O$3:$T$3,J$3)</f>
        <v>41924372001403.188</v>
      </c>
      <c r="K123" s="60">
        <f t="shared" ref="K123:K124" si="81">INDEX(Table4,MATCH($H123,Table4_A,0),MATCH(K$120,Table4_1,0))*Percent_rural*quadrillion</f>
        <v>43156224965595.398</v>
      </c>
      <c r="L123" s="60">
        <f t="shared" ref="L123:N124" si="82">INDEX(Table4_22,MATCH($H123,Table4_A_22,0),MATCH(L$120,Table4_1_22,0))*Percent_rural*quadrillion</f>
        <v>42493039342669.797</v>
      </c>
      <c r="M123" s="60">
        <f t="shared" si="82"/>
        <v>42210979842953.125</v>
      </c>
      <c r="N123" s="60">
        <f t="shared" si="82"/>
        <v>42295466850157.859</v>
      </c>
      <c r="O123" s="60">
        <f t="shared" ref="O123:T124" si="83">INDEX(Table4_22,MATCH($H123,Table4_A_22,0),MATCH(O$120,Table4_1_22,0))*Percent_rural*quadrillion</f>
        <v>42580890876710.109</v>
      </c>
      <c r="P123" s="60">
        <f t="shared" si="83"/>
        <v>42884632882700.555</v>
      </c>
      <c r="Q123" s="60">
        <f t="shared" si="83"/>
        <v>43142953776410.586</v>
      </c>
      <c r="R123" s="60">
        <f t="shared" si="83"/>
        <v>43340900105237.594</v>
      </c>
      <c r="S123" s="60">
        <f t="shared" si="83"/>
        <v>43391368007771.391</v>
      </c>
      <c r="T123" s="60">
        <f t="shared" si="83"/>
        <v>43348376831538.891</v>
      </c>
      <c r="U123" s="60">
        <f t="shared" ref="U123:AD124" si="84">INDEX(Table4_22,MATCH($H123,Table4_A_22,0),MATCH(U$120,Table4_1_22,0))*Percent_rural*quadrillion</f>
        <v>43252113980409.617</v>
      </c>
      <c r="V123" s="60">
        <f t="shared" si="84"/>
        <v>43146505221403.711</v>
      </c>
      <c r="W123" s="60">
        <f t="shared" si="84"/>
        <v>43023513073747.266</v>
      </c>
      <c r="X123" s="60">
        <f t="shared" si="84"/>
        <v>42898277908200.438</v>
      </c>
      <c r="Y123" s="60">
        <f t="shared" si="84"/>
        <v>42777715696591.922</v>
      </c>
      <c r="Z123" s="60">
        <f t="shared" si="84"/>
        <v>42679957500202.383</v>
      </c>
      <c r="AA123" s="60">
        <f t="shared" si="84"/>
        <v>42587993766696.344</v>
      </c>
      <c r="AB123" s="60">
        <f t="shared" si="84"/>
        <v>42480141989800.047</v>
      </c>
      <c r="AC123" s="60">
        <f t="shared" si="84"/>
        <v>42396589573382.977</v>
      </c>
      <c r="AD123" s="60">
        <f t="shared" si="84"/>
        <v>42309485711972.805</v>
      </c>
      <c r="AE123" s="60">
        <f t="shared" ref="AE123:AN124" si="85">INDEX(Table4_22,MATCH($H123,Table4_A_22,0),MATCH(AE$120,Table4_1_22,0))*Percent_rural*quadrillion</f>
        <v>42216400469521.578</v>
      </c>
      <c r="AF123" s="60">
        <f t="shared" si="85"/>
        <v>42133782643892.172</v>
      </c>
      <c r="AG123" s="60">
        <f t="shared" si="85"/>
        <v>42073968833481.742</v>
      </c>
      <c r="AH123" s="60">
        <f t="shared" si="85"/>
        <v>42033781429612.242</v>
      </c>
      <c r="AI123" s="60">
        <f t="shared" si="85"/>
        <v>41973780701044.281</v>
      </c>
      <c r="AJ123" s="60">
        <f t="shared" si="85"/>
        <v>41784806443778.836</v>
      </c>
      <c r="AK123" s="60">
        <f t="shared" si="85"/>
        <v>41640131789848.617</v>
      </c>
      <c r="AL123" s="60">
        <f t="shared" si="85"/>
        <v>41559009309479.477</v>
      </c>
      <c r="AM123" s="60">
        <f t="shared" si="85"/>
        <v>41512279770096.336</v>
      </c>
      <c r="AN123" s="60">
        <f t="shared" si="85"/>
        <v>41456391240994.086</v>
      </c>
    </row>
    <row r="124" spans="6:40">
      <c r="H124" s="8" t="s">
        <v>226</v>
      </c>
      <c r="I124" s="1" t="s">
        <v>79</v>
      </c>
      <c r="J124" s="60" cm="1">
        <f t="array" ref="J124">TREND($O124:$T124,$O$3:$T$3,J$3)</f>
        <v>1380586412400.3037</v>
      </c>
      <c r="K124" s="60">
        <f t="shared" si="81"/>
        <v>1460765401117.1377</v>
      </c>
      <c r="L124" s="60">
        <f t="shared" si="82"/>
        <v>1407680644377.8838</v>
      </c>
      <c r="M124" s="60">
        <f t="shared" si="82"/>
        <v>1377026066542.5403</v>
      </c>
      <c r="N124" s="60">
        <f t="shared" si="82"/>
        <v>1370110094713.8345</v>
      </c>
      <c r="O124" s="60">
        <f t="shared" si="83"/>
        <v>1377399902857.6055</v>
      </c>
      <c r="P124" s="60">
        <f t="shared" si="83"/>
        <v>1381138266008.2568</v>
      </c>
      <c r="Q124" s="60">
        <f t="shared" si="83"/>
        <v>1382633611268.5176</v>
      </c>
      <c r="R124" s="60">
        <f t="shared" si="83"/>
        <v>1382446693110.9851</v>
      </c>
      <c r="S124" s="60">
        <f t="shared" si="83"/>
        <v>1380390593378.1267</v>
      </c>
      <c r="T124" s="60">
        <f t="shared" si="83"/>
        <v>1377586821015.1379</v>
      </c>
      <c r="U124" s="60">
        <f t="shared" si="84"/>
        <v>1373848457864.4863</v>
      </c>
      <c r="V124" s="60">
        <f t="shared" si="84"/>
        <v>1370297012871.3672</v>
      </c>
      <c r="W124" s="60">
        <f t="shared" si="84"/>
        <v>1366745567878.248</v>
      </c>
      <c r="X124" s="60">
        <f t="shared" si="84"/>
        <v>1363194122885.1289</v>
      </c>
      <c r="Y124" s="60">
        <f t="shared" si="84"/>
        <v>1359829596049.5425</v>
      </c>
      <c r="Z124" s="60">
        <f t="shared" si="84"/>
        <v>1356465069213.9563</v>
      </c>
      <c r="AA124" s="60">
        <f t="shared" si="84"/>
        <v>1353100542378.3696</v>
      </c>
      <c r="AB124" s="60">
        <f t="shared" si="84"/>
        <v>1349922933700.3157</v>
      </c>
      <c r="AC124" s="60">
        <f t="shared" si="84"/>
        <v>1346745325022.2615</v>
      </c>
      <c r="AD124" s="60">
        <f t="shared" si="84"/>
        <v>1343754634501.7405</v>
      </c>
      <c r="AE124" s="60">
        <f t="shared" si="85"/>
        <v>1340390107666.1538</v>
      </c>
      <c r="AF124" s="60">
        <f t="shared" si="85"/>
        <v>1337399417145.6326</v>
      </c>
      <c r="AG124" s="60">
        <f t="shared" si="85"/>
        <v>1334408726625.1113</v>
      </c>
      <c r="AH124" s="60">
        <f t="shared" si="85"/>
        <v>1331791872419.655</v>
      </c>
      <c r="AI124" s="60">
        <f t="shared" si="85"/>
        <v>1329175018214.199</v>
      </c>
      <c r="AJ124" s="60">
        <f t="shared" si="85"/>
        <v>1325810491378.6125</v>
      </c>
      <c r="AK124" s="60">
        <f t="shared" si="85"/>
        <v>1322632882700.5586</v>
      </c>
      <c r="AL124" s="60">
        <f t="shared" si="85"/>
        <v>1319829110337.5696</v>
      </c>
      <c r="AM124" s="60">
        <f t="shared" si="85"/>
        <v>1317212256132.1138</v>
      </c>
      <c r="AN124" s="60">
        <f t="shared" si="85"/>
        <v>1314595401926.6575</v>
      </c>
    </row>
    <row r="125" spans="6:40">
      <c r="I125" s="1" t="s">
        <v>81</v>
      </c>
      <c r="J125" s="7" cm="1">
        <f t="array" ref="J125">TREND($O125:$T125,$O$3:$T$3,J$3)</f>
        <v>0</v>
      </c>
      <c r="K125" s="7">
        <v>0</v>
      </c>
      <c r="L125" s="7">
        <v>0</v>
      </c>
      <c r="M125" s="7">
        <v>0</v>
      </c>
      <c r="N125" s="7">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c r="I126" s="1" t="s">
        <v>162</v>
      </c>
      <c r="J126" s="7" cm="1">
        <f t="array" ref="J126">TREND($O126:$T126,$O$3:$T$3,J$3)</f>
        <v>0</v>
      </c>
      <c r="K126" s="7">
        <v>0</v>
      </c>
      <c r="L126" s="7">
        <v>0</v>
      </c>
      <c r="M126" s="7">
        <v>0</v>
      </c>
      <c r="N126" s="7">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c r="I127" s="1" t="s">
        <v>446</v>
      </c>
      <c r="J127" s="7" cm="1">
        <f t="array" ref="J127">TREND($O127:$T127,$O$3:$T$3,J$3)</f>
        <v>0</v>
      </c>
      <c r="K127" s="7">
        <v>0</v>
      </c>
      <c r="L127" s="7">
        <v>0</v>
      </c>
      <c r="M127" s="7">
        <v>0</v>
      </c>
      <c r="N127" s="7">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c r="I128" s="1" t="s">
        <v>447</v>
      </c>
      <c r="J128" s="7" cm="1">
        <f t="array" ref="J128">TREND($O128:$T128,$O$3:$T$3,J$3)</f>
        <v>0</v>
      </c>
      <c r="K128" s="7">
        <v>0</v>
      </c>
      <c r="L128" s="7">
        <v>0</v>
      </c>
      <c r="M128" s="7">
        <v>0</v>
      </c>
      <c r="N128" s="7">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c r="H129" s="8" t="s">
        <v>221</v>
      </c>
      <c r="I129" s="1" t="s">
        <v>448</v>
      </c>
      <c r="J129" s="60" cm="1">
        <f t="array" ref="J129">TREND($O129:$T129,$O$3:$T$3,J$3)</f>
        <v>12301217460189</v>
      </c>
      <c r="K129" s="60">
        <f t="shared" ref="K129" si="86">INDEX(Table4,MATCH($H129,Table4_A,0),MATCH(K$120,Table4_1,0))*Percent_rural*quadrillion</f>
        <v>13704652392131.465</v>
      </c>
      <c r="L129" s="60">
        <f t="shared" ref="L129:N129" si="87">INDEX(Table4_22,MATCH($H129,Table4_A_22,0),MATCH(L$120,Table4_1_22,0))*Percent_rural*quadrillion</f>
        <v>13745961304946.164</v>
      </c>
      <c r="M129" s="60">
        <f t="shared" si="87"/>
        <v>13809700396664.779</v>
      </c>
      <c r="N129" s="60">
        <f t="shared" si="87"/>
        <v>14025964704929.977</v>
      </c>
      <c r="O129" s="60">
        <f t="shared" ref="O129:AN129" si="88">INDEX(Table4_22,MATCH($H129,Table4_A_22,0),MATCH(O$120,Table4_1_22,0))*Percent_rural*quadrillion</f>
        <v>14386529830810.326</v>
      </c>
      <c r="P129" s="60">
        <f t="shared" si="88"/>
        <v>14807282603416.172</v>
      </c>
      <c r="Q129" s="60">
        <f t="shared" si="88"/>
        <v>15245979519145.146</v>
      </c>
      <c r="R129" s="60">
        <f t="shared" si="88"/>
        <v>15674769772524.893</v>
      </c>
      <c r="S129" s="60">
        <f t="shared" si="88"/>
        <v>16083746701206.184</v>
      </c>
      <c r="T129" s="60">
        <f t="shared" si="88"/>
        <v>16468611187565.773</v>
      </c>
      <c r="U129" s="60">
        <f t="shared" si="88"/>
        <v>16832727758439.244</v>
      </c>
      <c r="V129" s="60">
        <f t="shared" si="88"/>
        <v>17181143204079.982</v>
      </c>
      <c r="W129" s="60">
        <f t="shared" si="88"/>
        <v>17515913624220.836</v>
      </c>
      <c r="X129" s="60">
        <f t="shared" si="88"/>
        <v>17843020399902.859</v>
      </c>
      <c r="Y129" s="60">
        <f t="shared" si="88"/>
        <v>18174239375050.594</v>
      </c>
      <c r="Z129" s="60">
        <f t="shared" si="88"/>
        <v>18517234194122.887</v>
      </c>
      <c r="AA129" s="60">
        <f t="shared" si="88"/>
        <v>18868453412126.609</v>
      </c>
      <c r="AB129" s="60">
        <f t="shared" si="88"/>
        <v>19219485711972.797</v>
      </c>
      <c r="AC129" s="60">
        <f t="shared" si="88"/>
        <v>19578555492592.891</v>
      </c>
      <c r="AD129" s="60">
        <f t="shared" si="88"/>
        <v>19941924390836.234</v>
      </c>
      <c r="AE129" s="60">
        <f t="shared" si="88"/>
        <v>20307723225127.5</v>
      </c>
      <c r="AF129" s="60">
        <f t="shared" si="88"/>
        <v>20677073504411.883</v>
      </c>
      <c r="AG129" s="60">
        <f t="shared" si="88"/>
        <v>21056891200518.094</v>
      </c>
      <c r="AH129" s="60">
        <f t="shared" si="88"/>
        <v>21448484740548.855</v>
      </c>
      <c r="AI129" s="60">
        <f t="shared" si="88"/>
        <v>21844938152675.465</v>
      </c>
      <c r="AJ129" s="60">
        <f t="shared" si="88"/>
        <v>22230924147980.246</v>
      </c>
      <c r="AK129" s="60">
        <f t="shared" si="88"/>
        <v>22623639196956.207</v>
      </c>
      <c r="AL129" s="60">
        <f t="shared" si="88"/>
        <v>23021214118028.008</v>
      </c>
      <c r="AM129" s="60">
        <f t="shared" si="88"/>
        <v>23424957338298.387</v>
      </c>
      <c r="AN129" s="60">
        <f t="shared" si="88"/>
        <v>23833747348822.152</v>
      </c>
    </row>
    <row r="130" spans="1:40">
      <c r="I130" s="1" t="s">
        <v>449</v>
      </c>
      <c r="J130" s="7" cm="1">
        <f t="array" ref="J130">TREND($O130:$T130,$O$3:$T$3,J$3)</f>
        <v>0</v>
      </c>
      <c r="K130" s="7">
        <v>0</v>
      </c>
      <c r="L130" s="7">
        <v>0</v>
      </c>
      <c r="M130" s="7">
        <v>0</v>
      </c>
      <c r="N130" s="7">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8.75">
      <c r="A131" s="61" t="s">
        <v>74</v>
      </c>
      <c r="B131" s="61"/>
      <c r="C131" s="61"/>
      <c r="D131" s="61"/>
      <c r="E131" s="61"/>
      <c r="F131" s="61" t="s">
        <v>74</v>
      </c>
      <c r="G131" s="61"/>
    </row>
    <row r="132" spans="1:40">
      <c r="H132" s="1" t="s">
        <v>594</v>
      </c>
    </row>
    <row r="133" spans="1:40">
      <c r="I133" s="1" t="s">
        <v>75</v>
      </c>
      <c r="J133" s="1" cm="1">
        <f t="array" ref="J133">TREND($O133:$T133,$O$3:$T$3,J$3)</f>
        <v>2020</v>
      </c>
      <c r="K133" s="1">
        <v>2021</v>
      </c>
      <c r="L133" s="1">
        <v>2022</v>
      </c>
      <c r="M133" s="1">
        <v>2023</v>
      </c>
      <c r="N133" s="1">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c r="H134" s="8" t="s">
        <v>333</v>
      </c>
      <c r="I134" s="1" t="s">
        <v>76</v>
      </c>
      <c r="J134" s="60" cm="1">
        <f t="array" ref="J134">TREND($O134:$T134,$O$3:$T$3,J$3)</f>
        <v>113627523809523.75</v>
      </c>
      <c r="K134" s="60">
        <f>INDEX(Table5,MATCH($H134,Table5_A,0),MATCH(K$133,Table5_1,0))*quadrillion</f>
        <v>115345000000000</v>
      </c>
      <c r="L134" s="60">
        <f t="shared" ref="L134:N134" si="89">INDEX(Table5_22,MATCH($H134,Table5_A_22,0),MATCH(L$133,Table5_1_22,0))*quadrillion</f>
        <v>119273000000000</v>
      </c>
      <c r="M134" s="60">
        <f t="shared" si="89"/>
        <v>118361000000000</v>
      </c>
      <c r="N134" s="60">
        <f t="shared" si="89"/>
        <v>110862000000000</v>
      </c>
      <c r="O134" s="60">
        <f t="shared" ref="O134:AN134" si="90">INDEX(Table5_22,MATCH($H134,Table5_A_22,0),MATCH(O$133,Table5_1_22,0))*quadrillion</f>
        <v>111099000000000</v>
      </c>
      <c r="P134" s="60">
        <f t="shared" si="90"/>
        <v>111147000000000</v>
      </c>
      <c r="Q134" s="60">
        <f t="shared" si="90"/>
        <v>110854000000000</v>
      </c>
      <c r="R134" s="60">
        <f t="shared" si="90"/>
        <v>110384000000000</v>
      </c>
      <c r="S134" s="60">
        <f t="shared" si="90"/>
        <v>109759000000000</v>
      </c>
      <c r="T134" s="60">
        <f t="shared" si="90"/>
        <v>108987000000000</v>
      </c>
      <c r="U134" s="60">
        <f t="shared" si="90"/>
        <v>108285000000000</v>
      </c>
      <c r="V134" s="60">
        <f t="shared" si="90"/>
        <v>107479000000000</v>
      </c>
      <c r="W134" s="60">
        <f t="shared" si="90"/>
        <v>106449000000000</v>
      </c>
      <c r="X134" s="60">
        <f t="shared" si="90"/>
        <v>105275000000000</v>
      </c>
      <c r="Y134" s="60">
        <f t="shared" si="90"/>
        <v>104142000000000</v>
      </c>
      <c r="Z134" s="60">
        <f t="shared" si="90"/>
        <v>102983000000000</v>
      </c>
      <c r="AA134" s="60">
        <f t="shared" si="90"/>
        <v>101737000000000</v>
      </c>
      <c r="AB134" s="60">
        <f t="shared" si="90"/>
        <v>100347000000000</v>
      </c>
      <c r="AC134" s="60">
        <f t="shared" si="90"/>
        <v>98874000000000</v>
      </c>
      <c r="AD134" s="60">
        <f t="shared" si="90"/>
        <v>97414000000000</v>
      </c>
      <c r="AE134" s="60">
        <f t="shared" si="90"/>
        <v>96060000000000</v>
      </c>
      <c r="AF134" s="60">
        <f t="shared" si="90"/>
        <v>94758000000000</v>
      </c>
      <c r="AG134" s="60">
        <f t="shared" si="90"/>
        <v>93488000000000</v>
      </c>
      <c r="AH134" s="60">
        <f t="shared" si="90"/>
        <v>92216000000000</v>
      </c>
      <c r="AI134" s="60">
        <f t="shared" si="90"/>
        <v>90939000000000</v>
      </c>
      <c r="AJ134" s="60">
        <f t="shared" si="90"/>
        <v>89708000000000</v>
      </c>
      <c r="AK134" s="60">
        <f t="shared" si="90"/>
        <v>88523000000000</v>
      </c>
      <c r="AL134" s="60">
        <f t="shared" si="90"/>
        <v>87315000000000</v>
      </c>
      <c r="AM134" s="60">
        <f t="shared" si="90"/>
        <v>86134000000000</v>
      </c>
      <c r="AN134" s="60">
        <f t="shared" si="90"/>
        <v>84990000000000</v>
      </c>
    </row>
    <row r="135" spans="1:40">
      <c r="I135" s="1" t="s">
        <v>77</v>
      </c>
      <c r="J135" s="7" cm="1">
        <f t="array" ref="J135">TREND($O135:$T135,$O$3:$T$3,J$3)</f>
        <v>0</v>
      </c>
      <c r="K135" s="7">
        <v>0</v>
      </c>
      <c r="L135" s="7">
        <v>0</v>
      </c>
      <c r="M135" s="7">
        <v>0</v>
      </c>
      <c r="N135" s="7">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c r="H136" s="8" t="s">
        <v>323</v>
      </c>
      <c r="I136" s="1" t="s">
        <v>78</v>
      </c>
      <c r="J136" s="60" cm="1">
        <f t="array" ref="J136">TREND($O136:$T136,$O$3:$T$3,J$3)</f>
        <v>1789100000000000</v>
      </c>
      <c r="K136" s="60">
        <f t="shared" ref="K136:K137" si="91">INDEX(Table5,MATCH($H136,Table5_A,0),MATCH(K$133,Table5_1,0))*quadrillion</f>
        <v>1803724000000000</v>
      </c>
      <c r="L136" s="60">
        <f t="shared" ref="L136:N137" si="92">INDEX(Table5_22,MATCH($H136,Table5_A_22,0),MATCH(L$133,Table5_1_22,0))*quadrillion</f>
        <v>1825454000000000</v>
      </c>
      <c r="M136" s="60">
        <f t="shared" si="92"/>
        <v>1794700000000000</v>
      </c>
      <c r="N136" s="60">
        <f t="shared" si="92"/>
        <v>1706173000000000</v>
      </c>
      <c r="O136" s="60">
        <f t="shared" ref="O136:R136" si="93">$T$136</f>
        <v>1789100000000000</v>
      </c>
      <c r="P136" s="60">
        <f t="shared" si="93"/>
        <v>1789100000000000</v>
      </c>
      <c r="Q136" s="60">
        <f t="shared" si="93"/>
        <v>1789100000000000</v>
      </c>
      <c r="R136" s="60">
        <f t="shared" si="93"/>
        <v>1789100000000000</v>
      </c>
      <c r="S136" s="60">
        <f>$T$136</f>
        <v>1789100000000000</v>
      </c>
      <c r="T136" s="60">
        <f t="shared" ref="O136:Y137" si="94">INDEX(Table5_22,MATCH($H136,Table5_A_22,0),MATCH(T$133,Table5_1_22,0))*quadrillion</f>
        <v>1789100000000000</v>
      </c>
      <c r="U136" s="60">
        <f t="shared" ref="U136:AD137" si="95">INDEX(Table5_22,MATCH($H136,Table5_A_22,0),MATCH(U$133,Table5_1_22,0))*quadrillion</f>
        <v>1787161000000000</v>
      </c>
      <c r="V136" s="60">
        <f t="shared" si="95"/>
        <v>1783530000000000</v>
      </c>
      <c r="W136" s="60">
        <f t="shared" si="95"/>
        <v>1776289000000000</v>
      </c>
      <c r="X136" s="60">
        <f t="shared" si="95"/>
        <v>1767478000000000</v>
      </c>
      <c r="Y136" s="60">
        <f t="shared" si="95"/>
        <v>1757646000000000</v>
      </c>
      <c r="Z136" s="60">
        <f t="shared" si="95"/>
        <v>1748321000000000</v>
      </c>
      <c r="AA136" s="60">
        <f t="shared" si="95"/>
        <v>1738137000000000</v>
      </c>
      <c r="AB136" s="60">
        <f t="shared" si="95"/>
        <v>1725022000000000</v>
      </c>
      <c r="AC136" s="60">
        <f t="shared" si="95"/>
        <v>1712733000000000</v>
      </c>
      <c r="AD136" s="60">
        <f t="shared" si="95"/>
        <v>1699783000000000</v>
      </c>
      <c r="AE136" s="60">
        <f t="shared" ref="AE136:AN137" si="96">INDEX(Table5_22,MATCH($H136,Table5_A_22,0),MATCH(AE$133,Table5_1_22,0))*quadrillion</f>
        <v>1686558000000000</v>
      </c>
      <c r="AF136" s="60">
        <f t="shared" si="96"/>
        <v>1673985000000000</v>
      </c>
      <c r="AG136" s="60">
        <f t="shared" si="96"/>
        <v>1663169000000000</v>
      </c>
      <c r="AH136" s="60">
        <f t="shared" si="96"/>
        <v>1653979000000000</v>
      </c>
      <c r="AI136" s="60">
        <f t="shared" si="96"/>
        <v>1642917000000000</v>
      </c>
      <c r="AJ136" s="60">
        <f t="shared" si="96"/>
        <v>1629286000000000</v>
      </c>
      <c r="AK136" s="60">
        <f t="shared" si="96"/>
        <v>1617342000000000</v>
      </c>
      <c r="AL136" s="60">
        <f t="shared" si="96"/>
        <v>1607314000000000</v>
      </c>
      <c r="AM136" s="60">
        <f t="shared" si="96"/>
        <v>1597087000000000</v>
      </c>
      <c r="AN136" s="60">
        <f t="shared" si="96"/>
        <v>1585169000000000</v>
      </c>
    </row>
    <row r="137" spans="1:40">
      <c r="H137" s="8" t="s">
        <v>317</v>
      </c>
      <c r="I137" s="1" t="s">
        <v>79</v>
      </c>
      <c r="J137" s="60" cm="1">
        <f t="array" ref="J137">TREND($O137:$T137,$O$3:$T$3,J$3)</f>
        <v>191903047619047.66</v>
      </c>
      <c r="K137" s="60">
        <f t="shared" si="91"/>
        <v>214504000000000</v>
      </c>
      <c r="L137" s="60">
        <f t="shared" si="92"/>
        <v>212071000000000</v>
      </c>
      <c r="M137" s="60">
        <f t="shared" si="92"/>
        <v>206160000000000</v>
      </c>
      <c r="N137" s="60">
        <f t="shared" si="92"/>
        <v>189944000000000</v>
      </c>
      <c r="O137" s="60">
        <f t="shared" si="94"/>
        <v>191777000000000</v>
      </c>
      <c r="P137" s="60">
        <f t="shared" si="94"/>
        <v>193137000000000</v>
      </c>
      <c r="Q137" s="60">
        <f t="shared" si="94"/>
        <v>194076000000000</v>
      </c>
      <c r="R137" s="60">
        <f t="shared" si="94"/>
        <v>194863000000000</v>
      </c>
      <c r="S137" s="60">
        <f t="shared" si="94"/>
        <v>194118000000000</v>
      </c>
      <c r="T137" s="60">
        <f t="shared" si="94"/>
        <v>192428000000000</v>
      </c>
      <c r="U137" s="60">
        <f t="shared" si="95"/>
        <v>190378000000000</v>
      </c>
      <c r="V137" s="60">
        <f t="shared" si="95"/>
        <v>188286000000000</v>
      </c>
      <c r="W137" s="60">
        <f t="shared" si="95"/>
        <v>186091000000000</v>
      </c>
      <c r="X137" s="60">
        <f t="shared" si="95"/>
        <v>183872000000000</v>
      </c>
      <c r="Y137" s="60">
        <f t="shared" si="95"/>
        <v>181496000000000</v>
      </c>
      <c r="Z137" s="60">
        <f t="shared" si="95"/>
        <v>179108000000000</v>
      </c>
      <c r="AA137" s="60">
        <f t="shared" si="95"/>
        <v>176649000000000</v>
      </c>
      <c r="AB137" s="60">
        <f t="shared" si="95"/>
        <v>174150000000000</v>
      </c>
      <c r="AC137" s="60">
        <f t="shared" si="95"/>
        <v>171617000000000</v>
      </c>
      <c r="AD137" s="60">
        <f t="shared" si="95"/>
        <v>169061000000000</v>
      </c>
      <c r="AE137" s="60">
        <f t="shared" si="96"/>
        <v>166513000000000</v>
      </c>
      <c r="AF137" s="60">
        <f t="shared" si="96"/>
        <v>164037000000000</v>
      </c>
      <c r="AG137" s="60">
        <f t="shared" si="96"/>
        <v>161519000000000</v>
      </c>
      <c r="AH137" s="60">
        <f t="shared" si="96"/>
        <v>159163000000000</v>
      </c>
      <c r="AI137" s="60">
        <f t="shared" si="96"/>
        <v>156796000000000</v>
      </c>
      <c r="AJ137" s="60">
        <f t="shared" si="96"/>
        <v>154307000000000</v>
      </c>
      <c r="AK137" s="60">
        <f t="shared" si="96"/>
        <v>151870000000000</v>
      </c>
      <c r="AL137" s="60">
        <f t="shared" si="96"/>
        <v>149531000000000</v>
      </c>
      <c r="AM137" s="60">
        <f t="shared" si="96"/>
        <v>147200000000000</v>
      </c>
      <c r="AN137" s="60">
        <f t="shared" si="96"/>
        <v>144935000000000</v>
      </c>
    </row>
    <row r="138" spans="1:40">
      <c r="I138" s="1" t="s">
        <v>81</v>
      </c>
      <c r="J138" s="63" cm="1">
        <f t="array" ref="J138">TREND($O138:$T138,$O$3:$T$3,J$3)</f>
        <v>316453454465051.5</v>
      </c>
      <c r="K138" s="63">
        <f>'[5]District Heat'!F9</f>
        <v>336352809191520</v>
      </c>
      <c r="L138" s="63">
        <f>'[5]District Heat'!G9</f>
        <v>340014333941918.56</v>
      </c>
      <c r="M138" s="63">
        <f>'[5]District Heat'!H9</f>
        <v>334090249852084.81</v>
      </c>
      <c r="N138" s="63">
        <f>'[5]District Heat'!I9</f>
        <v>316395560235523.94</v>
      </c>
      <c r="O138" s="63">
        <f>'[4]District Heat'!J9</f>
        <v>321828414190067.88</v>
      </c>
      <c r="P138" s="63">
        <f>'[4]District Heat'!K9</f>
        <v>326050691697599.38</v>
      </c>
      <c r="Q138" s="63">
        <f>'[4]District Heat'!L9</f>
        <v>328612466311996.06</v>
      </c>
      <c r="R138" s="63">
        <f>'[4]District Heat'!M9</f>
        <v>330140860458862.25</v>
      </c>
      <c r="S138" s="63">
        <f>'[4]District Heat'!N9</f>
        <v>330190834769801.56</v>
      </c>
      <c r="T138" s="63">
        <f>'[4]District Heat'!O9</f>
        <v>329564658230208.81</v>
      </c>
      <c r="U138" s="63">
        <f>'[4]District Heat'!P9</f>
        <v>328825290664576.75</v>
      </c>
      <c r="V138" s="63">
        <f>'[4]District Heat'!Q9</f>
        <v>327796009036429.31</v>
      </c>
      <c r="W138" s="63">
        <f>'[4]District Heat'!R9</f>
        <v>326146226184757.81</v>
      </c>
      <c r="X138" s="63">
        <f>'[4]District Heat'!S9</f>
        <v>324221978742091.56</v>
      </c>
      <c r="Y138" s="63">
        <f>'[4]District Heat'!T9</f>
        <v>322118958843257.63</v>
      </c>
      <c r="Z138" s="63">
        <f>'[4]District Heat'!U9</f>
        <v>320089718053318.31</v>
      </c>
      <c r="AA138" s="63">
        <f>'[4]District Heat'!V9</f>
        <v>317900149584434.81</v>
      </c>
      <c r="AB138" s="63">
        <f>'[4]District Heat'!W9</f>
        <v>315219508627930.19</v>
      </c>
      <c r="AC138" s="63">
        <f>'[4]District Heat'!X9</f>
        <v>312650639868447.5</v>
      </c>
      <c r="AD138" s="63">
        <f>'[4]District Heat'!Y9</f>
        <v>309975989523348.69</v>
      </c>
      <c r="AE138" s="63">
        <f>'[4]District Heat'!Z9</f>
        <v>307275957903608.88</v>
      </c>
      <c r="AF138" s="63">
        <f>'[4]District Heat'!AA9</f>
        <v>304698260874685.75</v>
      </c>
      <c r="AG138" s="63">
        <f>'[4]District Heat'!AB9</f>
        <v>302395974322768.94</v>
      </c>
      <c r="AH138" s="63">
        <f>'[4]District Heat'!AC9</f>
        <v>300375088859264.19</v>
      </c>
      <c r="AI138" s="63">
        <f>'[4]District Heat'!AD9</f>
        <v>298057037540489.5</v>
      </c>
      <c r="AJ138" s="63">
        <f>'[4]District Heat'!AE9</f>
        <v>295321377547651</v>
      </c>
      <c r="AK138" s="63">
        <f>'[4]District Heat'!AF9</f>
        <v>292867591586230.38</v>
      </c>
      <c r="AL138" s="63">
        <f>'[4]District Heat'!AG9</f>
        <v>290727524485280.56</v>
      </c>
      <c r="AM138" s="63">
        <f>'[4]District Heat'!AH9</f>
        <v>288561603166683.88</v>
      </c>
      <c r="AN138" s="63">
        <f>'[4]District Heat'!AI9</f>
        <v>286145337350384.88</v>
      </c>
    </row>
    <row r="139" spans="1:40">
      <c r="I139" s="1" t="s">
        <v>162</v>
      </c>
      <c r="J139" s="7" cm="1">
        <f t="array" ref="J139">TREND($O139:$T139,$O$3:$T$3,J$3)</f>
        <v>0</v>
      </c>
      <c r="K139" s="7">
        <v>0</v>
      </c>
      <c r="L139" s="7">
        <v>0</v>
      </c>
      <c r="M139" s="7">
        <v>0</v>
      </c>
      <c r="N139" s="7">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c r="I140" s="1" t="s">
        <v>446</v>
      </c>
      <c r="J140" s="7" cm="1">
        <f t="array" ref="J140">TREND($O140:$T140,$O$3:$T$3,J$3)</f>
        <v>0</v>
      </c>
      <c r="K140" s="7">
        <v>0</v>
      </c>
      <c r="L140" s="7">
        <v>0</v>
      </c>
      <c r="M140" s="7">
        <v>0</v>
      </c>
      <c r="N140" s="7">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c r="I141" s="1" t="s">
        <v>447</v>
      </c>
      <c r="J141" s="7" cm="1">
        <f t="array" ref="J141">TREND($O141:$T141,$O$3:$T$3,J$3)</f>
        <v>0</v>
      </c>
      <c r="K141" s="7">
        <v>0</v>
      </c>
      <c r="L141" s="7">
        <v>0</v>
      </c>
      <c r="M141" s="7">
        <v>0</v>
      </c>
      <c r="N141" s="7">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c r="F142" s="8" t="s">
        <v>314</v>
      </c>
      <c r="G142" s="8" t="s">
        <v>317</v>
      </c>
      <c r="H142" s="8" t="s">
        <v>312</v>
      </c>
      <c r="I142" s="1" t="s">
        <v>448</v>
      </c>
      <c r="J142" s="60" cm="1">
        <f t="array" ref="J142">TREND($O142:$T142,$O$3:$T$3,J$3)</f>
        <v>397070444908951.94</v>
      </c>
      <c r="K142" s="60">
        <f>INDEX(Table5,MATCH($H$142,Table5_A,0),MATCH(K$133,'[5]AEO22 Table 5'!$C$1:$AH$1,0))*(1-Fraction_coal)*INDEX(Table5,MATCH($G$142,Table5_A,0),MATCH(K$133,'[5]AEO22 Table 5'!$C$1:$AI$1,0))/INDEX(Table5,MATCH($F$142,Table5_A,0),MATCH(K$133,'[5]AEO22 Table 5'!$C$1:$AH$1,0))*quadrillion</f>
        <v>359363595342854.44</v>
      </c>
      <c r="L142" s="60">
        <f t="shared" ref="L142:N142" si="97">INDEX(Table5_22,MATCH($H$142,Table5_A_22,0),MATCH(L$133,Table5_1_22,0))*(1-Fraction_coal)*INDEX(Table5_22,MATCH($G$142,Table5_A_22,0),MATCH(L$133,Table5_1_22,0))/INDEX(Table5_22,MATCH($F$142,Table5_A_22,0),MATCH(L$133,Table5_1_22,0))*quadrillion</f>
        <v>409805170050857.56</v>
      </c>
      <c r="M142" s="60">
        <f t="shared" si="97"/>
        <v>409851692868979.25</v>
      </c>
      <c r="N142" s="60">
        <f t="shared" si="97"/>
        <v>396667877678779.75</v>
      </c>
      <c r="O142" s="60">
        <f t="shared" ref="O142:AN142" si="98">INDEX(Table5_22,MATCH($H$142,Table5_A_22,0),MATCH(O$133,Table5_1_22,0))*(1-Fraction_coal)*INDEX(Table5_22,MATCH($G$142,Table5_A_22,0),MATCH(O$133,Table5_1_22,0))/INDEX(Table5_22,MATCH($F$142,Table5_A_22,0),MATCH(O$133,Table5_1_22,0))*quadrillion</f>
        <v>396429817341969.69</v>
      </c>
      <c r="P142" s="60">
        <f t="shared" si="98"/>
        <v>395393180255775.06</v>
      </c>
      <c r="Q142" s="60">
        <f t="shared" si="98"/>
        <v>394541126869634.81</v>
      </c>
      <c r="R142" s="60">
        <f t="shared" si="98"/>
        <v>394538558798236.06</v>
      </c>
      <c r="S142" s="60">
        <f t="shared" si="98"/>
        <v>394530901851124.31</v>
      </c>
      <c r="T142" s="60">
        <f t="shared" si="98"/>
        <v>395097968936789.25</v>
      </c>
      <c r="U142" s="60">
        <f t="shared" si="98"/>
        <v>394587299047779.38</v>
      </c>
      <c r="V142" s="60">
        <f t="shared" si="98"/>
        <v>394576500521628.63</v>
      </c>
      <c r="W142" s="60">
        <f t="shared" si="98"/>
        <v>394298838277933.81</v>
      </c>
      <c r="X142" s="60">
        <f t="shared" si="98"/>
        <v>393792142835134.88</v>
      </c>
      <c r="Y142" s="60">
        <f t="shared" si="98"/>
        <v>393209217331010.5</v>
      </c>
      <c r="Z142" s="60">
        <f t="shared" si="98"/>
        <v>392311539268440.69</v>
      </c>
      <c r="AA142" s="60">
        <f t="shared" si="98"/>
        <v>391188002490874.63</v>
      </c>
      <c r="AB142" s="60">
        <f t="shared" si="98"/>
        <v>389967270808077.88</v>
      </c>
      <c r="AC142" s="60">
        <f t="shared" si="98"/>
        <v>388791962232023.31</v>
      </c>
      <c r="AD142" s="60">
        <f t="shared" si="98"/>
        <v>387466086786806.38</v>
      </c>
      <c r="AE142" s="60">
        <f t="shared" si="98"/>
        <v>386150224796638.44</v>
      </c>
      <c r="AF142" s="60">
        <f t="shared" si="98"/>
        <v>384800463163699.06</v>
      </c>
      <c r="AG142" s="60">
        <f t="shared" si="98"/>
        <v>383465937998369.31</v>
      </c>
      <c r="AH142" s="60">
        <f t="shared" si="98"/>
        <v>382043292076912.5</v>
      </c>
      <c r="AI142" s="60">
        <f t="shared" si="98"/>
        <v>380608639894376.88</v>
      </c>
      <c r="AJ142" s="60">
        <f t="shared" si="98"/>
        <v>379354895822115.56</v>
      </c>
      <c r="AK142" s="60">
        <f t="shared" si="98"/>
        <v>378281066309297.88</v>
      </c>
      <c r="AL142" s="60">
        <f t="shared" si="98"/>
        <v>376846816235925.69</v>
      </c>
      <c r="AM142" s="60">
        <f t="shared" si="98"/>
        <v>375369305346379.38</v>
      </c>
      <c r="AN142" s="60">
        <f t="shared" si="98"/>
        <v>373839200138353.56</v>
      </c>
    </row>
    <row r="143" spans="1:40">
      <c r="I143" s="1" t="s">
        <v>449</v>
      </c>
      <c r="J143" s="7" cm="1">
        <f t="array" ref="J143">TREND($O143:$T143,$O$3:$T$3,J$3)</f>
        <v>0</v>
      </c>
      <c r="K143" s="7">
        <v>0</v>
      </c>
      <c r="L143" s="7">
        <v>0</v>
      </c>
      <c r="M143" s="7">
        <v>0</v>
      </c>
      <c r="N143" s="7">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c r="H145" s="1" t="s">
        <v>595</v>
      </c>
    </row>
    <row r="146" spans="7:40">
      <c r="I146" s="1" t="s">
        <v>75</v>
      </c>
      <c r="J146" s="1" cm="1">
        <f t="array" ref="J146">TREND($O146:$T146,$O$3:$T$3,J$3)</f>
        <v>2020</v>
      </c>
      <c r="K146" s="1">
        <v>2021</v>
      </c>
      <c r="L146" s="1">
        <v>2022</v>
      </c>
      <c r="M146" s="1">
        <v>2023</v>
      </c>
      <c r="N146" s="1">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c r="G147" s="8" t="s">
        <v>330</v>
      </c>
      <c r="H147" s="8" t="s">
        <v>332</v>
      </c>
      <c r="I147" s="1" t="s">
        <v>76</v>
      </c>
      <c r="J147" s="60" cm="1">
        <f t="array" ref="J147">TREND($O147:$T147,$O$3:$T$3,J$3)</f>
        <v>955882666666666.5</v>
      </c>
      <c r="K147" s="60">
        <f t="shared" ref="K147" si="99">SUM(INDEX(Table5,MATCH($G147,Table5_A,0),MATCH(K$146,Table5_1,0)),INDEX(Table5,MATCH($H147,Table5_A,0),MATCH(K$146,Table5_1,0)))*quadrillion</f>
        <v>1025491000000000.1</v>
      </c>
      <c r="L147" s="60">
        <f t="shared" ref="L147:N147" si="100">SUM(INDEX(Table5_22,MATCH($G147,Table5_A_22,0),MATCH(L$146,Table5_1_22,0)),INDEX(Table5_22,MATCH($H147,Table5_A_22,0),MATCH(L$146,Table5_1_22,0)))*quadrillion</f>
        <v>961673000000000</v>
      </c>
      <c r="M147" s="60">
        <f t="shared" si="100"/>
        <v>885270000000000</v>
      </c>
      <c r="N147" s="60">
        <f t="shared" si="100"/>
        <v>950810000000000</v>
      </c>
      <c r="O147" s="60">
        <f t="shared" ref="O147:AN147" si="101">SUM(INDEX(Table5_22,MATCH($G147,Table5_A_22,0),MATCH(O$146,Table5_1_22,0)),INDEX(Table5_22,MATCH($H147,Table5_A_22,0),MATCH(O$146,Table5_1_22,0)))*quadrillion</f>
        <v>954330000000000</v>
      </c>
      <c r="P147" s="60">
        <f t="shared" si="101"/>
        <v>955889999999999.88</v>
      </c>
      <c r="Q147" s="60">
        <f t="shared" si="101"/>
        <v>956280000000000</v>
      </c>
      <c r="R147" s="60">
        <f t="shared" si="101"/>
        <v>956411000000000</v>
      </c>
      <c r="S147" s="60">
        <f t="shared" si="101"/>
        <v>956067000000000</v>
      </c>
      <c r="T147" s="60">
        <f t="shared" si="101"/>
        <v>953807000000000.13</v>
      </c>
      <c r="U147" s="60">
        <f t="shared" si="101"/>
        <v>952161000000000</v>
      </c>
      <c r="V147" s="60">
        <f t="shared" si="101"/>
        <v>950743000000000</v>
      </c>
      <c r="W147" s="60">
        <f t="shared" si="101"/>
        <v>947278000000000</v>
      </c>
      <c r="X147" s="60">
        <f t="shared" si="101"/>
        <v>943400999999999.88</v>
      </c>
      <c r="Y147" s="60">
        <f t="shared" si="101"/>
        <v>940440000000000</v>
      </c>
      <c r="Z147" s="60">
        <f t="shared" si="101"/>
        <v>937857000000000</v>
      </c>
      <c r="AA147" s="60">
        <f t="shared" si="101"/>
        <v>935295000000000</v>
      </c>
      <c r="AB147" s="60">
        <f t="shared" si="101"/>
        <v>932130999999999.88</v>
      </c>
      <c r="AC147" s="60">
        <f t="shared" si="101"/>
        <v>929093000000000</v>
      </c>
      <c r="AD147" s="60">
        <f t="shared" si="101"/>
        <v>925905999999999.88</v>
      </c>
      <c r="AE147" s="60">
        <f t="shared" si="101"/>
        <v>923626000000000</v>
      </c>
      <c r="AF147" s="60">
        <f t="shared" si="101"/>
        <v>922056000000000</v>
      </c>
      <c r="AG147" s="60">
        <f t="shared" si="101"/>
        <v>921001000000000</v>
      </c>
      <c r="AH147" s="60">
        <f t="shared" si="101"/>
        <v>920566999999999.88</v>
      </c>
      <c r="AI147" s="60">
        <f t="shared" si="101"/>
        <v>920893000000000</v>
      </c>
      <c r="AJ147" s="60">
        <f t="shared" si="101"/>
        <v>922627000000000</v>
      </c>
      <c r="AK147" s="60">
        <f t="shared" si="101"/>
        <v>925447000000000</v>
      </c>
      <c r="AL147" s="60">
        <f t="shared" si="101"/>
        <v>928647000000000</v>
      </c>
      <c r="AM147" s="60">
        <f t="shared" si="101"/>
        <v>932273000000000</v>
      </c>
      <c r="AN147" s="60">
        <f t="shared" si="101"/>
        <v>936958000000000</v>
      </c>
    </row>
    <row r="148" spans="7:40">
      <c r="I148" s="1" t="s">
        <v>77</v>
      </c>
      <c r="J148" s="7" cm="1">
        <f t="array" ref="J148">TREND($O148:$T148,$O$3:$T$3,J$3)</f>
        <v>0</v>
      </c>
      <c r="K148" s="7">
        <v>0</v>
      </c>
      <c r="L148" s="7">
        <v>0</v>
      </c>
      <c r="M148" s="7">
        <v>0</v>
      </c>
      <c r="N148" s="7">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c r="H149" s="8" t="s">
        <v>322</v>
      </c>
      <c r="I149" s="1" t="s">
        <v>78</v>
      </c>
      <c r="J149" s="60" cm="1">
        <f t="array" ref="J149">TREND($O149:$T149,$O$3:$T$3,J$3)</f>
        <v>25744571428571.438</v>
      </c>
      <c r="K149" s="60">
        <f t="shared" ref="K149" si="102">INDEX(Table5,MATCH($H149,Table5_A,0),MATCH(K$146,Table5_1,0))*quadrillion</f>
        <v>24743000000000</v>
      </c>
      <c r="L149" s="60">
        <f t="shared" ref="L149:N149" si="103">INDEX(Table5_22,MATCH($H149,Table5_A_22,0),MATCH(L$146,Table5_1_22,0))*quadrillion</f>
        <v>24829000000000</v>
      </c>
      <c r="M149" s="60">
        <f t="shared" si="103"/>
        <v>19927000000000</v>
      </c>
      <c r="N149" s="60">
        <f t="shared" si="103"/>
        <v>25627000000000</v>
      </c>
      <c r="O149" s="60">
        <f t="shared" ref="O149:AN149" si="104">INDEX(Table5_22,MATCH($H149,Table5_A_22,0),MATCH(O$146,Table5_1_22,0))*quadrillion</f>
        <v>25995000000000</v>
      </c>
      <c r="P149" s="60">
        <f t="shared" si="104"/>
        <v>26232000000000</v>
      </c>
      <c r="Q149" s="60">
        <f t="shared" si="104"/>
        <v>26372000000000</v>
      </c>
      <c r="R149" s="60">
        <f t="shared" si="104"/>
        <v>26435000000000</v>
      </c>
      <c r="S149" s="60">
        <f t="shared" si="104"/>
        <v>26429000000000</v>
      </c>
      <c r="T149" s="60">
        <f t="shared" si="104"/>
        <v>26391000000000</v>
      </c>
      <c r="U149" s="60">
        <f t="shared" si="104"/>
        <v>26353000000000</v>
      </c>
      <c r="V149" s="60">
        <f t="shared" si="104"/>
        <v>26314000000000</v>
      </c>
      <c r="W149" s="60">
        <f t="shared" si="104"/>
        <v>26221000000000</v>
      </c>
      <c r="X149" s="60">
        <f t="shared" si="104"/>
        <v>26135000000000</v>
      </c>
      <c r="Y149" s="60">
        <f t="shared" si="104"/>
        <v>26053000000000</v>
      </c>
      <c r="Z149" s="60">
        <f t="shared" si="104"/>
        <v>25982000000000</v>
      </c>
      <c r="AA149" s="60">
        <f t="shared" si="104"/>
        <v>25909000000000</v>
      </c>
      <c r="AB149" s="60">
        <f t="shared" si="104"/>
        <v>25794000000000</v>
      </c>
      <c r="AC149" s="60">
        <f t="shared" si="104"/>
        <v>25696000000000</v>
      </c>
      <c r="AD149" s="60">
        <f t="shared" si="104"/>
        <v>25607000000000</v>
      </c>
      <c r="AE149" s="60">
        <f t="shared" si="104"/>
        <v>25509000000000</v>
      </c>
      <c r="AF149" s="60">
        <f t="shared" si="104"/>
        <v>25444000000000</v>
      </c>
      <c r="AG149" s="60">
        <f t="shared" si="104"/>
        <v>25413000000000</v>
      </c>
      <c r="AH149" s="60">
        <f t="shared" si="104"/>
        <v>25411000000000</v>
      </c>
      <c r="AI149" s="60">
        <f t="shared" si="104"/>
        <v>25387000000000</v>
      </c>
      <c r="AJ149" s="60">
        <f t="shared" si="104"/>
        <v>25342000000000</v>
      </c>
      <c r="AK149" s="60">
        <f t="shared" si="104"/>
        <v>25319000000000</v>
      </c>
      <c r="AL149" s="60">
        <f t="shared" si="104"/>
        <v>25355000000000</v>
      </c>
      <c r="AM149" s="60">
        <f t="shared" si="104"/>
        <v>25379000000000</v>
      </c>
      <c r="AN149" s="60">
        <f t="shared" si="104"/>
        <v>25378000000000</v>
      </c>
    </row>
    <row r="150" spans="7:40">
      <c r="I150" s="1" t="s">
        <v>79</v>
      </c>
      <c r="J150" s="7" cm="1">
        <f t="array" ref="J150">TREND($O150:$T150,$O$3:$T$3,J$3)</f>
        <v>0</v>
      </c>
      <c r="K150" s="7">
        <v>0</v>
      </c>
      <c r="L150" s="7">
        <v>0</v>
      </c>
      <c r="M150" s="7">
        <v>0</v>
      </c>
      <c r="N150" s="7">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c r="I151" s="1" t="s">
        <v>81</v>
      </c>
      <c r="J151" s="7" cm="1">
        <f t="array" ref="J151">TREND($O151:$T151,$O$3:$T$3,J$3)</f>
        <v>0</v>
      </c>
      <c r="K151" s="7">
        <v>0</v>
      </c>
      <c r="L151" s="7">
        <v>0</v>
      </c>
      <c r="M151" s="7">
        <v>0</v>
      </c>
      <c r="N151" s="7">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c r="I152" s="1" t="s">
        <v>162</v>
      </c>
      <c r="J152" s="7" cm="1">
        <f t="array" ref="J152">TREND($O152:$T152,$O$3:$T$3,J$3)</f>
        <v>0</v>
      </c>
      <c r="K152" s="7">
        <v>0</v>
      </c>
      <c r="L152" s="7">
        <v>0</v>
      </c>
      <c r="M152" s="7">
        <v>0</v>
      </c>
      <c r="N152" s="7">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c r="I153" s="1" t="s">
        <v>446</v>
      </c>
      <c r="J153" s="7" cm="1">
        <f t="array" ref="J153">TREND($O153:$T153,$O$3:$T$3,J$3)</f>
        <v>0</v>
      </c>
      <c r="K153" s="7">
        <v>0</v>
      </c>
      <c r="L153" s="7">
        <v>0</v>
      </c>
      <c r="M153" s="7">
        <v>0</v>
      </c>
      <c r="N153" s="7">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c r="I154" s="1" t="s">
        <v>447</v>
      </c>
      <c r="J154" s="7" cm="1">
        <f t="array" ref="J154">TREND($O154:$T154,$O$3:$T$3,J$3)</f>
        <v>0</v>
      </c>
      <c r="K154" s="7">
        <v>0</v>
      </c>
      <c r="L154" s="7">
        <v>0</v>
      </c>
      <c r="M154" s="7">
        <v>0</v>
      </c>
      <c r="N154" s="7">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c r="I155" s="1" t="s">
        <v>448</v>
      </c>
      <c r="J155" s="7" cm="1">
        <f t="array" ref="J155">TREND($O155:$T155,$O$3:$T$3,J$3)</f>
        <v>0</v>
      </c>
      <c r="K155" s="7">
        <v>0</v>
      </c>
      <c r="L155" s="7">
        <v>0</v>
      </c>
      <c r="M155" s="7">
        <v>0</v>
      </c>
      <c r="N155" s="7">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c r="I156" s="1" t="s">
        <v>449</v>
      </c>
      <c r="J156" s="7" cm="1">
        <f t="array" ref="J156">TREND($O156:$T156,$O$3:$T$3,J$3)</f>
        <v>0</v>
      </c>
      <c r="K156" s="7">
        <v>0</v>
      </c>
      <c r="L156" s="7">
        <v>0</v>
      </c>
      <c r="M156" s="7">
        <v>0</v>
      </c>
      <c r="N156" s="7">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c r="H158" s="1" t="s">
        <v>596</v>
      </c>
    </row>
    <row r="159" spans="7:40">
      <c r="I159" s="1" t="s">
        <v>75</v>
      </c>
      <c r="J159" s="1" cm="1">
        <f t="array" ref="J159">TREND($O159:$T159,$O$3:$T$3,J$3)</f>
        <v>2020</v>
      </c>
      <c r="K159" s="1">
        <v>2021</v>
      </c>
      <c r="L159" s="1">
        <v>2022</v>
      </c>
      <c r="M159" s="1">
        <v>2023</v>
      </c>
      <c r="N159" s="1">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c r="H160" s="8" t="s">
        <v>328</v>
      </c>
      <c r="I160" s="1" t="s">
        <v>76</v>
      </c>
      <c r="J160" s="60" cm="1">
        <f t="array" ref="J160">TREND($O160:$T160,$O$3:$T$3,J$3)</f>
        <v>483921238095238.25</v>
      </c>
      <c r="K160" s="60">
        <f t="shared" ref="K160" si="105">INDEX(Table5,MATCH($H160,Table5_A,0),MATCH(K$159,Table5_1,0))*quadrillion</f>
        <v>518173000000000</v>
      </c>
      <c r="L160" s="60">
        <f t="shared" ref="L160:N160" si="106">INDEX(Table5_22,MATCH($H160,Table5_A_22,0),MATCH(L$159,Table5_1_22,0))*quadrillion</f>
        <v>497281000000000</v>
      </c>
      <c r="M160" s="60">
        <f t="shared" si="106"/>
        <v>488560000000000</v>
      </c>
      <c r="N160" s="60">
        <f t="shared" si="106"/>
        <v>485795000000000</v>
      </c>
      <c r="O160" s="60">
        <f t="shared" ref="O160:AN160" si="107">INDEX(Table5_22,MATCH($H160,Table5_A_22,0),MATCH(O$159,Table5_1_22,0))*quadrillion</f>
        <v>487572000000000</v>
      </c>
      <c r="P160" s="60">
        <f t="shared" si="107"/>
        <v>489366000000000</v>
      </c>
      <c r="Q160" s="60">
        <f t="shared" si="107"/>
        <v>490566000000000</v>
      </c>
      <c r="R160" s="60">
        <f t="shared" si="107"/>
        <v>492025000000000</v>
      </c>
      <c r="S160" s="60">
        <f t="shared" si="107"/>
        <v>493689000000000</v>
      </c>
      <c r="T160" s="60">
        <f t="shared" si="107"/>
        <v>491019000000000</v>
      </c>
      <c r="U160" s="60">
        <f t="shared" si="107"/>
        <v>488961000000000</v>
      </c>
      <c r="V160" s="60">
        <f t="shared" si="107"/>
        <v>486973000000000</v>
      </c>
      <c r="W160" s="60">
        <f t="shared" si="107"/>
        <v>484227000000000</v>
      </c>
      <c r="X160" s="60">
        <f t="shared" si="107"/>
        <v>480979000000000</v>
      </c>
      <c r="Y160" s="60">
        <f t="shared" si="107"/>
        <v>478010000000000</v>
      </c>
      <c r="Z160" s="60">
        <f t="shared" si="107"/>
        <v>474966000000000</v>
      </c>
      <c r="AA160" s="60">
        <f t="shared" si="107"/>
        <v>470955000000000</v>
      </c>
      <c r="AB160" s="60">
        <f t="shared" si="107"/>
        <v>466010000000000</v>
      </c>
      <c r="AC160" s="60">
        <f t="shared" si="107"/>
        <v>459942000000000</v>
      </c>
      <c r="AD160" s="60">
        <f t="shared" si="107"/>
        <v>457929000000000</v>
      </c>
      <c r="AE160" s="60">
        <f t="shared" si="107"/>
        <v>456811000000000</v>
      </c>
      <c r="AF160" s="60">
        <f t="shared" si="107"/>
        <v>455971000000000</v>
      </c>
      <c r="AG160" s="60">
        <f t="shared" si="107"/>
        <v>455530000000000</v>
      </c>
      <c r="AH160" s="60">
        <f t="shared" si="107"/>
        <v>455459000000000</v>
      </c>
      <c r="AI160" s="60">
        <f t="shared" si="107"/>
        <v>455680000000000</v>
      </c>
      <c r="AJ160" s="60">
        <f t="shared" si="107"/>
        <v>456329000000000</v>
      </c>
      <c r="AK160" s="60">
        <f t="shared" si="107"/>
        <v>457722000000000</v>
      </c>
      <c r="AL160" s="60">
        <f t="shared" si="107"/>
        <v>459158000000000</v>
      </c>
      <c r="AM160" s="60">
        <f t="shared" si="107"/>
        <v>460843000000000</v>
      </c>
      <c r="AN160" s="60">
        <f t="shared" si="107"/>
        <v>463004000000000</v>
      </c>
    </row>
    <row r="161" spans="6:40">
      <c r="I161" s="1" t="s">
        <v>77</v>
      </c>
      <c r="J161" s="7" cm="1">
        <f t="array" ref="J161">TREND($O161:$T161,$O$3:$T$3,J$3)</f>
        <v>0</v>
      </c>
      <c r="K161" s="7">
        <v>0</v>
      </c>
      <c r="L161" s="7">
        <v>0</v>
      </c>
      <c r="M161" s="7">
        <v>0</v>
      </c>
      <c r="N161" s="7">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c r="I162" s="1" t="s">
        <v>78</v>
      </c>
      <c r="J162" s="7" cm="1">
        <f t="array" ref="J162">TREND($O162:$T162,$O$3:$T$3,J$3)</f>
        <v>0</v>
      </c>
      <c r="K162" s="7">
        <v>0</v>
      </c>
      <c r="L162" s="7">
        <v>0</v>
      </c>
      <c r="M162" s="7">
        <v>0</v>
      </c>
      <c r="N162" s="7">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c r="I163" s="1" t="s">
        <v>79</v>
      </c>
      <c r="J163" s="7" cm="1">
        <f t="array" ref="J163">TREND($O163:$T163,$O$3:$T$3,J$3)</f>
        <v>0</v>
      </c>
      <c r="K163" s="7">
        <v>0</v>
      </c>
      <c r="L163" s="7">
        <v>0</v>
      </c>
      <c r="M163" s="7">
        <v>0</v>
      </c>
      <c r="N163" s="7">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c r="I164" s="1" t="s">
        <v>81</v>
      </c>
      <c r="J164" s="7" cm="1">
        <f t="array" ref="J164">TREND($O164:$T164,$O$3:$T$3,J$3)</f>
        <v>0</v>
      </c>
      <c r="K164" s="7">
        <v>0</v>
      </c>
      <c r="L164" s="7">
        <v>0</v>
      </c>
      <c r="M164" s="7">
        <v>0</v>
      </c>
      <c r="N164" s="7">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c r="I165" s="1" t="s">
        <v>162</v>
      </c>
      <c r="J165" s="7" cm="1">
        <f t="array" ref="J165">TREND($O165:$T165,$O$3:$T$3,J$3)</f>
        <v>0</v>
      </c>
      <c r="K165" s="7">
        <v>0</v>
      </c>
      <c r="L165" s="7">
        <v>0</v>
      </c>
      <c r="M165" s="7">
        <v>0</v>
      </c>
      <c r="N165" s="7">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c r="I166" s="1" t="s">
        <v>446</v>
      </c>
      <c r="J166" s="7" cm="1">
        <f t="array" ref="J166">TREND($O166:$T166,$O$3:$T$3,J$3)</f>
        <v>0</v>
      </c>
      <c r="K166" s="7">
        <v>0</v>
      </c>
      <c r="L166" s="7">
        <v>0</v>
      </c>
      <c r="M166" s="7">
        <v>0</v>
      </c>
      <c r="N166" s="7">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c r="I167" s="1" t="s">
        <v>447</v>
      </c>
      <c r="J167" s="7" cm="1">
        <f t="array" ref="J167">TREND($O167:$T167,$O$3:$T$3,J$3)</f>
        <v>0</v>
      </c>
      <c r="K167" s="7">
        <v>0</v>
      </c>
      <c r="L167" s="7">
        <v>0</v>
      </c>
      <c r="M167" s="7">
        <v>0</v>
      </c>
      <c r="N167" s="7">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c r="I168" s="1" t="s">
        <v>448</v>
      </c>
      <c r="J168" s="7" cm="1">
        <f t="array" ref="J168">TREND($O168:$T168,$O$3:$T$3,J$3)</f>
        <v>0</v>
      </c>
      <c r="K168" s="7">
        <v>0</v>
      </c>
      <c r="L168" s="7">
        <v>0</v>
      </c>
      <c r="M168" s="7">
        <v>0</v>
      </c>
      <c r="N168" s="7">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c r="I169" s="1" t="s">
        <v>449</v>
      </c>
      <c r="J169" s="7" cm="1">
        <f t="array" ref="J169">TREND($O169:$T169,$O$3:$T$3,J$3)</f>
        <v>0</v>
      </c>
      <c r="K169" s="7">
        <v>0</v>
      </c>
      <c r="L169" s="7">
        <v>0</v>
      </c>
      <c r="M169" s="7">
        <v>0</v>
      </c>
      <c r="N169" s="7">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c r="H171" s="1" t="s">
        <v>597</v>
      </c>
    </row>
    <row r="172" spans="6:40">
      <c r="I172" s="1" t="s">
        <v>75</v>
      </c>
      <c r="J172" s="1" cm="1">
        <f t="array" ref="J172">TREND($O172:$T172,$O$3:$T$3,J$3)</f>
        <v>2020</v>
      </c>
      <c r="K172" s="1">
        <v>2021</v>
      </c>
      <c r="L172" s="1">
        <v>2022</v>
      </c>
      <c r="M172" s="1">
        <v>2023</v>
      </c>
      <c r="N172" s="1">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c r="F173" s="8" t="s">
        <v>327</v>
      </c>
      <c r="G173" s="8" t="s">
        <v>329</v>
      </c>
      <c r="H173" s="8" t="s">
        <v>331</v>
      </c>
      <c r="I173" s="1" t="s">
        <v>76</v>
      </c>
      <c r="J173" s="60" cm="1">
        <f t="array" ref="J173">TREND($O173:$T173,$O$3:$T$3,J$3)</f>
        <v>698045047619047</v>
      </c>
      <c r="K173" s="60">
        <f t="shared" ref="K173" si="108">SUM(INDEX(Table5,MATCH($G173,Table5_A,0),MATCH(K$172,Table5_1,0)),INDEX(Table5,MATCH($F173,Table5_A,0),MATCH(K$172,Table5_1,0)),INDEX(Table5,MATCH($H173,Table5_A,0),MATCH(K$172,Table5_1,0)))*quadrillion</f>
        <v>758302000000000</v>
      </c>
      <c r="L173" s="60">
        <f t="shared" ref="L173:N173" si="109">SUM(INDEX(Table5_22,MATCH($G173,Table5_A_22,0),MATCH(L$172,Table5_1_22,0)),INDEX(Table5_22,MATCH($F173,Table5_A_22,0),MATCH(L$172,Table5_1_22,0)),INDEX(Table5_22,MATCH($H173,Table5_A_22,0),MATCH(L$172,Table5_1_22,0)))*quadrillion</f>
        <v>709944000000000</v>
      </c>
      <c r="M173" s="60">
        <f t="shared" si="109"/>
        <v>706621000000000</v>
      </c>
      <c r="N173" s="60">
        <f t="shared" si="109"/>
        <v>707596999999999.88</v>
      </c>
      <c r="O173" s="60">
        <f t="shared" ref="O173:AN173" si="110">SUM(INDEX(Table5_22,MATCH($G173,Table5_A_22,0),MATCH(O$172,Table5_1_22,0)),INDEX(Table5_22,MATCH($F173,Table5_A_22,0),MATCH(O$172,Table5_1_22,0)),INDEX(Table5_22,MATCH($H173,Table5_A_22,0),MATCH(O$172,Table5_1_22,0)))*quadrillion</f>
        <v>711617000000000</v>
      </c>
      <c r="P173" s="60">
        <f t="shared" si="110"/>
        <v>714947999999999.88</v>
      </c>
      <c r="Q173" s="60">
        <f t="shared" si="110"/>
        <v>717557000000000</v>
      </c>
      <c r="R173" s="60">
        <f t="shared" si="110"/>
        <v>720390000000000</v>
      </c>
      <c r="S173" s="60">
        <f t="shared" si="110"/>
        <v>723483000000000</v>
      </c>
      <c r="T173" s="60">
        <f t="shared" si="110"/>
        <v>725391999999999.88</v>
      </c>
      <c r="U173" s="60">
        <f t="shared" si="110"/>
        <v>728199000000000</v>
      </c>
      <c r="V173" s="60">
        <f t="shared" si="110"/>
        <v>730888000000000.13</v>
      </c>
      <c r="W173" s="60">
        <f t="shared" si="110"/>
        <v>732652000000000.13</v>
      </c>
      <c r="X173" s="60">
        <f t="shared" si="110"/>
        <v>733838999999999.88</v>
      </c>
      <c r="Y173" s="60">
        <f t="shared" si="110"/>
        <v>735027000000000.13</v>
      </c>
      <c r="Z173" s="60">
        <f t="shared" si="110"/>
        <v>735936000000000</v>
      </c>
      <c r="AA173" s="60">
        <f t="shared" si="110"/>
        <v>736429000000000</v>
      </c>
      <c r="AB173" s="60">
        <f t="shared" si="110"/>
        <v>736291000000000</v>
      </c>
      <c r="AC173" s="60">
        <f t="shared" si="110"/>
        <v>735871000000000</v>
      </c>
      <c r="AD173" s="60">
        <f t="shared" si="110"/>
        <v>735342000000000</v>
      </c>
      <c r="AE173" s="60">
        <f t="shared" si="110"/>
        <v>735607000000000</v>
      </c>
      <c r="AF173" s="60">
        <f t="shared" si="110"/>
        <v>736003000000000.13</v>
      </c>
      <c r="AG173" s="60">
        <f t="shared" si="110"/>
        <v>736508000000000</v>
      </c>
      <c r="AH173" s="60">
        <f t="shared" si="110"/>
        <v>737095000000000</v>
      </c>
      <c r="AI173" s="60">
        <f t="shared" si="110"/>
        <v>737762000000000</v>
      </c>
      <c r="AJ173" s="60">
        <f t="shared" si="110"/>
        <v>738641000000000</v>
      </c>
      <c r="AK173" s="60">
        <f t="shared" si="110"/>
        <v>739818999999999.88</v>
      </c>
      <c r="AL173" s="60">
        <f t="shared" si="110"/>
        <v>741050000000000</v>
      </c>
      <c r="AM173" s="60">
        <f t="shared" si="110"/>
        <v>742473000000000</v>
      </c>
      <c r="AN173" s="60">
        <f t="shared" si="110"/>
        <v>744150000000000.13</v>
      </c>
    </row>
    <row r="174" spans="6:40">
      <c r="I174" s="1" t="s">
        <v>77</v>
      </c>
      <c r="J174" s="7" cm="1">
        <f t="array" ref="J174">TREND($O174:$T174,$O$3:$T$3,J$3)</f>
        <v>0</v>
      </c>
      <c r="K174" s="7">
        <v>0</v>
      </c>
      <c r="L174" s="7">
        <v>0</v>
      </c>
      <c r="M174" s="7">
        <v>0</v>
      </c>
      <c r="N174" s="7">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c r="G175" s="8" t="s">
        <v>321</v>
      </c>
      <c r="H175" s="8" t="s">
        <v>320</v>
      </c>
      <c r="I175" s="1" t="s">
        <v>78</v>
      </c>
      <c r="J175" s="60" cm="1">
        <f t="array" ref="J175">TREND($O175:$T175,$O$3:$T$3,J$3)</f>
        <v>893298857142856</v>
      </c>
      <c r="K175" s="60">
        <f t="shared" ref="K175" si="111">SUM(INDEX(Table5,MATCH($G175,Table5_A,0),MATCH(K$172,Table5_1,0)),INDEX(Table5,MATCH($H175,Table5_A,0),MATCH(K$172,Table5_1,0)))*quadrillion</f>
        <v>955843000000000</v>
      </c>
      <c r="L175" s="60">
        <f t="shared" ref="L175:N175" si="112">SUM(INDEX(Table5_22,MATCH($G175,Table5_A_22,0),MATCH(L$172,Table5_1_22,0)),INDEX(Table5_22,MATCH($H175,Table5_A_22,0),MATCH(L$172,Table5_1_22,0)))*quadrillion</f>
        <v>922694999999999.88</v>
      </c>
      <c r="M175" s="60">
        <f t="shared" si="112"/>
        <v>917984000000000</v>
      </c>
      <c r="N175" s="60">
        <f t="shared" si="112"/>
        <v>936812000000000</v>
      </c>
      <c r="O175" s="60">
        <f t="shared" ref="O175:AN175" si="113">SUM(INDEX(Table5_22,MATCH($G175,Table5_A_22,0),MATCH(O$172,Table5_1_22,0)),INDEX(Table5_22,MATCH($H175,Table5_A_22,0),MATCH(O$172,Table5_1_22,0)))*quadrillion</f>
        <v>963069000000000.13</v>
      </c>
      <c r="P175" s="60">
        <f t="shared" si="113"/>
        <v>985119000000000</v>
      </c>
      <c r="Q175" s="60">
        <f t="shared" si="113"/>
        <v>1002282000000000.1</v>
      </c>
      <c r="R175" s="60">
        <f t="shared" si="113"/>
        <v>1016880000000000</v>
      </c>
      <c r="S175" s="60">
        <f t="shared" si="113"/>
        <v>1028519999999999.9</v>
      </c>
      <c r="T175" s="60">
        <f t="shared" si="113"/>
        <v>1039142999999999.9</v>
      </c>
      <c r="U175" s="60">
        <f t="shared" si="113"/>
        <v>1049608000000000.1</v>
      </c>
      <c r="V175" s="60">
        <f t="shared" si="113"/>
        <v>1059277000000000</v>
      </c>
      <c r="W175" s="60">
        <f t="shared" si="113"/>
        <v>1066924999999999.9</v>
      </c>
      <c r="X175" s="60">
        <f t="shared" si="113"/>
        <v>1073598000000000</v>
      </c>
      <c r="Y175" s="60">
        <f t="shared" si="113"/>
        <v>1079661000000000</v>
      </c>
      <c r="Z175" s="60">
        <f t="shared" si="113"/>
        <v>1086069999999999.9</v>
      </c>
      <c r="AA175" s="60">
        <f t="shared" si="113"/>
        <v>1091876000000000.1</v>
      </c>
      <c r="AB175" s="60">
        <f t="shared" si="113"/>
        <v>1095939000000000</v>
      </c>
      <c r="AC175" s="60">
        <f t="shared" si="113"/>
        <v>1100628000000000</v>
      </c>
      <c r="AD175" s="60">
        <f t="shared" si="113"/>
        <v>1104649999999999.9</v>
      </c>
      <c r="AE175" s="60">
        <f t="shared" si="113"/>
        <v>1108751000000000</v>
      </c>
      <c r="AF175" s="60">
        <f t="shared" si="113"/>
        <v>1113288000000000</v>
      </c>
      <c r="AG175" s="60">
        <f t="shared" si="113"/>
        <v>1119027000000000</v>
      </c>
      <c r="AH175" s="60">
        <f t="shared" si="113"/>
        <v>1125913000000000.3</v>
      </c>
      <c r="AI175" s="60">
        <f t="shared" si="113"/>
        <v>1131507000000000</v>
      </c>
      <c r="AJ175" s="60">
        <f t="shared" si="113"/>
        <v>1133162000000000</v>
      </c>
      <c r="AK175" s="60">
        <f t="shared" si="113"/>
        <v>1136841000000000</v>
      </c>
      <c r="AL175" s="60">
        <f t="shared" si="113"/>
        <v>1142951000000000</v>
      </c>
      <c r="AM175" s="60">
        <f t="shared" si="113"/>
        <v>1149804000000000</v>
      </c>
      <c r="AN175" s="60">
        <f t="shared" si="113"/>
        <v>1155713000000000</v>
      </c>
    </row>
    <row r="176" spans="6:40">
      <c r="H176" s="8" t="s">
        <v>316</v>
      </c>
      <c r="I176" s="1" t="s">
        <v>79</v>
      </c>
      <c r="J176" s="60" cm="1">
        <f t="array" ref="J176">TREND($O176:$T176,$O$3:$T$3,J$3)</f>
        <v>5701285714285.7188</v>
      </c>
      <c r="K176" s="60">
        <f t="shared" ref="K176" si="114">INDEX(Table5,MATCH($H176,Table5_A,0),MATCH(K$172,Table5_1,0))*quadrillion</f>
        <v>6478000000000</v>
      </c>
      <c r="L176" s="60">
        <f t="shared" ref="L176:N176" si="115">INDEX(Table5_22,MATCH($H176,Table5_A_22,0),MATCH(L$172,Table5_1_22,0))*quadrillion</f>
        <v>6139000000000</v>
      </c>
      <c r="M176" s="60">
        <f t="shared" si="115"/>
        <v>5899000000000</v>
      </c>
      <c r="N176" s="60">
        <f t="shared" si="115"/>
        <v>5873000000000</v>
      </c>
      <c r="O176" s="60">
        <f t="shared" ref="O176:AN176" si="116">INDEX(Table5_22,MATCH($H176,Table5_A_22,0),MATCH(O$172,Table5_1_22,0))*quadrillion</f>
        <v>5980000000000</v>
      </c>
      <c r="P176" s="60">
        <f t="shared" si="116"/>
        <v>6072000000000</v>
      </c>
      <c r="Q176" s="60">
        <f t="shared" si="116"/>
        <v>6151000000000</v>
      </c>
      <c r="R176" s="60">
        <f t="shared" si="116"/>
        <v>6232000000000</v>
      </c>
      <c r="S176" s="60">
        <f t="shared" si="116"/>
        <v>6269000000000</v>
      </c>
      <c r="T176" s="60">
        <f t="shared" si="116"/>
        <v>6277000000000</v>
      </c>
      <c r="U176" s="60">
        <f t="shared" si="116"/>
        <v>6270000000000</v>
      </c>
      <c r="V176" s="60">
        <f t="shared" si="116"/>
        <v>6262000000000</v>
      </c>
      <c r="W176" s="60">
        <f t="shared" si="116"/>
        <v>6249000000000</v>
      </c>
      <c r="X176" s="60">
        <f t="shared" si="116"/>
        <v>6235000000000</v>
      </c>
      <c r="Y176" s="60">
        <f t="shared" si="116"/>
        <v>6215000000000</v>
      </c>
      <c r="Z176" s="60">
        <f t="shared" si="116"/>
        <v>6193000000000</v>
      </c>
      <c r="AA176" s="60">
        <f t="shared" si="116"/>
        <v>6167000000000</v>
      </c>
      <c r="AB176" s="60">
        <f t="shared" si="116"/>
        <v>6139000000000</v>
      </c>
      <c r="AC176" s="60">
        <f t="shared" si="116"/>
        <v>6109000000000</v>
      </c>
      <c r="AD176" s="60">
        <f t="shared" si="116"/>
        <v>6080000000000</v>
      </c>
      <c r="AE176" s="60">
        <f t="shared" si="116"/>
        <v>6048000000000</v>
      </c>
      <c r="AF176" s="60">
        <f t="shared" si="116"/>
        <v>6018000000000</v>
      </c>
      <c r="AG176" s="60">
        <f t="shared" si="116"/>
        <v>5986000000000</v>
      </c>
      <c r="AH176" s="60">
        <f t="shared" si="116"/>
        <v>5960000000000</v>
      </c>
      <c r="AI176" s="60">
        <f t="shared" si="116"/>
        <v>5933000000000</v>
      </c>
      <c r="AJ176" s="60">
        <f t="shared" si="116"/>
        <v>5901000000000</v>
      </c>
      <c r="AK176" s="60">
        <f t="shared" si="116"/>
        <v>5871000000000</v>
      </c>
      <c r="AL176" s="60">
        <f t="shared" si="116"/>
        <v>5839000000000</v>
      </c>
      <c r="AM176" s="60">
        <f t="shared" si="116"/>
        <v>5809000000000</v>
      </c>
      <c r="AN176" s="60">
        <f t="shared" si="116"/>
        <v>5780000000000</v>
      </c>
    </row>
    <row r="177" spans="6:40">
      <c r="I177" s="1" t="s">
        <v>81</v>
      </c>
      <c r="J177" s="7" cm="1">
        <f t="array" ref="J177">TREND($O177:$T177,$O$3:$T$3,J$3)</f>
        <v>0</v>
      </c>
      <c r="K177" s="7">
        <v>0</v>
      </c>
      <c r="L177" s="7">
        <v>0</v>
      </c>
      <c r="M177" s="7">
        <v>0</v>
      </c>
      <c r="N177" s="7">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c r="I178" s="1" t="s">
        <v>162</v>
      </c>
      <c r="J178" s="7" cm="1">
        <f t="array" ref="J178">TREND($O178:$T178,$O$3:$T$3,J$3)</f>
        <v>0</v>
      </c>
      <c r="K178" s="7">
        <v>0</v>
      </c>
      <c r="L178" s="7">
        <v>0</v>
      </c>
      <c r="M178" s="7">
        <v>0</v>
      </c>
      <c r="N178" s="7">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c r="I179" s="1" t="s">
        <v>446</v>
      </c>
      <c r="J179" s="7" cm="1">
        <f t="array" ref="J179">TREND($O179:$T179,$O$3:$T$3,J$3)</f>
        <v>0</v>
      </c>
      <c r="K179" s="7">
        <v>0</v>
      </c>
      <c r="L179" s="7">
        <v>0</v>
      </c>
      <c r="M179" s="7">
        <v>0</v>
      </c>
      <c r="N179" s="7">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c r="I180" s="1" t="s">
        <v>447</v>
      </c>
      <c r="J180" s="7" cm="1">
        <f t="array" ref="J180">TREND($O180:$T180,$O$3:$T$3,J$3)</f>
        <v>0</v>
      </c>
      <c r="K180" s="7">
        <v>0</v>
      </c>
      <c r="L180" s="7">
        <v>0</v>
      </c>
      <c r="M180" s="7">
        <v>0</v>
      </c>
      <c r="N180" s="7">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c r="F181" s="8" t="s">
        <v>314</v>
      </c>
      <c r="G181" s="8" t="s">
        <v>316</v>
      </c>
      <c r="H181" s="8" t="s">
        <v>312</v>
      </c>
      <c r="I181" s="1" t="s">
        <v>448</v>
      </c>
      <c r="J181" s="60" cm="1">
        <f t="array" ref="J181">TREND($O181:$T181,$O$3:$T$3,J$3)</f>
        <v>11802478618779.156</v>
      </c>
      <c r="K181" s="60">
        <f>INDEX(Table5,MATCH($H$181,Table5_A,0),MATCH(K$133,'[5]AEO22 Table 5'!$C$1:$AH$1,0))*(1-Fraction_coal)*INDEX(Table5,MATCH($G$181,Table5_A,0),MATCH(K$133,'[5]AEO22 Table 5'!$C$1:$AI$1,0))/INDEX(Table5,MATCH($F$181,Table5_A,0),MATCH(K$133,'[5]AEO22 Table 5'!$C$1:$AH$1,0))*quadrillion</f>
        <v>10852745732625.082</v>
      </c>
      <c r="L181" s="60">
        <f t="shared" ref="L181:N181" si="117">INDEX(Table5_22,MATCH($H$181,Table5_A_22,0),MATCH(L$133,Table5_1_22,0))*(1-Fraction_coal)*INDEX(Table5_22,MATCH($G$181,Table5_A_22,0),MATCH(L$133,Table5_1_22,0))/INDEX(Table5_22,MATCH($F$181,Table5_A_22,0),MATCH(L$133,Table5_1_22,0))*quadrillion</f>
        <v>11862979563175.609</v>
      </c>
      <c r="M181" s="60">
        <f t="shared" si="117"/>
        <v>11727372604938.438</v>
      </c>
      <c r="N181" s="60">
        <f t="shared" si="117"/>
        <v>12264827768223.652</v>
      </c>
      <c r="O181" s="60">
        <f t="shared" ref="O181:AN181" si="118">INDEX(Table5_22,MATCH($H$181,Table5_A_22,0),MATCH(O$133,Table5_1_22,0))*(1-Fraction_coal)*INDEX(Table5_22,MATCH($G$181,Table5_A_22,0),MATCH(O$133,Table5_1_22,0))/INDEX(Table5_22,MATCH($F$181,Table5_A_22,0),MATCH(O$133,Table5_1_22,0))*quadrillion</f>
        <v>12361494379956.818</v>
      </c>
      <c r="P181" s="60">
        <f t="shared" si="118"/>
        <v>12430696295961.242</v>
      </c>
      <c r="Q181" s="60">
        <f t="shared" si="118"/>
        <v>12504495514000.309</v>
      </c>
      <c r="R181" s="60">
        <f t="shared" si="118"/>
        <v>12617912576685.195</v>
      </c>
      <c r="S181" s="60">
        <f t="shared" si="118"/>
        <v>12741292531886.268</v>
      </c>
      <c r="T181" s="60">
        <f t="shared" si="118"/>
        <v>12888092954332.146</v>
      </c>
      <c r="U181" s="60">
        <f t="shared" si="118"/>
        <v>12995526610372.926</v>
      </c>
      <c r="V181" s="60">
        <f t="shared" si="118"/>
        <v>13122792168650.023</v>
      </c>
      <c r="W181" s="60">
        <f t="shared" si="118"/>
        <v>13240691061893.42</v>
      </c>
      <c r="X181" s="60">
        <f t="shared" si="118"/>
        <v>13353278425084.111</v>
      </c>
      <c r="Y181" s="60">
        <f t="shared" si="118"/>
        <v>13464733579319.82</v>
      </c>
      <c r="Z181" s="60">
        <f t="shared" si="118"/>
        <v>13564918164958.869</v>
      </c>
      <c r="AA181" s="60">
        <f t="shared" si="118"/>
        <v>13656779327147.189</v>
      </c>
      <c r="AB181" s="60">
        <f t="shared" si="118"/>
        <v>13746822138907.781</v>
      </c>
      <c r="AC181" s="60">
        <f t="shared" si="118"/>
        <v>13839713415777.17</v>
      </c>
      <c r="AD181" s="60">
        <f t="shared" si="118"/>
        <v>13934578688543.088</v>
      </c>
      <c r="AE181" s="60">
        <f t="shared" si="118"/>
        <v>14025550915364.381</v>
      </c>
      <c r="AF181" s="60">
        <f t="shared" si="118"/>
        <v>14117114963813.898</v>
      </c>
      <c r="AG181" s="60">
        <f t="shared" si="118"/>
        <v>14211498986857.512</v>
      </c>
      <c r="AH181" s="60">
        <f t="shared" si="118"/>
        <v>14305950634119.73</v>
      </c>
      <c r="AI181" s="60">
        <f t="shared" si="118"/>
        <v>14401840993987.973</v>
      </c>
      <c r="AJ181" s="60">
        <f t="shared" si="118"/>
        <v>14507269535706.768</v>
      </c>
      <c r="AK181" s="60">
        <f t="shared" si="118"/>
        <v>14623613223822.268</v>
      </c>
      <c r="AL181" s="60">
        <f t="shared" si="118"/>
        <v>14715400552404.318</v>
      </c>
      <c r="AM181" s="60">
        <f t="shared" si="118"/>
        <v>14813317219817.375</v>
      </c>
      <c r="AN181" s="60">
        <f t="shared" si="118"/>
        <v>14908687182527.918</v>
      </c>
    </row>
    <row r="182" spans="6:40">
      <c r="I182" s="1" t="s">
        <v>449</v>
      </c>
      <c r="J182" s="7" cm="1">
        <f t="array" ref="J182">TREND($O182:$T182,$O$3:$T$3,J$3)</f>
        <v>0</v>
      </c>
      <c r="K182" s="7">
        <v>0</v>
      </c>
      <c r="L182" s="7">
        <v>0</v>
      </c>
      <c r="M182" s="7">
        <v>0</v>
      </c>
      <c r="N182" s="7">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c r="H184" s="1" t="s">
        <v>598</v>
      </c>
    </row>
    <row r="185" spans="6:40">
      <c r="I185" s="1" t="s">
        <v>75</v>
      </c>
      <c r="J185" s="1" cm="1">
        <f t="array" ref="J185">TREND($O185:$T185,$O$3:$T$3,J$3)</f>
        <v>2020</v>
      </c>
      <c r="K185" s="1">
        <v>2021</v>
      </c>
      <c r="L185" s="1">
        <v>2022</v>
      </c>
      <c r="M185" s="1">
        <v>2023</v>
      </c>
      <c r="N185" s="1">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c r="F186" s="8" t="s">
        <v>326</v>
      </c>
      <c r="G186" s="8" t="s">
        <v>325</v>
      </c>
      <c r="H186" s="8" t="s">
        <v>324</v>
      </c>
      <c r="I186" s="1" t="s">
        <v>76</v>
      </c>
      <c r="J186" s="60" cm="1">
        <f t="array" ref="J186">TREND($O186:$T186,$O$3:$T$3,J$3)</f>
        <v>2417146142857144</v>
      </c>
      <c r="K186" s="60">
        <f t="shared" ref="K186" si="119">SUM(INDEX(Table5,MATCH($G186,Table5_A,0),MATCH(K$185,Table5_1,0)),INDEX(Table5,MATCH($F186,Table5_A,0),MATCH(K$185,Table5_1,0)),INDEX(Table5,MATCH($H186,Table5_A,0),MATCH(K$185,Table5_1,0)))*quadrillion</f>
        <v>2177854000000000</v>
      </c>
      <c r="L186" s="60">
        <f t="shared" ref="L186:N186" si="120">SUM(INDEX(Table5_22,MATCH($G186,Table5_A_22,0),MATCH(L$185,Table5_1_22,0)),INDEX(Table5_22,MATCH($F186,Table5_A_22,0),MATCH(L$185,Table5_1_22,0)),INDEX(Table5_22,MATCH($H186,Table5_A_22,0),MATCH(L$185,Table5_1_22,0)))*quadrillion</f>
        <v>2426944000000000</v>
      </c>
      <c r="M186" s="60">
        <f t="shared" si="120"/>
        <v>2461384000000000</v>
      </c>
      <c r="N186" s="60">
        <f t="shared" si="120"/>
        <v>2448166000000000</v>
      </c>
      <c r="O186" s="60">
        <f t="shared" ref="O186:S195" si="121">($T186-$K186)/9+N186</f>
        <v>2489211000000000</v>
      </c>
      <c r="P186" s="60">
        <f t="shared" si="121"/>
        <v>2530256000000000</v>
      </c>
      <c r="Q186" s="60">
        <f t="shared" si="121"/>
        <v>2571301000000000</v>
      </c>
      <c r="R186" s="60">
        <f t="shared" si="121"/>
        <v>2612346000000000</v>
      </c>
      <c r="S186" s="60">
        <f t="shared" si="121"/>
        <v>2653391000000000</v>
      </c>
      <c r="T186" s="60">
        <f t="shared" ref="T186:AN186" si="122">SUM(INDEX(Table5_22,MATCH($G186,Table5_A_22,0),MATCH(T$185,Table5_1_22,0)),INDEX(Table5_22,MATCH($F186,Table5_A_22,0),MATCH(T$185,Table5_1_22,0)),INDEX(Table5_22,MATCH($H186,Table5_A_22,0),MATCH(T$185,Table5_1_22,0)))*quadrillion</f>
        <v>2547259000000000</v>
      </c>
      <c r="U186" s="60">
        <f t="shared" si="122"/>
        <v>2581926000000000</v>
      </c>
      <c r="V186" s="60">
        <f t="shared" si="122"/>
        <v>2617243000000000</v>
      </c>
      <c r="W186" s="60">
        <f t="shared" si="122"/>
        <v>2650753000000000</v>
      </c>
      <c r="X186" s="60">
        <f t="shared" si="122"/>
        <v>2682974000000000</v>
      </c>
      <c r="Y186" s="60">
        <f t="shared" si="122"/>
        <v>2715058000000000</v>
      </c>
      <c r="Z186" s="60">
        <f t="shared" si="122"/>
        <v>2747479000000000</v>
      </c>
      <c r="AA186" s="60">
        <f t="shared" si="122"/>
        <v>2778294000000000</v>
      </c>
      <c r="AB186" s="60">
        <f t="shared" si="122"/>
        <v>2809404000000000</v>
      </c>
      <c r="AC186" s="60">
        <f t="shared" si="122"/>
        <v>2839654000000000.5</v>
      </c>
      <c r="AD186" s="60">
        <f t="shared" si="122"/>
        <v>2869637000000000</v>
      </c>
      <c r="AE186" s="60">
        <f t="shared" si="122"/>
        <v>2900080000000000</v>
      </c>
      <c r="AF186" s="60">
        <f t="shared" si="122"/>
        <v>2931087000000000</v>
      </c>
      <c r="AG186" s="60">
        <f t="shared" si="122"/>
        <v>2963533000000000</v>
      </c>
      <c r="AH186" s="60">
        <f t="shared" si="122"/>
        <v>2996277000000000</v>
      </c>
      <c r="AI186" s="60">
        <f t="shared" si="122"/>
        <v>3030596000000000</v>
      </c>
      <c r="AJ186" s="60">
        <f t="shared" si="122"/>
        <v>3066411999999999.5</v>
      </c>
      <c r="AK186" s="60">
        <f t="shared" si="122"/>
        <v>3103138999999999.5</v>
      </c>
      <c r="AL186" s="60">
        <f t="shared" si="122"/>
        <v>3141258000000000</v>
      </c>
      <c r="AM186" s="60">
        <f t="shared" si="122"/>
        <v>3180106999999999.5</v>
      </c>
      <c r="AN186" s="60">
        <f t="shared" si="122"/>
        <v>3219882000000000</v>
      </c>
    </row>
    <row r="187" spans="6:40">
      <c r="H187" s="8" t="s">
        <v>312</v>
      </c>
      <c r="I187" s="1" t="s">
        <v>77</v>
      </c>
      <c r="J187" s="60" cm="1">
        <f t="array" ref="J187">TREND($O187:$T187,$O$3:$T$3,J$3)</f>
        <v>24252801904761.906</v>
      </c>
      <c r="K187" s="60">
        <f t="shared" ref="K187" si="123">INDEX(Table5,MATCH($H187,Table5_A,0),MATCH(K$185,Table5_1,0))*quadrillion*Fraction_coal</f>
        <v>21946040000000</v>
      </c>
      <c r="L187" s="60">
        <f t="shared" ref="L187:N187" si="124">INDEX(Table5_22,MATCH($H187,Table5_A_22,0),MATCH(L$185,Table5_1_22,0))*quadrillion*Fraction_coal</f>
        <v>23969280000000</v>
      </c>
      <c r="M187" s="60">
        <f t="shared" si="124"/>
        <v>24193960000000</v>
      </c>
      <c r="N187" s="60">
        <f t="shared" si="124"/>
        <v>24165240000000</v>
      </c>
      <c r="O187" s="60">
        <f t="shared" si="121"/>
        <v>24451240000000</v>
      </c>
      <c r="P187" s="60">
        <f t="shared" si="121"/>
        <v>24737240000000</v>
      </c>
      <c r="Q187" s="60">
        <f t="shared" si="121"/>
        <v>25023240000000</v>
      </c>
      <c r="R187" s="60">
        <f t="shared" si="121"/>
        <v>25309240000000</v>
      </c>
      <c r="S187" s="60">
        <f t="shared" si="121"/>
        <v>25595240000000</v>
      </c>
      <c r="T187" s="60">
        <f t="shared" ref="T187:AN187" si="125">INDEX(Table5_22,MATCH($H187,Table5_A_22,0),MATCH(T$185,Table5_1_22,0))*quadrillion*Fraction_coal</f>
        <v>24520040000000</v>
      </c>
      <c r="U187" s="60">
        <f t="shared" si="125"/>
        <v>24607040000000</v>
      </c>
      <c r="V187" s="60">
        <f t="shared" si="125"/>
        <v>24727480000000</v>
      </c>
      <c r="W187" s="60">
        <f t="shared" si="125"/>
        <v>24833800000000</v>
      </c>
      <c r="X187" s="60">
        <f t="shared" si="125"/>
        <v>24930760000000</v>
      </c>
      <c r="Y187" s="60">
        <f t="shared" si="125"/>
        <v>25027560000000</v>
      </c>
      <c r="Z187" s="60">
        <f t="shared" si="125"/>
        <v>25108040000000</v>
      </c>
      <c r="AA187" s="60">
        <f t="shared" si="125"/>
        <v>25177680000000</v>
      </c>
      <c r="AB187" s="60">
        <f t="shared" si="125"/>
        <v>25244680000000</v>
      </c>
      <c r="AC187" s="60">
        <f t="shared" si="125"/>
        <v>25318720000000</v>
      </c>
      <c r="AD187" s="60">
        <f t="shared" si="125"/>
        <v>25387920000000</v>
      </c>
      <c r="AE187" s="60">
        <f t="shared" si="125"/>
        <v>25456000000000</v>
      </c>
      <c r="AF187" s="60">
        <f t="shared" si="125"/>
        <v>25525400000000</v>
      </c>
      <c r="AG187" s="60">
        <f t="shared" si="125"/>
        <v>25598880000000</v>
      </c>
      <c r="AH187" s="60">
        <f t="shared" si="125"/>
        <v>25669000000000</v>
      </c>
      <c r="AI187" s="60">
        <f t="shared" si="125"/>
        <v>25739680000000</v>
      </c>
      <c r="AJ187" s="60">
        <f t="shared" si="125"/>
        <v>25788960000000</v>
      </c>
      <c r="AK187" s="60">
        <f t="shared" si="125"/>
        <v>25866040000000</v>
      </c>
      <c r="AL187" s="60">
        <f t="shared" si="125"/>
        <v>25936240000000</v>
      </c>
      <c r="AM187" s="60">
        <f t="shared" si="125"/>
        <v>26018720000000</v>
      </c>
      <c r="AN187" s="60">
        <f t="shared" si="125"/>
        <v>26100520000000</v>
      </c>
    </row>
    <row r="188" spans="6:40">
      <c r="H188" s="8" t="s">
        <v>319</v>
      </c>
      <c r="I188" s="1" t="s">
        <v>78</v>
      </c>
      <c r="J188" s="60" cm="1">
        <f t="array" ref="J188">TREND($O188:$T188,$O$3:$T$3,J$3)</f>
        <v>880583587301588</v>
      </c>
      <c r="K188" s="60">
        <f t="shared" ref="K188:K189" si="126">INDEX(Table5,MATCH($H188,Table5_A,0),MATCH(K$185,Table5_1,0))*quadrillion</f>
        <v>696843000000000</v>
      </c>
      <c r="L188" s="60">
        <f t="shared" ref="L188:N189" si="127">INDEX(Table5_22,MATCH($H188,Table5_A_22,0),MATCH(L$185,Table5_1_22,0))*quadrillion</f>
        <v>829705000000000</v>
      </c>
      <c r="M188" s="60">
        <f t="shared" si="127"/>
        <v>877519000000000</v>
      </c>
      <c r="N188" s="60">
        <f t="shared" si="127"/>
        <v>834122000000000</v>
      </c>
      <c r="O188" s="60">
        <f t="shared" si="121"/>
        <v>845700777777777.75</v>
      </c>
      <c r="P188" s="60">
        <f t="shared" si="121"/>
        <v>857279555555555.5</v>
      </c>
      <c r="Q188" s="60">
        <f t="shared" si="121"/>
        <v>868858333333333.25</v>
      </c>
      <c r="R188" s="60">
        <f t="shared" si="121"/>
        <v>880437111111111</v>
      </c>
      <c r="S188" s="60">
        <f t="shared" si="121"/>
        <v>892015888888888.75</v>
      </c>
      <c r="T188" s="60">
        <f t="shared" ref="T188:T189" si="128">INDEX(Table5_22,MATCH($H188,Table5_A_22,0),MATCH(T$185,Table5_1_22,0))*quadrillion</f>
        <v>801052000000000</v>
      </c>
      <c r="U188" s="60">
        <f t="shared" ref="U188:AD189" si="129">INDEX(Table5_22,MATCH($H188,Table5_A_22,0),MATCH(U$185,Table5_1_22,0))*quadrillion</f>
        <v>802318000000000</v>
      </c>
      <c r="V188" s="60">
        <f t="shared" si="129"/>
        <v>803479000000000</v>
      </c>
      <c r="W188" s="60">
        <f t="shared" si="129"/>
        <v>803824000000000</v>
      </c>
      <c r="X188" s="60">
        <f t="shared" si="129"/>
        <v>803934000000000</v>
      </c>
      <c r="Y188" s="60">
        <f t="shared" si="129"/>
        <v>804007000000000</v>
      </c>
      <c r="Z188" s="60">
        <f t="shared" si="129"/>
        <v>804495000000000</v>
      </c>
      <c r="AA188" s="60">
        <f t="shared" si="129"/>
        <v>804872000000000</v>
      </c>
      <c r="AB188" s="60">
        <f t="shared" si="129"/>
        <v>804778000000000</v>
      </c>
      <c r="AC188" s="60">
        <f t="shared" si="129"/>
        <v>805447000000000</v>
      </c>
      <c r="AD188" s="60">
        <f t="shared" si="129"/>
        <v>805684000000000</v>
      </c>
      <c r="AE188" s="60">
        <f t="shared" ref="AE188:AN189" si="130">INDEX(Table5_22,MATCH($H188,Table5_A_22,0),MATCH(AE$185,Table5_1_22,0))*quadrillion</f>
        <v>805640000000000</v>
      </c>
      <c r="AF188" s="60">
        <f t="shared" si="130"/>
        <v>805986000000000</v>
      </c>
      <c r="AG188" s="60">
        <f t="shared" si="130"/>
        <v>807134000000000</v>
      </c>
      <c r="AH188" s="60">
        <f t="shared" si="130"/>
        <v>808823000000000</v>
      </c>
      <c r="AI188" s="60">
        <f t="shared" si="130"/>
        <v>809986000000000</v>
      </c>
      <c r="AJ188" s="60">
        <f t="shared" si="130"/>
        <v>810499000000000</v>
      </c>
      <c r="AK188" s="60">
        <f t="shared" si="130"/>
        <v>811488000000000</v>
      </c>
      <c r="AL188" s="60">
        <f t="shared" si="130"/>
        <v>813177000000000</v>
      </c>
      <c r="AM188" s="60">
        <f t="shared" si="130"/>
        <v>814774000000000</v>
      </c>
      <c r="AN188" s="60">
        <f t="shared" si="130"/>
        <v>815962000000000</v>
      </c>
    </row>
    <row r="189" spans="6:40">
      <c r="H189" s="8" t="s">
        <v>315</v>
      </c>
      <c r="I189" s="1" t="s">
        <v>79</v>
      </c>
      <c r="J189" s="60" cm="1">
        <f t="array" ref="J189">TREND($O189:$T189,$O$3:$T$3,J$3)</f>
        <v>75589428571428.5</v>
      </c>
      <c r="K189" s="60">
        <f t="shared" si="126"/>
        <v>93407000000000</v>
      </c>
      <c r="L189" s="60">
        <f t="shared" si="127"/>
        <v>79483000000000</v>
      </c>
      <c r="M189" s="60">
        <f t="shared" si="127"/>
        <v>80017000000000</v>
      </c>
      <c r="N189" s="60">
        <f t="shared" si="127"/>
        <v>81899000000000</v>
      </c>
      <c r="O189" s="60">
        <f t="shared" si="121"/>
        <v>81288000000000</v>
      </c>
      <c r="P189" s="60">
        <f t="shared" si="121"/>
        <v>80677000000000</v>
      </c>
      <c r="Q189" s="60">
        <f t="shared" si="121"/>
        <v>80066000000000</v>
      </c>
      <c r="R189" s="60">
        <f t="shared" si="121"/>
        <v>79455000000000</v>
      </c>
      <c r="S189" s="60">
        <f t="shared" si="121"/>
        <v>78844000000000</v>
      </c>
      <c r="T189" s="60">
        <f t="shared" si="128"/>
        <v>87908000000000</v>
      </c>
      <c r="U189" s="60">
        <f t="shared" si="129"/>
        <v>88286000000000</v>
      </c>
      <c r="V189" s="60">
        <f t="shared" si="129"/>
        <v>88642000000000</v>
      </c>
      <c r="W189" s="60">
        <f t="shared" si="129"/>
        <v>88950000000000</v>
      </c>
      <c r="X189" s="60">
        <f t="shared" si="129"/>
        <v>89274000000000</v>
      </c>
      <c r="Y189" s="60">
        <f t="shared" si="129"/>
        <v>89540000000000</v>
      </c>
      <c r="Z189" s="60">
        <f t="shared" si="129"/>
        <v>89810000000000</v>
      </c>
      <c r="AA189" s="60">
        <f t="shared" si="129"/>
        <v>90052000000000</v>
      </c>
      <c r="AB189" s="60">
        <f t="shared" si="129"/>
        <v>90278000000000</v>
      </c>
      <c r="AC189" s="60">
        <f t="shared" si="129"/>
        <v>90496000000000</v>
      </c>
      <c r="AD189" s="60">
        <f t="shared" si="129"/>
        <v>90717000000000</v>
      </c>
      <c r="AE189" s="60">
        <f t="shared" si="130"/>
        <v>90886000000000</v>
      </c>
      <c r="AF189" s="60">
        <f t="shared" si="130"/>
        <v>91096000000000</v>
      </c>
      <c r="AG189" s="60">
        <f t="shared" si="130"/>
        <v>91274000000000</v>
      </c>
      <c r="AH189" s="60">
        <f t="shared" si="130"/>
        <v>91533000000000</v>
      </c>
      <c r="AI189" s="60">
        <f t="shared" si="130"/>
        <v>91761000000000</v>
      </c>
      <c r="AJ189" s="60">
        <f t="shared" si="130"/>
        <v>91552000000000</v>
      </c>
      <c r="AK189" s="60">
        <f t="shared" si="130"/>
        <v>91488000000000</v>
      </c>
      <c r="AL189" s="60">
        <f t="shared" si="130"/>
        <v>91623000000000</v>
      </c>
      <c r="AM189" s="60">
        <f t="shared" si="130"/>
        <v>91867000000000</v>
      </c>
      <c r="AN189" s="60">
        <f t="shared" si="130"/>
        <v>92141000000000</v>
      </c>
    </row>
    <row r="190" spans="6:40">
      <c r="I190" s="1" t="s">
        <v>81</v>
      </c>
      <c r="J190" s="7" cm="1">
        <f t="array" ref="J190">TREND($O190:$T190,$O$3:$T$3,J$3)</f>
        <v>0</v>
      </c>
      <c r="K190" s="7">
        <v>0</v>
      </c>
      <c r="L190" s="7">
        <v>0</v>
      </c>
      <c r="M190" s="7">
        <v>0</v>
      </c>
      <c r="N190" s="7">
        <v>0</v>
      </c>
      <c r="O190" s="60">
        <f t="shared" si="121"/>
        <v>0</v>
      </c>
      <c r="P190" s="60">
        <f t="shared" si="121"/>
        <v>0</v>
      </c>
      <c r="Q190" s="60">
        <f t="shared" si="121"/>
        <v>0</v>
      </c>
      <c r="R190" s="60">
        <f t="shared" si="121"/>
        <v>0</v>
      </c>
      <c r="S190" s="60">
        <f t="shared" si="121"/>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c r="I191" s="1" t="s">
        <v>162</v>
      </c>
      <c r="J191" s="7" cm="1">
        <f t="array" ref="J191">TREND($O191:$T191,$O$3:$T$3,J$3)</f>
        <v>0</v>
      </c>
      <c r="K191" s="7">
        <v>0</v>
      </c>
      <c r="L191" s="7">
        <v>0</v>
      </c>
      <c r="M191" s="7">
        <v>0</v>
      </c>
      <c r="N191" s="7">
        <v>0</v>
      </c>
      <c r="O191" s="60">
        <f t="shared" si="121"/>
        <v>0</v>
      </c>
      <c r="P191" s="60">
        <f t="shared" si="121"/>
        <v>0</v>
      </c>
      <c r="Q191" s="60">
        <f t="shared" si="121"/>
        <v>0</v>
      </c>
      <c r="R191" s="60">
        <f t="shared" si="121"/>
        <v>0</v>
      </c>
      <c r="S191" s="60">
        <f t="shared" si="121"/>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c r="I192" s="1" t="s">
        <v>446</v>
      </c>
      <c r="J192" s="7" cm="1">
        <f t="array" ref="J192">TREND($O192:$T192,$O$3:$T$3,J$3)</f>
        <v>0</v>
      </c>
      <c r="K192" s="7">
        <v>0</v>
      </c>
      <c r="L192" s="7">
        <v>0</v>
      </c>
      <c r="M192" s="7">
        <v>0</v>
      </c>
      <c r="N192" s="7">
        <v>0</v>
      </c>
      <c r="O192" s="60">
        <f t="shared" si="121"/>
        <v>0</v>
      </c>
      <c r="P192" s="60">
        <f t="shared" si="121"/>
        <v>0</v>
      </c>
      <c r="Q192" s="60">
        <f t="shared" si="121"/>
        <v>0</v>
      </c>
      <c r="R192" s="60">
        <f t="shared" si="121"/>
        <v>0</v>
      </c>
      <c r="S192" s="60">
        <f t="shared" si="121"/>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c r="I193" s="1" t="s">
        <v>447</v>
      </c>
      <c r="J193" s="7" cm="1">
        <f t="array" ref="J193">TREND($O193:$T193,$O$3:$T$3,J$3)</f>
        <v>0</v>
      </c>
      <c r="K193" s="7">
        <v>0</v>
      </c>
      <c r="L193" s="7">
        <v>0</v>
      </c>
      <c r="M193" s="7">
        <v>0</v>
      </c>
      <c r="N193" s="7">
        <v>0</v>
      </c>
      <c r="O193" s="60">
        <f t="shared" si="121"/>
        <v>0</v>
      </c>
      <c r="P193" s="60">
        <f t="shared" si="121"/>
        <v>0</v>
      </c>
      <c r="Q193" s="60">
        <f t="shared" si="121"/>
        <v>0</v>
      </c>
      <c r="R193" s="60">
        <f t="shared" si="121"/>
        <v>0</v>
      </c>
      <c r="S193" s="60">
        <f t="shared" si="121"/>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c r="H194" s="8" t="s">
        <v>312</v>
      </c>
      <c r="I194" s="1" t="s">
        <v>448</v>
      </c>
      <c r="J194" s="60" cm="1">
        <f t="array" ref="J194">TREND($O194:$T194,$O$3:$T$3,J$3)</f>
        <v>166282859460271.5</v>
      </c>
      <c r="K194" s="60">
        <f>(1-Fraction_coal)*INDEX(Table5,MATCH([5]Calculations!$H194,Table5_A,0),MATCH([5]Calculations!K$185,'[5]AEO22 Table 5'!$C$1:$AI$1,0))*quadrillion-SUM([5]Calculations!K$142,[5]Calculations!K$181)</f>
        <v>156488618924520.5</v>
      </c>
      <c r="L194" s="60">
        <f>(1-Fraction_coal)*INDEX(Table5_22,MATCH([5]Calculations!$H194,Table5_A_22,0),MATCH([5]Calculations!L$185,Table5_1_22,0))*quadrillion-SUM([5]Calculations!L$142,[5]Calculations!L$181)</f>
        <v>153594570385966.81</v>
      </c>
      <c r="M194" s="60">
        <f>(1-Fraction_coal)*INDEX(Table5_22,MATCH([5]Calculations!$H194,Table5_A_22,0),MATCH([5]Calculations!M$185,Table5_1_22,0))*quadrillion-SUM([5]Calculations!M$142,[5]Calculations!M$181)</f>
        <v>159075974526082.19</v>
      </c>
      <c r="N194" s="60">
        <f>(1-Fraction_coal)*INDEX(Table5_22,MATCH([5]Calculations!$H194,Table5_A_22,0),MATCH([5]Calculations!N$185,Table5_1_22,0))*quadrillion-SUM([5]Calculations!N$142,[5]Calculations!N$181)</f>
        <v>171033054552996.63</v>
      </c>
      <c r="O194" s="60">
        <f t="shared" si="121"/>
        <v>173700418906814.19</v>
      </c>
      <c r="P194" s="60">
        <f t="shared" si="121"/>
        <v>176367783260631.75</v>
      </c>
      <c r="Q194" s="60">
        <f t="shared" si="121"/>
        <v>179035147614449.31</v>
      </c>
      <c r="R194" s="60">
        <f t="shared" si="121"/>
        <v>181702511968266.88</v>
      </c>
      <c r="S194" s="60">
        <f t="shared" si="121"/>
        <v>184369876322084.44</v>
      </c>
      <c r="T194" s="60">
        <f>(1-Fraction_coal)*INDEX(Table5_22,MATCH([4]Calculations!$H194,Table5_A_22,0),MATCH([4]Calculations!T$185,Table5_1_22,0))*quadrillion-SUM([4]Calculations!T$142,[4]Calculations!T$181)</f>
        <v>180494898108878.63</v>
      </c>
      <c r="U194" s="60">
        <f>(1-Fraction_coal)*INDEX(Table5_22,MATCH([4]Calculations!$H194,Table5_A_22,0),MATCH([4]Calculations!U$185,Table5_1_22,0))*quadrillion-SUM([4]Calculations!U$142,[4]Calculations!U$181)</f>
        <v>182986134341847.56</v>
      </c>
      <c r="V194" s="60">
        <f>(1-Fraction_coal)*INDEX(Table5_22,MATCH([4]Calculations!$H194,Table5_A_22,0),MATCH([4]Calculations!V$185,Table5_1_22,0))*quadrillion-SUM([4]Calculations!V$142,[4]Calculations!V$181)</f>
        <v>185760227309721.38</v>
      </c>
      <c r="W194" s="60">
        <f>(1-Fraction_coal)*INDEX(Table5_22,MATCH([4]Calculations!$H194,Table5_A_22,0),MATCH([4]Calculations!W$185,Table5_1_22,0))*quadrillion-SUM([4]Calculations!W$142,[4]Calculations!W$181)</f>
        <v>188471670660172.75</v>
      </c>
      <c r="X194" s="60">
        <f>(1-Fraction_coal)*INDEX(Table5_22,MATCH([4]Calculations!$H194,Table5_A_22,0),MATCH([4]Calculations!X$185,Table5_1_22,0))*quadrillion-SUM([4]Calculations!X$142,[4]Calculations!X$181)</f>
        <v>191192818739780.88</v>
      </c>
      <c r="Y194" s="60">
        <f>(1-Fraction_coal)*INDEX(Table5_22,MATCH([4]Calculations!$H194,Table5_A_22,0),MATCH([4]Calculations!Y$185,Table5_1_22,0))*quadrillion-SUM([4]Calculations!Y$142,[4]Calculations!Y$181)</f>
        <v>193987489089669.69</v>
      </c>
      <c r="Z194" s="60">
        <f>(1-Fraction_coal)*INDEX(Table5_22,MATCH([4]Calculations!$H194,Table5_A_22,0),MATCH([4]Calculations!Z$185,Table5_1_22,0))*quadrillion-SUM([4]Calculations!Z$142,[4]Calculations!Z$181)</f>
        <v>196716502566600.44</v>
      </c>
      <c r="AA194" s="60">
        <f>(1-Fraction_coal)*INDEX(Table5_22,MATCH([4]Calculations!$H194,Table5_A_22,0),MATCH([4]Calculations!AA$185,Table5_1_22,0))*quadrillion-SUM([4]Calculations!AA$142,[4]Calculations!AA$181)</f>
        <v>199419538181978.19</v>
      </c>
      <c r="AB194" s="60">
        <f>(1-Fraction_coal)*INDEX(Table5_22,MATCH([4]Calculations!$H194,Table5_A_22,0),MATCH([4]Calculations!AB$185,Table5_1_22,0))*quadrillion-SUM([4]Calculations!AB$142,[4]Calculations!AB$181)</f>
        <v>202158227053014.38</v>
      </c>
      <c r="AC194" s="60">
        <f>(1-Fraction_coal)*INDEX(Table5_22,MATCH([4]Calculations!$H194,Table5_A_22,0),MATCH([4]Calculations!AC$185,Table5_1_22,0))*quadrillion-SUM([4]Calculations!AC$142,[4]Calculations!AC$181)</f>
        <v>205017604352199.5</v>
      </c>
      <c r="AD194" s="60">
        <f>(1-Fraction_coal)*INDEX(Table5_22,MATCH([4]Calculations!$H194,Table5_A_22,0),MATCH([4]Calculations!AD$185,Table5_1_22,0))*quadrillion-SUM([4]Calculations!AD$142,[4]Calculations!AD$181)</f>
        <v>207909414524650.56</v>
      </c>
      <c r="AE194" s="60">
        <f>(1-Fraction_coal)*INDEX(Table5_22,MATCH([4]Calculations!$H194,Table5_A_22,0),MATCH([4]Calculations!AE$185,Table5_1_22,0))*quadrillion-SUM([4]Calculations!AE$142,[4]Calculations!AE$181)</f>
        <v>210768224287997.06</v>
      </c>
      <c r="AF194" s="60">
        <f>(1-Fraction_coal)*INDEX(Table5_22,MATCH([4]Calculations!$H194,Table5_A_22,0),MATCH([4]Calculations!AF$185,Table5_1_22,0))*quadrillion-SUM([4]Calculations!AF$142,[4]Calculations!AF$181)</f>
        <v>213692021872487.06</v>
      </c>
      <c r="AG194" s="60">
        <f>(1-Fraction_coal)*INDEX(Table5_22,MATCH([4]Calculations!$H194,Table5_A_22,0),MATCH([4]Calculations!AG$185,Table5_1_22,0))*quadrillion-SUM([4]Calculations!AG$142,[4]Calculations!AG$181)</f>
        <v>216695683014773.19</v>
      </c>
      <c r="AH194" s="60">
        <f>(1-Fraction_coal)*INDEX(Table5_22,MATCH([4]Calculations!$H194,Table5_A_22,0),MATCH([4]Calculations!AH$185,Table5_1_22,0))*quadrillion-SUM([4]Calculations!AH$142,[4]Calculations!AH$181)</f>
        <v>219706757288967.63</v>
      </c>
      <c r="AI194" s="60">
        <f>(1-Fraction_coal)*INDEX(Table5_22,MATCH([4]Calculations!$H194,Table5_A_22,0),MATCH([4]Calculations!AI$185,Table5_1_22,0))*quadrillion-SUM([4]Calculations!AI$142,[4]Calculations!AI$181)</f>
        <v>222741839111635</v>
      </c>
      <c r="AJ194" s="60">
        <f>(1-Fraction_coal)*INDEX(Table5_22,MATCH([4]Calculations!$H194,Table5_A_22,0),MATCH([4]Calculations!AJ$185,Table5_1_22,0))*quadrillion-SUM([4]Calculations!AJ$142,[4]Calculations!AJ$181)</f>
        <v>225072874642177.69</v>
      </c>
      <c r="AK194" s="60">
        <f>(1-Fraction_coal)*INDEX(Table5_22,MATCH([4]Calculations!$H194,Table5_A_22,0),MATCH([4]Calculations!AK$185,Table5_1_22,0))*quadrillion-SUM([4]Calculations!AK$142,[4]Calculations!AK$181)</f>
        <v>227880280466879.88</v>
      </c>
      <c r="AL194" s="60">
        <f>(1-Fraction_coal)*INDEX(Table5_22,MATCH([4]Calculations!$H194,Table5_A_22,0),MATCH([4]Calculations!AL$185,Table5_1_22,0))*quadrillion-SUM([4]Calculations!AL$142,[4]Calculations!AL$181)</f>
        <v>230907543211670</v>
      </c>
      <c r="AM194" s="60">
        <f>(1-Fraction_coal)*INDEX(Table5_22,MATCH([4]Calculations!$H194,Table5_A_22,0),MATCH([4]Calculations!AM$185,Table5_1_22,0))*quadrillion-SUM([4]Calculations!AM$142,[4]Calculations!AM$181)</f>
        <v>234266657433803.25</v>
      </c>
      <c r="AN194" s="60">
        <f>(1-Fraction_coal)*INDEX(Table5_22,MATCH([4]Calculations!$H194,Table5_A_22,0),MATCH([4]Calculations!AN$185,Table5_1_22,0))*quadrillion-SUM([4]Calculations!AN$142,[4]Calculations!AN$181)</f>
        <v>237664592679118.5</v>
      </c>
    </row>
    <row r="195" spans="8:40">
      <c r="I195" s="1" t="s">
        <v>449</v>
      </c>
      <c r="J195" s="7" cm="1">
        <f t="array" ref="J195">TREND($O195:$T195,$O$3:$T$3,J$3)</f>
        <v>0</v>
      </c>
      <c r="K195" s="7">
        <v>0</v>
      </c>
      <c r="L195" s="7">
        <v>0</v>
      </c>
      <c r="M195" s="7">
        <v>0</v>
      </c>
      <c r="N195" s="7">
        <v>0</v>
      </c>
      <c r="O195" s="60">
        <f t="shared" si="121"/>
        <v>0</v>
      </c>
      <c r="P195" s="60">
        <f t="shared" si="121"/>
        <v>0</v>
      </c>
      <c r="Q195" s="60">
        <f t="shared" si="121"/>
        <v>0</v>
      </c>
      <c r="R195" s="60">
        <f t="shared" si="121"/>
        <v>0</v>
      </c>
      <c r="S195" s="60">
        <f t="shared" si="121"/>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c r="H197" s="64" t="s">
        <v>599</v>
      </c>
      <c r="K197" s="64">
        <f t="shared" ref="K197:AN197" si="131">K185</f>
        <v>2021</v>
      </c>
      <c r="L197" s="64">
        <f t="shared" si="131"/>
        <v>2022</v>
      </c>
      <c r="M197" s="64">
        <f t="shared" si="131"/>
        <v>2023</v>
      </c>
      <c r="N197" s="64">
        <f t="shared" si="131"/>
        <v>2024</v>
      </c>
      <c r="O197" s="64">
        <f t="shared" si="131"/>
        <v>2025</v>
      </c>
      <c r="P197" s="64">
        <f t="shared" si="131"/>
        <v>2026</v>
      </c>
      <c r="Q197" s="64">
        <f t="shared" si="131"/>
        <v>2027</v>
      </c>
      <c r="R197" s="64">
        <f t="shared" si="131"/>
        <v>2028</v>
      </c>
      <c r="S197" s="64">
        <f t="shared" si="131"/>
        <v>2029</v>
      </c>
      <c r="T197" s="64">
        <f t="shared" si="131"/>
        <v>2030</v>
      </c>
      <c r="U197" s="64">
        <f t="shared" si="131"/>
        <v>2031</v>
      </c>
      <c r="V197" s="64">
        <f t="shared" si="131"/>
        <v>2032</v>
      </c>
      <c r="W197" s="64">
        <f t="shared" si="131"/>
        <v>2033</v>
      </c>
      <c r="X197" s="64">
        <f t="shared" si="131"/>
        <v>2034</v>
      </c>
      <c r="Y197" s="64">
        <f t="shared" si="131"/>
        <v>2035</v>
      </c>
      <c r="Z197" s="64">
        <f t="shared" si="131"/>
        <v>2036</v>
      </c>
      <c r="AA197" s="64">
        <f t="shared" si="131"/>
        <v>2037</v>
      </c>
      <c r="AB197" s="64">
        <f t="shared" si="131"/>
        <v>2038</v>
      </c>
      <c r="AC197" s="64">
        <f t="shared" si="131"/>
        <v>2039</v>
      </c>
      <c r="AD197" s="64">
        <f t="shared" si="131"/>
        <v>2040</v>
      </c>
      <c r="AE197" s="64">
        <f t="shared" si="131"/>
        <v>2041</v>
      </c>
      <c r="AF197" s="64">
        <f t="shared" si="131"/>
        <v>2042</v>
      </c>
      <c r="AG197" s="64">
        <f t="shared" si="131"/>
        <v>2043</v>
      </c>
      <c r="AH197" s="64">
        <f t="shared" si="131"/>
        <v>2044</v>
      </c>
      <c r="AI197" s="64">
        <f t="shared" si="131"/>
        <v>2045</v>
      </c>
      <c r="AJ197" s="64">
        <f t="shared" si="131"/>
        <v>2046</v>
      </c>
      <c r="AK197" s="64">
        <f t="shared" si="131"/>
        <v>2047</v>
      </c>
      <c r="AL197" s="64">
        <f t="shared" si="131"/>
        <v>2048</v>
      </c>
      <c r="AM197" s="64">
        <f t="shared" si="131"/>
        <v>2049</v>
      </c>
      <c r="AN197" s="64">
        <f t="shared" si="131"/>
        <v>2050</v>
      </c>
    </row>
    <row r="198" spans="8:40">
      <c r="I198" s="1" t="s">
        <v>600</v>
      </c>
      <c r="J198" t="s">
        <v>601</v>
      </c>
      <c r="K198" s="7">
        <f>'[5]AEO22 Table 4'!C48*10^15</f>
        <v>5181982000000000</v>
      </c>
      <c r="L198" s="7">
        <f>'[5]AEO23 Table 4'!C48*10^15</f>
        <v>5259642000000000</v>
      </c>
      <c r="M198" s="7">
        <f>'[5]AEO23 Table 4'!D48*10^15</f>
        <v>5170129000000000</v>
      </c>
      <c r="N198" s="7">
        <f>'[5]AEO23 Table 4'!E48*10^15</f>
        <v>5250440000000000</v>
      </c>
      <c r="O198" s="7">
        <f>'[4]AEO23 Table 4'!F48*10^15</f>
        <v>5307276000000000</v>
      </c>
      <c r="P198" s="7">
        <f>'[4]AEO23 Table 4'!G48*10^15</f>
        <v>5362642000000000</v>
      </c>
      <c r="Q198" s="7">
        <f>'[4]AEO23 Table 4'!H48*10^15</f>
        <v>5422232000000000</v>
      </c>
      <c r="R198" s="7">
        <f>'[4]AEO23 Table 4'!I48*10^15</f>
        <v>5474320000000000</v>
      </c>
      <c r="S198" s="7">
        <f>'[4]AEO23 Table 4'!J48*10^15</f>
        <v>5518295000000000</v>
      </c>
      <c r="T198" s="7">
        <f>'[4]AEO23 Table 4'!K48*10^15</f>
        <v>5554088000000000</v>
      </c>
      <c r="U198" s="7">
        <f>'[4]AEO23 Table 4'!L48*10^15</f>
        <v>5587194000000000</v>
      </c>
      <c r="V198" s="7">
        <f>'[4]AEO23 Table 4'!M48*10^15</f>
        <v>5622504000000000</v>
      </c>
      <c r="W198" s="7">
        <f>'[4]AEO23 Table 4'!N48*10^15</f>
        <v>5659284000000000</v>
      </c>
      <c r="X198" s="7">
        <f>'[4]AEO23 Table 4'!O48*10^15</f>
        <v>5694947000000000</v>
      </c>
      <c r="Y198" s="7">
        <f>'[4]AEO23 Table 4'!P48*10^15</f>
        <v>5742076000000000</v>
      </c>
      <c r="Z198" s="7">
        <f>'[4]AEO23 Table 4'!Q48*10^15</f>
        <v>5795343000000000</v>
      </c>
      <c r="AA198" s="7">
        <f>'[4]AEO23 Table 4'!R48*10^15</f>
        <v>5852389000000000</v>
      </c>
      <c r="AB198" s="7">
        <f>'[4]AEO23 Table 4'!S48*10^15</f>
        <v>5907059000000000</v>
      </c>
      <c r="AC198" s="7">
        <f>'[4]AEO23 Table 4'!T48*10^15</f>
        <v>5963454000000000</v>
      </c>
      <c r="AD198" s="7">
        <f>'[4]AEO23 Table 4'!U48*10^15</f>
        <v>6020300000000000</v>
      </c>
      <c r="AE198" s="7">
        <f>'[4]AEO23 Table 4'!V48*10^15</f>
        <v>6080250000000000</v>
      </c>
      <c r="AF198" s="7">
        <f>'[4]AEO23 Table 4'!W48*10^15</f>
        <v>6145656000000000</v>
      </c>
      <c r="AG198" s="7">
        <f>'[4]AEO23 Table 4'!X48*10^15</f>
        <v>6215189000000000</v>
      </c>
      <c r="AH198" s="7">
        <f>'[4]AEO23 Table 4'!Y48*10^15</f>
        <v>6288645000000000</v>
      </c>
      <c r="AI198" s="7">
        <f>'[4]AEO23 Table 4'!Z48*10^15</f>
        <v>6365698000000000</v>
      </c>
      <c r="AJ198" s="7">
        <f>'[4]AEO23 Table 4'!AA48*10^15</f>
        <v>6448222000000000</v>
      </c>
      <c r="AK198" s="7">
        <f>'[4]AEO23 Table 4'!AB48*10^15</f>
        <v>6535610000000000</v>
      </c>
      <c r="AL198" s="7">
        <f>'[4]AEO23 Table 4'!AC48*10^15</f>
        <v>6625218000000000</v>
      </c>
      <c r="AM198" s="7">
        <f>'[4]AEO23 Table 4'!AD48*10^15</f>
        <v>6717607000000000</v>
      </c>
      <c r="AN198" s="7">
        <f>'[4]AEO23 Table 4'!AE48*10^15</f>
        <v>6816999000000000</v>
      </c>
    </row>
    <row r="199" spans="8:40">
      <c r="I199" s="1" t="s">
        <v>602</v>
      </c>
      <c r="J199" t="s">
        <v>603</v>
      </c>
      <c r="K199" s="7">
        <f>SUM(K4,K17,K30,K43,K56,K69,K82,K95,K108,K121)</f>
        <v>5181980000000000</v>
      </c>
      <c r="L199" s="7">
        <f t="shared" ref="L199:AN199" si="132">SUM(L4,L17,L30,L43,L56,L69,L82,L95,L108,L121)</f>
        <v>5259641000000000</v>
      </c>
      <c r="M199" s="7">
        <f t="shared" si="132"/>
        <v>5170127000000000</v>
      </c>
      <c r="N199" s="7">
        <f t="shared" si="132"/>
        <v>5250442999999999</v>
      </c>
      <c r="O199" s="7">
        <f t="shared" si="132"/>
        <v>5307274000000000</v>
      </c>
      <c r="P199" s="7">
        <f t="shared" si="132"/>
        <v>5362642000000000</v>
      </c>
      <c r="Q199" s="7">
        <f t="shared" si="132"/>
        <v>5422232000000000</v>
      </c>
      <c r="R199" s="7">
        <f t="shared" si="132"/>
        <v>5474321000000001</v>
      </c>
      <c r="S199" s="7">
        <f t="shared" si="132"/>
        <v>5502052361822767</v>
      </c>
      <c r="T199" s="7">
        <f t="shared" si="132"/>
        <v>5524494723645533</v>
      </c>
      <c r="U199" s="7">
        <f t="shared" si="132"/>
        <v>5544673085468299</v>
      </c>
      <c r="V199" s="7">
        <f t="shared" si="132"/>
        <v>5566804447291067</v>
      </c>
      <c r="W199" s="7">
        <f t="shared" si="132"/>
        <v>5588065809113834</v>
      </c>
      <c r="X199" s="7">
        <f t="shared" si="132"/>
        <v>5607468396007766</v>
      </c>
      <c r="Y199" s="7">
        <f t="shared" si="132"/>
        <v>5636516965542253</v>
      </c>
      <c r="Z199" s="7">
        <f t="shared" si="132"/>
        <v>5670751504001819</v>
      </c>
      <c r="AA199" s="7">
        <f t="shared" si="132"/>
        <v>5708653253289003</v>
      </c>
      <c r="AB199" s="7">
        <f t="shared" si="132"/>
        <v>5744433051528118</v>
      </c>
      <c r="AC199" s="7">
        <f t="shared" si="132"/>
        <v>5782156612781563</v>
      </c>
      <c r="AD199" s="7">
        <f t="shared" si="132"/>
        <v>5820306924876050</v>
      </c>
      <c r="AE199" s="7">
        <f t="shared" si="132"/>
        <v>5861392599829600</v>
      </c>
      <c r="AF199" s="7">
        <f t="shared" si="132"/>
        <v>5923921963206226</v>
      </c>
      <c r="AG199" s="7">
        <f t="shared" si="132"/>
        <v>5990330963982574</v>
      </c>
      <c r="AH199" s="7">
        <f t="shared" si="132"/>
        <v>6060625788898468</v>
      </c>
      <c r="AI199" s="7">
        <f t="shared" si="132"/>
        <v>6134571251214087</v>
      </c>
      <c r="AJ199" s="7">
        <f t="shared" si="132"/>
        <v>6213757014745981</v>
      </c>
      <c r="AK199" s="7">
        <f t="shared" si="132"/>
        <v>6297530340567617</v>
      </c>
      <c r="AL199" s="7">
        <f t="shared" si="132"/>
        <v>6383413390813459</v>
      </c>
      <c r="AM199" s="7">
        <f t="shared" si="132"/>
        <v>6471898078976591</v>
      </c>
      <c r="AN199" s="7">
        <f t="shared" si="132"/>
        <v>6566948443129565</v>
      </c>
    </row>
    <row r="201" spans="8:40">
      <c r="I201" t="s">
        <v>604</v>
      </c>
      <c r="J201" t="s">
        <v>601</v>
      </c>
      <c r="K201" s="6">
        <f>'[5]AEO22 Table 5'!C39*10^15</f>
        <v>4595164000000000</v>
      </c>
      <c r="L201" s="6">
        <f>'[5]AEO23 Table 5'!C39*10^15</f>
        <v>4715115000000000</v>
      </c>
      <c r="M201" s="6">
        <f>'[5]AEO23 Table 5'!D39*10^15</f>
        <v>4660196000000000</v>
      </c>
      <c r="N201" s="6">
        <f>'[5]AEO23 Table 5'!E39*10^15</f>
        <v>4703229000000000</v>
      </c>
      <c r="O201" s="6">
        <f>'[4]AEO23 Table 5'!F39*10^15</f>
        <v>4706833000000000</v>
      </c>
      <c r="P201" s="6">
        <f>'[4]AEO23 Table 5'!G39*10^15</f>
        <v>4719758000000000</v>
      </c>
      <c r="Q201" s="6">
        <f>'[4]AEO23 Table 5'!H39*10^15</f>
        <v>4728219000000000</v>
      </c>
      <c r="R201" s="6">
        <f>'[4]AEO23 Table 5'!I39*10^15</f>
        <v>4761503000000000</v>
      </c>
      <c r="S201" s="6">
        <f>'[4]AEO23 Table 5'!J39*10^15</f>
        <v>4796856000000000</v>
      </c>
      <c r="T201" s="6">
        <f>'[4]AEO23 Table 5'!K39*10^15</f>
        <v>4826465000000000</v>
      </c>
      <c r="U201" s="6">
        <f>'[4]AEO23 Table 5'!L39*10^15</f>
        <v>4859533000000000</v>
      </c>
      <c r="V201" s="6">
        <f>'[4]AEO23 Table 5'!M39*10^15</f>
        <v>4893326000000000</v>
      </c>
      <c r="W201" s="6">
        <f>'[4]AEO23 Table 5'!N39*10^15</f>
        <v>4921360000000000</v>
      </c>
      <c r="X201" s="6">
        <f>'[4]AEO23 Table 5'!O39*10^15</f>
        <v>4946467000000000</v>
      </c>
      <c r="Y201" s="6">
        <f>'[4]AEO23 Table 5'!P39*10^15</f>
        <v>4972676000000000</v>
      </c>
      <c r="Z201" s="6">
        <f>'[4]AEO23 Table 5'!Q39*10^15</f>
        <v>4999220000000000</v>
      </c>
      <c r="AA201" s="6">
        <f>'[4]AEO23 Table 5'!R39*10^15</f>
        <v>5022711000000000</v>
      </c>
      <c r="AB201" s="6">
        <f>'[4]AEO23 Table 5'!S39*10^15</f>
        <v>5044183000000000</v>
      </c>
      <c r="AC201" s="6">
        <f>'[4]AEO23 Table 5'!T39*10^15</f>
        <v>5063434000000000</v>
      </c>
      <c r="AD201" s="6">
        <f>'[4]AEO23 Table 5'!U39*10^15</f>
        <v>5086228000000000</v>
      </c>
      <c r="AE201" s="6">
        <f>'[4]AEO23 Table 5'!V39*10^15</f>
        <v>5112185000000000</v>
      </c>
      <c r="AF201" s="6">
        <f>'[4]AEO23 Table 5'!W39*10^15</f>
        <v>5139875000000000</v>
      </c>
      <c r="AG201" s="6">
        <f>'[4]AEO23 Table 5'!X39*10^15</f>
        <v>5170059000000000</v>
      </c>
      <c r="AH201" s="6">
        <f>'[4]AEO23 Table 5'!Y39*10^15</f>
        <v>5201613000000000</v>
      </c>
      <c r="AI201" s="6">
        <f>'[4]AEO23 Table 5'!Z39*10^15</f>
        <v>5235871000000000</v>
      </c>
      <c r="AJ201" s="6">
        <f>'[4]AEO23 Table 5'!AA39*10^15</f>
        <v>5273718000000000</v>
      </c>
      <c r="AK201" s="6">
        <f>'[4]AEO23 Table 5'!AB39*10^15</f>
        <v>5314649000000000</v>
      </c>
      <c r="AL201" s="6">
        <f>'[4]AEO23 Table 5'!AC39*10^15</f>
        <v>5357429000000000</v>
      </c>
      <c r="AM201" s="6">
        <f>'[4]AEO23 Table 5'!AD39*10^15</f>
        <v>5401831000000000</v>
      </c>
      <c r="AN201" s="6">
        <f>'[4]AEO23 Table 5'!AE39*10^15</f>
        <v>5448982000000000</v>
      </c>
    </row>
    <row r="202" spans="8:40">
      <c r="I202" t="s">
        <v>602</v>
      </c>
      <c r="J202" t="s">
        <v>603</v>
      </c>
      <c r="K202" s="7">
        <f>SUM(K134,K147,K160,K173,K186)</f>
        <v>4595165000000000</v>
      </c>
      <c r="L202" s="7">
        <f t="shared" ref="L202:AN202" si="133">SUM(L134,L147,L160,L173,L186)</f>
        <v>4715115000000000</v>
      </c>
      <c r="M202" s="7">
        <f t="shared" si="133"/>
        <v>4660196000000000</v>
      </c>
      <c r="N202" s="7">
        <f t="shared" si="133"/>
        <v>4703230000000000</v>
      </c>
      <c r="O202" s="7">
        <f t="shared" si="133"/>
        <v>4753829000000000</v>
      </c>
      <c r="P202" s="7">
        <f t="shared" si="133"/>
        <v>4801607000000000</v>
      </c>
      <c r="Q202" s="7">
        <f t="shared" si="133"/>
        <v>4846558000000000</v>
      </c>
      <c r="R202" s="7">
        <f t="shared" si="133"/>
        <v>4891556000000000</v>
      </c>
      <c r="S202" s="7">
        <f t="shared" si="133"/>
        <v>4936389000000000</v>
      </c>
      <c r="T202" s="7">
        <f t="shared" si="133"/>
        <v>4826464000000000</v>
      </c>
      <c r="U202" s="7">
        <f t="shared" si="133"/>
        <v>4859532000000000</v>
      </c>
      <c r="V202" s="7">
        <f t="shared" si="133"/>
        <v>4893326000000000</v>
      </c>
      <c r="W202" s="7">
        <f t="shared" si="133"/>
        <v>4921359000000000</v>
      </c>
      <c r="X202" s="7">
        <f t="shared" si="133"/>
        <v>4946468000000000</v>
      </c>
      <c r="Y202" s="7">
        <f t="shared" si="133"/>
        <v>4972677000000000</v>
      </c>
      <c r="Z202" s="7">
        <f t="shared" si="133"/>
        <v>4999221000000000</v>
      </c>
      <c r="AA202" s="7">
        <f t="shared" si="133"/>
        <v>5022710000000000</v>
      </c>
      <c r="AB202" s="7">
        <f t="shared" si="133"/>
        <v>5044183000000000</v>
      </c>
      <c r="AC202" s="7">
        <f t="shared" si="133"/>
        <v>5063434000000000</v>
      </c>
      <c r="AD202" s="7">
        <f t="shared" si="133"/>
        <v>5086228000000000</v>
      </c>
      <c r="AE202" s="7">
        <f t="shared" si="133"/>
        <v>5112184000000000</v>
      </c>
      <c r="AF202" s="7">
        <f t="shared" si="133"/>
        <v>5139875000000000</v>
      </c>
      <c r="AG202" s="7">
        <f t="shared" si="133"/>
        <v>5170060000000000</v>
      </c>
      <c r="AH202" s="7">
        <f t="shared" si="133"/>
        <v>5201614000000000</v>
      </c>
      <c r="AI202" s="7">
        <f t="shared" si="133"/>
        <v>5235870000000000</v>
      </c>
      <c r="AJ202" s="7">
        <f t="shared" si="133"/>
        <v>5273717000000000</v>
      </c>
      <c r="AK202" s="7">
        <f t="shared" si="133"/>
        <v>5314650000000000</v>
      </c>
      <c r="AL202" s="7">
        <f t="shared" si="133"/>
        <v>5357428000000000</v>
      </c>
      <c r="AM202" s="7">
        <f t="shared" si="133"/>
        <v>5401830000000000</v>
      </c>
      <c r="AN202" s="7">
        <f t="shared" si="13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defaultRowHeight="15"/>
  <cols>
    <col min="1" max="1" width="26" customWidth="1"/>
    <col min="2" max="2" width="10.140625" bestFit="1" customWidth="1"/>
    <col min="3" max="3" width="12.140625" bestFit="1" customWidth="1"/>
    <col min="4" max="28" width="9.42578125" bestFit="1" customWidth="1"/>
    <col min="29" max="29" width="9.5703125" bestFit="1" customWidth="1"/>
    <col min="30" max="31" width="9.42578125" bestFit="1" customWidth="1"/>
    <col min="32" max="34" width="9.5703125" bestFit="1" customWidth="1"/>
    <col min="35" max="35" width="11" customWidth="1"/>
  </cols>
  <sheetData>
    <row r="1" spans="1:36">
      <c r="A1" t="s">
        <v>92</v>
      </c>
      <c r="B1">
        <v>354871</v>
      </c>
      <c r="C1" t="s">
        <v>93</v>
      </c>
    </row>
    <row r="2" spans="1:36">
      <c r="A2" t="s">
        <v>94</v>
      </c>
      <c r="B2" s="6">
        <v>947817120</v>
      </c>
      <c r="C2" t="s">
        <v>95</v>
      </c>
    </row>
    <row r="3" spans="1:36">
      <c r="A3" t="s">
        <v>92</v>
      </c>
      <c r="B3" s="6">
        <f>B1*B2</f>
        <v>336352809191520</v>
      </c>
      <c r="C3" t="s">
        <v>96</v>
      </c>
    </row>
    <row r="5" spans="1:36">
      <c r="A5" t="s">
        <v>647</v>
      </c>
    </row>
    <row r="6" spans="1:36">
      <c r="A6" t="s">
        <v>344</v>
      </c>
    </row>
    <row r="8" spans="1:36">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322118958843257.63</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c r="A11" s="1" t="s">
        <v>649</v>
      </c>
    </row>
    <row r="12" spans="1:36">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208382136944156.13</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52789284177819.563</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10994547705574.313</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c r="A17" s="1" t="s">
        <v>650</v>
      </c>
    </row>
    <row r="18" spans="1:35">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25469362731949.813</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c r="A23" s="1" t="s">
        <v>651</v>
      </c>
    </row>
    <row r="24" spans="1:35">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151280965132270.63</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39395158349923.313</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defaultColWidth="8.7109375" defaultRowHeight="15"/>
  <cols>
    <col min="1" max="1" width="16.42578125" customWidth="1"/>
    <col min="2" max="2" width="19.42578125" customWidth="1"/>
    <col min="3" max="3" width="17.42578125" customWidth="1"/>
    <col min="4" max="4" width="12.42578125" customWidth="1"/>
  </cols>
  <sheetData>
    <row r="1" spans="1:8">
      <c r="A1" s="2" t="s">
        <v>646</v>
      </c>
      <c r="B1" s="12"/>
      <c r="C1" s="12"/>
      <c r="D1" s="12"/>
      <c r="E1" s="12"/>
      <c r="F1" s="12"/>
      <c r="G1" s="12"/>
      <c r="H1" s="12"/>
    </row>
    <row r="2" spans="1:8">
      <c r="B2">
        <v>2000</v>
      </c>
      <c r="C2">
        <v>2006</v>
      </c>
      <c r="D2">
        <v>2008</v>
      </c>
      <c r="E2">
        <v>2009</v>
      </c>
      <c r="F2">
        <v>2020</v>
      </c>
      <c r="G2">
        <v>2022</v>
      </c>
      <c r="H2">
        <v>2012</v>
      </c>
    </row>
    <row r="3" spans="1:8">
      <c r="A3" t="s">
        <v>434</v>
      </c>
      <c r="B3">
        <v>55622.2</v>
      </c>
      <c r="C3">
        <v>7957.9</v>
      </c>
      <c r="D3">
        <v>5249.4</v>
      </c>
      <c r="E3">
        <v>5271</v>
      </c>
      <c r="F3">
        <v>14497.7</v>
      </c>
      <c r="G3">
        <v>5215.6000000000004</v>
      </c>
      <c r="H3">
        <v>8544</v>
      </c>
    </row>
    <row r="4" spans="1:8">
      <c r="A4" t="s">
        <v>642</v>
      </c>
      <c r="B4">
        <v>8003.3</v>
      </c>
      <c r="C4">
        <v>876</v>
      </c>
      <c r="D4">
        <v>0</v>
      </c>
      <c r="E4">
        <v>3551.7</v>
      </c>
      <c r="F4">
        <v>1513.1</v>
      </c>
      <c r="G4">
        <v>995.4</v>
      </c>
      <c r="H4">
        <v>12343.4</v>
      </c>
    </row>
    <row r="5" spans="1:8">
      <c r="A5" t="s">
        <v>641</v>
      </c>
      <c r="B5">
        <v>4050.7</v>
      </c>
      <c r="C5">
        <v>456.6</v>
      </c>
      <c r="D5">
        <v>18.5</v>
      </c>
      <c r="E5">
        <v>568.20000000000005</v>
      </c>
      <c r="F5">
        <v>115.9</v>
      </c>
      <c r="G5">
        <v>23</v>
      </c>
      <c r="H5">
        <v>199.7</v>
      </c>
    </row>
    <row r="6" spans="1:8">
      <c r="A6" t="s">
        <v>640</v>
      </c>
      <c r="B6">
        <v>1090.2</v>
      </c>
      <c r="C6">
        <v>2533.9</v>
      </c>
      <c r="D6">
        <v>859.4</v>
      </c>
      <c r="E6">
        <v>10628.4</v>
      </c>
      <c r="F6">
        <v>1133.5</v>
      </c>
      <c r="G6">
        <v>4829.3999999999996</v>
      </c>
      <c r="H6">
        <v>4055.7</v>
      </c>
    </row>
    <row r="7" spans="1:8">
      <c r="A7" t="s">
        <v>473</v>
      </c>
      <c r="B7">
        <v>7030.9</v>
      </c>
      <c r="C7">
        <v>4116.6000000000004</v>
      </c>
      <c r="D7">
        <v>6967.4</v>
      </c>
      <c r="E7">
        <v>4280.5</v>
      </c>
      <c r="F7">
        <v>468.1</v>
      </c>
      <c r="G7">
        <v>10068.299999999999</v>
      </c>
      <c r="H7">
        <v>2641.4</v>
      </c>
    </row>
    <row r="9" spans="1:8" ht="75">
      <c r="B9" s="81" t="s">
        <v>645</v>
      </c>
      <c r="C9" s="81" t="s">
        <v>644</v>
      </c>
      <c r="D9" s="65" t="s">
        <v>643</v>
      </c>
    </row>
    <row r="10" spans="1:8">
      <c r="A10" t="s">
        <v>434</v>
      </c>
      <c r="B10" s="80">
        <f>SUM(B3:H3)</f>
        <v>102357.8</v>
      </c>
      <c r="C10" s="79">
        <f>B10/SUM(B$10:B$14)</f>
        <v>0.52282852429039151</v>
      </c>
      <c r="D10" s="79">
        <f>C10+C$14*(C10/SUM(C$10:C$13))</f>
        <v>0.63892242256425869</v>
      </c>
    </row>
    <row r="11" spans="1:8">
      <c r="A11" t="s">
        <v>642</v>
      </c>
      <c r="B11" s="80">
        <f>SUM(B4:H4)</f>
        <v>27282.9</v>
      </c>
      <c r="C11" s="79">
        <f>B11/SUM(B$10:B$14)</f>
        <v>0.13935702355230695</v>
      </c>
      <c r="D11" s="79">
        <f>C11+C$14*(C11/SUM(C$10:C$13))</f>
        <v>0.17030120384160674</v>
      </c>
    </row>
    <row r="12" spans="1:8">
      <c r="A12" t="s">
        <v>641</v>
      </c>
      <c r="B12" s="80">
        <f>SUM(B5:H5)</f>
        <v>5432.5999999999995</v>
      </c>
      <c r="C12" s="79">
        <f>B12/SUM(B$10:B$14)</f>
        <v>2.7748918412275184E-2</v>
      </c>
      <c r="D12" s="79">
        <f>C12+C$14*(C12/SUM(C$10:C$13))</f>
        <v>3.3910556428748871E-2</v>
      </c>
    </row>
    <row r="13" spans="1:8">
      <c r="A13" t="s">
        <v>640</v>
      </c>
      <c r="B13" s="80">
        <f>SUM(B6:H6)</f>
        <v>25130.5</v>
      </c>
      <c r="C13" s="79">
        <f>B13/SUM(B$10:B$14)</f>
        <v>0.12836288225889658</v>
      </c>
      <c r="D13" s="79">
        <f>C13+C$14*(C13/SUM(C$10:C$13))</f>
        <v>0.15686581716538556</v>
      </c>
    </row>
    <row r="14" spans="1:8">
      <c r="A14" t="s">
        <v>473</v>
      </c>
      <c r="B14" s="80">
        <f>SUM(B7:H7)</f>
        <v>35573.200000000004</v>
      </c>
      <c r="C14" s="79">
        <f>B14/SUM(B$10:B$14)</f>
        <v>0.18170265148612963</v>
      </c>
    </row>
    <row r="16" spans="1:8">
      <c r="A16" s="1" t="s">
        <v>639</v>
      </c>
      <c r="B16" s="11" t="s">
        <v>638</v>
      </c>
      <c r="C16" s="11" t="s">
        <v>637</v>
      </c>
      <c r="D16" s="11" t="s">
        <v>636</v>
      </c>
    </row>
    <row r="17" spans="1:7">
      <c r="A17" t="s">
        <v>635</v>
      </c>
      <c r="B17">
        <v>106</v>
      </c>
      <c r="C17">
        <v>55</v>
      </c>
      <c r="D17">
        <v>15.8</v>
      </c>
    </row>
    <row r="18" spans="1:7">
      <c r="A18" t="s">
        <v>634</v>
      </c>
      <c r="B18">
        <v>375</v>
      </c>
      <c r="C18">
        <v>187</v>
      </c>
      <c r="D18">
        <v>26.4</v>
      </c>
    </row>
    <row r="20" spans="1:7">
      <c r="A20" s="1" t="s">
        <v>633</v>
      </c>
    </row>
    <row r="21" spans="1:7">
      <c r="A21" s="79">
        <f>((C17/B17)*D17+(C18/B18)*D18)/SUM(D17:D18)</f>
        <v>0.50623017079495658</v>
      </c>
    </row>
    <row r="23" spans="1:7">
      <c r="A23" t="s">
        <v>632</v>
      </c>
    </row>
    <row r="24" spans="1:7">
      <c r="A24" t="s">
        <v>631</v>
      </c>
    </row>
    <row r="25" spans="1:7">
      <c r="A25" t="s">
        <v>630</v>
      </c>
    </row>
    <row r="27" spans="1:7">
      <c r="A27" s="1" t="s">
        <v>629</v>
      </c>
    </row>
    <row r="28" spans="1:7">
      <c r="A28" s="1">
        <v>2000</v>
      </c>
      <c r="B28" s="1">
        <v>2006</v>
      </c>
      <c r="C28" s="1">
        <v>2008</v>
      </c>
      <c r="D28" s="1">
        <v>2009</v>
      </c>
      <c r="E28" s="1">
        <v>2010</v>
      </c>
      <c r="F28" s="1">
        <v>2011</v>
      </c>
      <c r="G28" s="1">
        <v>2012</v>
      </c>
    </row>
    <row r="29" spans="1:7">
      <c r="A29">
        <v>0.65</v>
      </c>
      <c r="B29">
        <v>0.7</v>
      </c>
      <c r="C29">
        <v>0.73</v>
      </c>
      <c r="D29">
        <v>0.71</v>
      </c>
      <c r="E29">
        <v>0.68</v>
      </c>
      <c r="F29">
        <v>0.71</v>
      </c>
      <c r="G29">
        <v>0.73</v>
      </c>
    </row>
    <row r="31" spans="1:7">
      <c r="A31" t="s">
        <v>628</v>
      </c>
    </row>
    <row r="32" spans="1:7">
      <c r="A32" s="78">
        <f>AVERAGE(A29:G29)</f>
        <v>0.7014285714285714</v>
      </c>
    </row>
    <row r="35" spans="1:3">
      <c r="A35" s="2" t="s">
        <v>627</v>
      </c>
      <c r="B35" s="12"/>
      <c r="C35" s="12"/>
    </row>
    <row r="36" spans="1:3">
      <c r="A36" t="s">
        <v>626</v>
      </c>
      <c r="B36" t="s">
        <v>625</v>
      </c>
      <c r="C36" t="s">
        <v>624</v>
      </c>
    </row>
    <row r="37" spans="1:3">
      <c r="A37">
        <v>1</v>
      </c>
      <c r="B37">
        <v>4.4000000000000004</v>
      </c>
      <c r="C37" t="s">
        <v>617</v>
      </c>
    </row>
    <row r="38" spans="1:3">
      <c r="A38">
        <v>2</v>
      </c>
      <c r="B38">
        <v>3.1</v>
      </c>
      <c r="C38" t="s">
        <v>617</v>
      </c>
    </row>
    <row r="39" spans="1:3">
      <c r="A39">
        <v>3</v>
      </c>
      <c r="B39">
        <v>3.05</v>
      </c>
      <c r="C39" t="s">
        <v>617</v>
      </c>
    </row>
    <row r="40" spans="1:3">
      <c r="A40">
        <v>4</v>
      </c>
      <c r="B40">
        <v>6.7</v>
      </c>
      <c r="C40" t="s">
        <v>623</v>
      </c>
    </row>
    <row r="41" spans="1:3">
      <c r="A41">
        <v>5</v>
      </c>
      <c r="B41">
        <v>5.3</v>
      </c>
      <c r="C41" t="s">
        <v>617</v>
      </c>
    </row>
    <row r="42" spans="1:3">
      <c r="A42">
        <v>6</v>
      </c>
      <c r="B42">
        <v>3.4</v>
      </c>
      <c r="C42" t="s">
        <v>617</v>
      </c>
    </row>
    <row r="43" spans="1:3">
      <c r="A43">
        <v>7</v>
      </c>
      <c r="B43">
        <v>4.8</v>
      </c>
      <c r="C43" t="s">
        <v>616</v>
      </c>
    </row>
    <row r="44" spans="1:3">
      <c r="A44">
        <v>8</v>
      </c>
      <c r="B44">
        <v>6.8</v>
      </c>
      <c r="C44" t="s">
        <v>622</v>
      </c>
    </row>
    <row r="45" spans="1:3">
      <c r="A45">
        <v>9</v>
      </c>
      <c r="B45">
        <v>4.8</v>
      </c>
      <c r="C45" t="s">
        <v>621</v>
      </c>
    </row>
    <row r="46" spans="1:3">
      <c r="A46">
        <v>10</v>
      </c>
      <c r="B46">
        <v>4.9000000000000004</v>
      </c>
      <c r="C46" t="s">
        <v>620</v>
      </c>
    </row>
    <row r="47" spans="1:3">
      <c r="A47">
        <v>11</v>
      </c>
      <c r="B47" s="77">
        <v>5</v>
      </c>
      <c r="C47" t="s">
        <v>619</v>
      </c>
    </row>
    <row r="48" spans="1:3">
      <c r="A48">
        <v>12</v>
      </c>
      <c r="B48">
        <v>4.4000000000000004</v>
      </c>
      <c r="C48" t="s">
        <v>617</v>
      </c>
    </row>
    <row r="49" spans="1:3">
      <c r="A49">
        <v>13</v>
      </c>
      <c r="B49">
        <v>3.4</v>
      </c>
      <c r="C49" t="s">
        <v>618</v>
      </c>
    </row>
    <row r="50" spans="1:3">
      <c r="A50">
        <v>14</v>
      </c>
      <c r="B50" s="77">
        <v>2</v>
      </c>
      <c r="C50" t="s">
        <v>617</v>
      </c>
    </row>
    <row r="51" spans="1:3">
      <c r="A51">
        <v>15</v>
      </c>
      <c r="B51">
        <v>2.6</v>
      </c>
      <c r="C51" t="s">
        <v>616</v>
      </c>
    </row>
    <row r="52" spans="1:3">
      <c r="A52">
        <v>16</v>
      </c>
      <c r="B52">
        <v>4.5</v>
      </c>
      <c r="C52" t="s">
        <v>615</v>
      </c>
    </row>
    <row r="54" spans="1:3">
      <c r="A54" s="1" t="s">
        <v>614</v>
      </c>
      <c r="B54" s="76">
        <f>AVERAGEIFS(B37:B52,C37:C52,"district heating system")</f>
        <v>3.6642857142857141</v>
      </c>
    </row>
    <row r="56" spans="1:3">
      <c r="A56" t="s">
        <v>613</v>
      </c>
    </row>
    <row r="57" spans="1:3">
      <c r="A57" t="s">
        <v>612</v>
      </c>
    </row>
    <row r="58" spans="1:3">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defaultColWidth="9.140625" defaultRowHeight="15"/>
  <cols>
    <col min="1" max="1" width="41" customWidth="1"/>
    <col min="2" max="2" width="16.7109375" customWidth="1"/>
    <col min="3" max="3" width="10.5703125" customWidth="1"/>
    <col min="4" max="33" width="9.140625" customWidth="1"/>
  </cols>
  <sheetData>
    <row r="1" spans="1:36">
      <c r="A1" s="66" t="s">
        <v>605</v>
      </c>
      <c r="B1" t="s">
        <v>606</v>
      </c>
      <c r="C1" s="6">
        <v>3412000000000</v>
      </c>
    </row>
    <row r="2" spans="1:36">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c r="B10" s="73"/>
    </row>
    <row r="11" spans="1:36">
      <c r="B11" s="73"/>
    </row>
    <row r="12" spans="1:36">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2" sqref="G2:G11"/>
    </sheetView>
  </sheetViews>
  <sheetFormatPr defaultRowHeight="15"/>
  <cols>
    <col min="1" max="1" width="29.85546875" customWidth="1"/>
    <col min="2" max="7" width="23.85546875" customWidth="1"/>
  </cols>
  <sheetData>
    <row r="1" spans="1:9">
      <c r="A1" s="1" t="s">
        <v>75</v>
      </c>
      <c r="B1" s="11" t="s">
        <v>452</v>
      </c>
      <c r="C1" s="11" t="s">
        <v>453</v>
      </c>
      <c r="D1" s="11" t="s">
        <v>465</v>
      </c>
      <c r="E1" s="11" t="s">
        <v>454</v>
      </c>
      <c r="F1" s="11" t="s">
        <v>455</v>
      </c>
      <c r="G1" s="11" t="s">
        <v>456</v>
      </c>
      <c r="H1" s="1"/>
      <c r="I1" s="1"/>
    </row>
    <row r="2" spans="1:9">
      <c r="A2" s="1" t="s">
        <v>76</v>
      </c>
      <c r="B2" s="14">
        <f>'2020 Calculations'!K4</f>
        <v>551419754461033</v>
      </c>
      <c r="C2" s="14">
        <f>'2020 Calculations'!K17</f>
        <v>727948340460964</v>
      </c>
      <c r="D2">
        <v>0</v>
      </c>
      <c r="E2">
        <f>'2020 Calculations'!K30</f>
        <v>161765342831700.75</v>
      </c>
      <c r="F2">
        <f>'2020 Calculations'!K43</f>
        <v>1088009888559564.5</v>
      </c>
      <c r="G2" s="14">
        <f>'2020 Calculations'!K56</f>
        <v>1616476395554568</v>
      </c>
      <c r="I2" s="10"/>
    </row>
    <row r="3" spans="1:9">
      <c r="A3" s="1" t="s">
        <v>77</v>
      </c>
      <c r="B3" s="14">
        <f>'2020 Calculations'!K5</f>
        <v>0</v>
      </c>
      <c r="C3" s="14">
        <f>'2020 Calculations'!K18</f>
        <v>0</v>
      </c>
      <c r="D3">
        <v>0</v>
      </c>
      <c r="E3">
        <f>'2020 Calculations'!K31</f>
        <v>0</v>
      </c>
      <c r="F3">
        <f>'2020 Calculations'!K44</f>
        <v>0</v>
      </c>
      <c r="G3" s="14">
        <f>'2020 Calculations'!K57</f>
        <v>0</v>
      </c>
    </row>
    <row r="4" spans="1:9">
      <c r="A4" s="1" t="s">
        <v>78</v>
      </c>
      <c r="B4" s="14">
        <f>'2020 Calculations'!K6</f>
        <v>2923028410588520</v>
      </c>
      <c r="C4" s="14">
        <f>'2020 Calculations'!K19</f>
        <v>48562977923234.375</v>
      </c>
      <c r="D4">
        <v>0</v>
      </c>
      <c r="E4">
        <f>'2020 Calculations'!K32</f>
        <v>0</v>
      </c>
      <c r="F4">
        <f>'2020 Calculations'!K45</f>
        <v>873328070821432</v>
      </c>
      <c r="G4" s="14">
        <f>'2020 Calculations'!K58</f>
        <v>182368294665263.5</v>
      </c>
    </row>
    <row r="5" spans="1:9">
      <c r="A5" s="1" t="s">
        <v>79</v>
      </c>
      <c r="B5" s="14">
        <f>'2020 Calculations'!K7</f>
        <v>286332810861446</v>
      </c>
      <c r="C5" s="14">
        <f>'2020 Calculations'!K20</f>
        <v>0</v>
      </c>
      <c r="D5">
        <v>0</v>
      </c>
      <c r="E5">
        <f>'2020 Calculations'!K33</f>
        <v>0</v>
      </c>
      <c r="F5">
        <f>'2020 Calculations'!K46</f>
        <v>33250749638607.25</v>
      </c>
      <c r="G5" s="14">
        <f>'2020 Calculations'!K59</f>
        <v>6005461206647.3145</v>
      </c>
    </row>
    <row r="6" spans="1:9">
      <c r="A6" s="1" t="s">
        <v>81</v>
      </c>
      <c r="B6" s="14">
        <f>'2020 Calculations'!K8</f>
        <v>0</v>
      </c>
      <c r="C6" s="14">
        <f>'2020 Calculations'!K21</f>
        <v>0</v>
      </c>
      <c r="D6">
        <v>0</v>
      </c>
      <c r="E6">
        <f>'2020 Calculations'!K34</f>
        <v>0</v>
      </c>
      <c r="F6">
        <f>'2020 Calculations'!K47</f>
        <v>0</v>
      </c>
      <c r="G6" s="14">
        <f>'2020 Calculations'!K60</f>
        <v>0</v>
      </c>
    </row>
    <row r="7" spans="1:9">
      <c r="A7" s="1" t="s">
        <v>162</v>
      </c>
      <c r="B7" s="14">
        <f>'2020 Calculations'!K9</f>
        <v>446555350256156</v>
      </c>
      <c r="C7" s="14">
        <f>'2020 Calculations'!K22</f>
        <v>0</v>
      </c>
      <c r="D7">
        <v>0</v>
      </c>
      <c r="E7">
        <f>'2020 Calculations'!K35</f>
        <v>0</v>
      </c>
      <c r="F7">
        <f>'2020 Calculations'!K48</f>
        <v>0</v>
      </c>
      <c r="G7" s="14">
        <f>'2020 Calculations'!K61</f>
        <v>0</v>
      </c>
    </row>
    <row r="8" spans="1:9">
      <c r="A8" s="1" t="s">
        <v>446</v>
      </c>
      <c r="B8" s="14">
        <f>'2020 Calculations'!K10</f>
        <v>0</v>
      </c>
      <c r="C8" s="14">
        <f>'2020 Calculations'!K23</f>
        <v>0</v>
      </c>
      <c r="D8">
        <v>0</v>
      </c>
      <c r="E8">
        <f>'2020 Calculations'!K36</f>
        <v>0</v>
      </c>
      <c r="F8">
        <f>'2020 Calculations'!K49</f>
        <v>0</v>
      </c>
      <c r="G8" s="14">
        <f>'2020 Calculations'!K62</f>
        <v>0</v>
      </c>
    </row>
    <row r="9" spans="1:9">
      <c r="A9" s="1" t="s">
        <v>447</v>
      </c>
      <c r="B9" s="14">
        <f>'2020 Calculations'!K11</f>
        <v>0</v>
      </c>
      <c r="C9" s="14">
        <f>'2020 Calculations'!K24</f>
        <v>0</v>
      </c>
      <c r="D9">
        <v>0</v>
      </c>
      <c r="E9">
        <f>'2020 Calculations'!K37</f>
        <v>0</v>
      </c>
      <c r="F9">
        <f>'2020 Calculations'!K50</f>
        <v>0</v>
      </c>
      <c r="G9" s="14">
        <f>'2020 Calculations'!K63</f>
        <v>0</v>
      </c>
    </row>
    <row r="10" spans="1:9">
      <c r="A10" s="1" t="s">
        <v>448</v>
      </c>
      <c r="B10" s="14">
        <f>'2020 Calculations'!K12</f>
        <v>250651837032068.5</v>
      </c>
      <c r="C10" s="14">
        <f>'2020 Calculations'!K25</f>
        <v>0</v>
      </c>
      <c r="D10">
        <v>0</v>
      </c>
      <c r="E10">
        <f>'2020 Calculations'!K38</f>
        <v>0</v>
      </c>
      <c r="F10">
        <f>'2020 Calculations'!K51</f>
        <v>60553883035931.25</v>
      </c>
      <c r="G10" s="14">
        <f>'2020 Calculations'!K64</f>
        <v>53509496825525</v>
      </c>
    </row>
    <row r="11" spans="1:9">
      <c r="A11" s="1" t="s">
        <v>449</v>
      </c>
      <c r="B11" s="14">
        <f>'2020 Calculations'!K13</f>
        <v>0</v>
      </c>
      <c r="C11" s="14">
        <f>'2020 Calculations'!K26</f>
        <v>0</v>
      </c>
      <c r="D11">
        <v>0</v>
      </c>
      <c r="E11">
        <f>'2020 Calculations'!K39</f>
        <v>0</v>
      </c>
      <c r="F11">
        <f>'2020 Calculations'!K52</f>
        <v>0</v>
      </c>
      <c r="G11" s="14">
        <f>'2020 Calculations'!K65</f>
        <v>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C2" sqref="C2:G11"/>
    </sheetView>
  </sheetViews>
  <sheetFormatPr defaultRowHeight="15"/>
  <cols>
    <col min="1" max="1" width="29.85546875" customWidth="1"/>
    <col min="2" max="7" width="23.85546875" customWidth="1"/>
  </cols>
  <sheetData>
    <row r="1" spans="1:9">
      <c r="A1" s="1" t="s">
        <v>75</v>
      </c>
      <c r="B1" s="11" t="s">
        <v>452</v>
      </c>
      <c r="C1" s="11" t="s">
        <v>453</v>
      </c>
      <c r="D1" s="11" t="s">
        <v>465</v>
      </c>
      <c r="E1" s="11" t="s">
        <v>454</v>
      </c>
      <c r="F1" s="11" t="s">
        <v>455</v>
      </c>
      <c r="G1" s="11" t="s">
        <v>456</v>
      </c>
      <c r="H1" s="1"/>
      <c r="I1" s="1"/>
    </row>
    <row r="2" spans="1:9">
      <c r="A2" s="1" t="s">
        <v>76</v>
      </c>
      <c r="B2" s="14">
        <f>'2020 Calculations'!K69</f>
        <v>126765055062776.5</v>
      </c>
      <c r="C2" s="14">
        <f>'2020 Calculations'!K82</f>
        <v>167346945253322</v>
      </c>
      <c r="D2">
        <v>0</v>
      </c>
      <c r="E2" s="14">
        <f>'2020 Calculations'!K95</f>
        <v>37187990501632.5</v>
      </c>
      <c r="F2">
        <f>'2020 Calculations'!K108</f>
        <v>250120951083635.38</v>
      </c>
      <c r="G2">
        <f>'2020 Calculations'!K121</f>
        <v>371609318731136</v>
      </c>
      <c r="I2" s="10"/>
    </row>
    <row r="3" spans="1:9">
      <c r="A3" s="1" t="s">
        <v>77</v>
      </c>
      <c r="B3" s="14">
        <f>'2020 Calculations'!K70</f>
        <v>0</v>
      </c>
      <c r="C3" s="14">
        <f>'2020 Calculations'!K83</f>
        <v>0</v>
      </c>
      <c r="D3">
        <v>1</v>
      </c>
      <c r="E3" s="14">
        <f>'2020 Calculations'!K96</f>
        <v>0</v>
      </c>
      <c r="F3">
        <f>'2020 Calculations'!K109</f>
        <v>0</v>
      </c>
      <c r="G3">
        <f>'2020 Calculations'!K122</f>
        <v>0</v>
      </c>
    </row>
    <row r="4" spans="1:9">
      <c r="A4" s="1" t="s">
        <v>78</v>
      </c>
      <c r="B4" s="14">
        <f>'2020 Calculations'!K71</f>
        <v>671970589411479</v>
      </c>
      <c r="C4" s="14">
        <f>'2020 Calculations'!K84</f>
        <v>11164069695813.242</v>
      </c>
      <c r="D4">
        <v>2</v>
      </c>
      <c r="E4" s="14">
        <f>'2020 Calculations'!K97</f>
        <v>0</v>
      </c>
      <c r="F4">
        <f>'2020 Calculations'!K110</f>
        <v>200768072035711</v>
      </c>
      <c r="G4">
        <f>'2020 Calculations'!K123</f>
        <v>41924372001403.188</v>
      </c>
    </row>
    <row r="5" spans="1:9">
      <c r="A5" s="1" t="s">
        <v>79</v>
      </c>
      <c r="B5" s="14">
        <f>'2020 Calculations'!K72</f>
        <v>65824617709983.75</v>
      </c>
      <c r="C5" s="14">
        <f>'2020 Calculations'!K85</f>
        <v>0</v>
      </c>
      <c r="D5">
        <v>3</v>
      </c>
      <c r="E5" s="14">
        <f>'2020 Calculations'!K98</f>
        <v>0</v>
      </c>
      <c r="F5">
        <f>'2020 Calculations'!K111</f>
        <v>7643964647107.1563</v>
      </c>
      <c r="G5">
        <f>'2020 Calculations'!K124</f>
        <v>1380586412400.3037</v>
      </c>
    </row>
    <row r="6" spans="1:9">
      <c r="A6" s="1" t="s">
        <v>81</v>
      </c>
      <c r="B6" s="14">
        <f>'2020 Calculations'!K73</f>
        <v>0</v>
      </c>
      <c r="C6" s="14">
        <f>'2020 Calculations'!K86</f>
        <v>0</v>
      </c>
      <c r="D6">
        <v>4</v>
      </c>
      <c r="E6" s="14">
        <f>'2020 Calculations'!K99</f>
        <v>0</v>
      </c>
      <c r="F6">
        <f>'2020 Calculations'!K112</f>
        <v>0</v>
      </c>
      <c r="G6">
        <f>'2020 Calculations'!K125</f>
        <v>0</v>
      </c>
    </row>
    <row r="7" spans="1:9">
      <c r="A7" s="1" t="s">
        <v>162</v>
      </c>
      <c r="B7" s="14">
        <f>'2020 Calculations'!K74</f>
        <v>102657935458130</v>
      </c>
      <c r="C7" s="14">
        <f>'2020 Calculations'!K87</f>
        <v>0</v>
      </c>
      <c r="D7">
        <v>5</v>
      </c>
      <c r="E7" s="14">
        <f>'2020 Calculations'!K100</f>
        <v>0</v>
      </c>
      <c r="F7">
        <f>'2020 Calculations'!K113</f>
        <v>0</v>
      </c>
      <c r="G7">
        <f>'2020 Calculations'!K126</f>
        <v>0</v>
      </c>
    </row>
    <row r="8" spans="1:9">
      <c r="A8" s="1" t="s">
        <v>446</v>
      </c>
      <c r="B8" s="14">
        <f>'2020 Calculations'!K75</f>
        <v>0</v>
      </c>
      <c r="C8" s="14">
        <f>'2020 Calculations'!K88</f>
        <v>0</v>
      </c>
      <c r="D8">
        <v>6</v>
      </c>
      <c r="E8" s="14">
        <f>'2020 Calculations'!K101</f>
        <v>0</v>
      </c>
      <c r="F8">
        <f>'2020 Calculations'!K114</f>
        <v>0</v>
      </c>
      <c r="G8">
        <f>'2020 Calculations'!K127</f>
        <v>0</v>
      </c>
    </row>
    <row r="9" spans="1:9">
      <c r="A9" s="1" t="s">
        <v>447</v>
      </c>
      <c r="B9" s="14">
        <f>'2020 Calculations'!K76</f>
        <v>0</v>
      </c>
      <c r="C9" s="14">
        <f>'2020 Calculations'!K89</f>
        <v>0</v>
      </c>
      <c r="D9">
        <v>7</v>
      </c>
      <c r="E9" s="14">
        <f>'2020 Calculations'!K102</f>
        <v>0</v>
      </c>
      <c r="F9">
        <f>'2020 Calculations'!K115</f>
        <v>0</v>
      </c>
      <c r="G9">
        <f>'2020 Calculations'!K128</f>
        <v>0</v>
      </c>
    </row>
    <row r="10" spans="1:9">
      <c r="A10" s="1" t="s">
        <v>448</v>
      </c>
      <c r="B10" s="14">
        <f>'2020 Calculations'!K77</f>
        <v>57621972491741</v>
      </c>
      <c r="C10" s="14">
        <f>'2020 Calculations'!K90</f>
        <v>0</v>
      </c>
      <c r="D10">
        <v>8</v>
      </c>
      <c r="E10" s="14">
        <f>'2020 Calculations'!K103</f>
        <v>0</v>
      </c>
      <c r="F10">
        <f>'2020 Calculations'!K116</f>
        <v>13920640773592.688</v>
      </c>
      <c r="G10">
        <f>'2020 Calculations'!K129</f>
        <v>12301217460189</v>
      </c>
    </row>
    <row r="11" spans="1:9">
      <c r="A11" s="1" t="s">
        <v>449</v>
      </c>
      <c r="B11" s="14">
        <f>'2020 Calculations'!K78</f>
        <v>0</v>
      </c>
      <c r="C11" s="14">
        <f>'2020 Calculations'!K91</f>
        <v>0</v>
      </c>
      <c r="D11">
        <v>9</v>
      </c>
      <c r="E11" s="14">
        <f>'2020 Calculations'!K104</f>
        <v>0</v>
      </c>
      <c r="F11">
        <f>'2020 Calculations'!K117</f>
        <v>0</v>
      </c>
      <c r="G11">
        <f>'2020 Calculations'!K130</f>
        <v>0</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9" sqref="B9"/>
    </sheetView>
  </sheetViews>
  <sheetFormatPr defaultRowHeight="15"/>
  <cols>
    <col min="1" max="1" width="29.85546875" customWidth="1"/>
    <col min="2" max="7" width="23.85546875" customWidth="1"/>
  </cols>
  <sheetData>
    <row r="1" spans="1:9">
      <c r="A1" s="1" t="s">
        <v>75</v>
      </c>
      <c r="B1" s="11" t="s">
        <v>452</v>
      </c>
      <c r="C1" s="11" t="s">
        <v>453</v>
      </c>
      <c r="D1" s="11" t="s">
        <v>465</v>
      </c>
      <c r="E1" s="11" t="s">
        <v>454</v>
      </c>
      <c r="F1" s="11" t="s">
        <v>455</v>
      </c>
      <c r="G1" s="11" t="s">
        <v>456</v>
      </c>
      <c r="H1" s="1"/>
      <c r="I1" s="1"/>
    </row>
    <row r="2" spans="1:9">
      <c r="A2" s="1" t="s">
        <v>76</v>
      </c>
      <c r="B2" s="14">
        <f>'2020 Calculations'!K134</f>
        <v>113627523809523.75</v>
      </c>
      <c r="C2" s="14">
        <f>'2020 Calculations'!K147</f>
        <v>955882666666666.5</v>
      </c>
      <c r="D2">
        <v>0</v>
      </c>
      <c r="E2">
        <f>'2020 Calculations'!K160</f>
        <v>483921238095238.25</v>
      </c>
      <c r="F2">
        <f>'2020 Calculations'!K173</f>
        <v>698045047619047</v>
      </c>
      <c r="G2">
        <f>'2020 Calculations'!K186-'Water and Waste'!F9</f>
        <v>2212426142857144</v>
      </c>
      <c r="I2" s="10"/>
    </row>
    <row r="3" spans="1:9">
      <c r="A3" s="1" t="s">
        <v>77</v>
      </c>
      <c r="B3" s="14">
        <f>'2020 Calculations'!K135</f>
        <v>0</v>
      </c>
      <c r="C3" s="14">
        <f>'2020 Calculations'!K148</f>
        <v>0</v>
      </c>
      <c r="D3">
        <v>0</v>
      </c>
      <c r="E3">
        <f>'2020 Calculations'!K161</f>
        <v>0</v>
      </c>
      <c r="F3">
        <f>'2020 Calculations'!K174</f>
        <v>0</v>
      </c>
      <c r="G3">
        <f>'2020 Calculations'!K187</f>
        <v>24252801904761.906</v>
      </c>
    </row>
    <row r="4" spans="1:9">
      <c r="A4" s="1" t="s">
        <v>78</v>
      </c>
      <c r="B4" s="14">
        <f>'2020 Calculations'!K136-'District Heat (2)'!F24</f>
        <v>1637819034867729.5</v>
      </c>
      <c r="C4" s="14">
        <f>'2020 Calculations'!K149</f>
        <v>25744571428571.438</v>
      </c>
      <c r="D4">
        <v>0</v>
      </c>
      <c r="E4">
        <f>'2020 Calculations'!K162</f>
        <v>0</v>
      </c>
      <c r="F4">
        <f>'2020 Calculations'!K175</f>
        <v>893298857142856</v>
      </c>
      <c r="G4">
        <f>'2020 Calculations'!K188</f>
        <v>880583587301588</v>
      </c>
    </row>
    <row r="5" spans="1:9">
      <c r="A5" s="1" t="s">
        <v>79</v>
      </c>
      <c r="B5" s="14">
        <f>'2020 Calculations'!K137-'District Heat (2)'!F26</f>
        <v>183873869860463.81</v>
      </c>
      <c r="C5" s="14">
        <f>'2020 Calculations'!K150</f>
        <v>0</v>
      </c>
      <c r="D5">
        <v>0</v>
      </c>
      <c r="E5">
        <f>'2020 Calculations'!K163</f>
        <v>0</v>
      </c>
      <c r="F5">
        <f>'2020 Calculations'!K176</f>
        <v>5701285714285.7188</v>
      </c>
      <c r="G5">
        <f>'2020 Calculations'!K189</f>
        <v>75589428571428.5</v>
      </c>
    </row>
    <row r="6" spans="1:9">
      <c r="A6" s="1" t="s">
        <v>81</v>
      </c>
      <c r="B6" s="14">
        <f>'2020 Calculations'!K138</f>
        <v>316453454465051.5</v>
      </c>
      <c r="C6" s="14">
        <f>'2020 Calculations'!K151</f>
        <v>0</v>
      </c>
      <c r="D6">
        <v>0</v>
      </c>
      <c r="E6">
        <f>'2020 Calculations'!K164</f>
        <v>0</v>
      </c>
      <c r="F6">
        <f>'2020 Calculations'!K177</f>
        <v>0</v>
      </c>
      <c r="G6">
        <f>'2020 Calculations'!K190</f>
        <v>0</v>
      </c>
    </row>
    <row r="7" spans="1:9">
      <c r="A7" s="1" t="s">
        <v>162</v>
      </c>
      <c r="B7" s="14">
        <f>'2020 Calculations'!K139</f>
        <v>0</v>
      </c>
      <c r="C7" s="14">
        <f>'2020 Calculations'!K152</f>
        <v>0</v>
      </c>
      <c r="D7">
        <v>0</v>
      </c>
      <c r="E7">
        <f>'2020 Calculations'!K165</f>
        <v>0</v>
      </c>
      <c r="F7">
        <f>'2020 Calculations'!K178</f>
        <v>0</v>
      </c>
      <c r="G7">
        <f>'2020 Calculations'!K191</f>
        <v>0</v>
      </c>
    </row>
    <row r="8" spans="1:9">
      <c r="A8" s="1" t="s">
        <v>446</v>
      </c>
      <c r="B8" s="14">
        <f>'2020 Calculations'!K140</f>
        <v>0</v>
      </c>
      <c r="C8" s="14">
        <f>'2020 Calculations'!K153</f>
        <v>0</v>
      </c>
      <c r="D8">
        <v>0</v>
      </c>
      <c r="E8">
        <f>'2020 Calculations'!K166</f>
        <v>0</v>
      </c>
      <c r="F8">
        <f>'2020 Calculations'!K179</f>
        <v>0</v>
      </c>
      <c r="G8">
        <f>'2020 Calculations'!K192</f>
        <v>0</v>
      </c>
    </row>
    <row r="9" spans="1:9">
      <c r="A9" s="1" t="s">
        <v>447</v>
      </c>
      <c r="B9" s="14">
        <f>'2020 Calculations'!K141</f>
        <v>0</v>
      </c>
      <c r="C9" s="14">
        <f>'2020 Calculations'!K154</f>
        <v>0</v>
      </c>
      <c r="D9">
        <v>0</v>
      </c>
      <c r="E9">
        <f>'2020 Calculations'!K167</f>
        <v>0</v>
      </c>
      <c r="F9">
        <f>'2020 Calculations'!K180</f>
        <v>0</v>
      </c>
      <c r="G9">
        <f>'2020 Calculations'!K193</f>
        <v>0</v>
      </c>
    </row>
    <row r="10" spans="1:9">
      <c r="A10" s="1" t="s">
        <v>448</v>
      </c>
      <c r="B10" s="14">
        <f>'2020 Calculations'!K142</f>
        <v>397070444908951.94</v>
      </c>
      <c r="C10" s="14">
        <f>'2020 Calculations'!K155</f>
        <v>0</v>
      </c>
      <c r="D10">
        <v>0</v>
      </c>
      <c r="E10">
        <f>'2020 Calculations'!K168</f>
        <v>0</v>
      </c>
      <c r="F10">
        <f>'2020 Calculations'!K181</f>
        <v>11802478618779.156</v>
      </c>
      <c r="G10">
        <f>'2020 Calculations'!K194</f>
        <v>166282859460271.5</v>
      </c>
    </row>
    <row r="11" spans="1:9">
      <c r="A11" s="1" t="s">
        <v>449</v>
      </c>
      <c r="B11" s="14">
        <f>'2020 Calculations'!K143</f>
        <v>0</v>
      </c>
      <c r="C11" s="14">
        <f>'2020 Calculations'!K156</f>
        <v>0</v>
      </c>
      <c r="D11">
        <v>0</v>
      </c>
      <c r="E11">
        <f>'2020 Calculations'!K169</f>
        <v>0</v>
      </c>
      <c r="F11">
        <f>'2020 Calculations'!K182</f>
        <v>0</v>
      </c>
      <c r="G11">
        <f>'2020 Calculations'!K195</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18</vt:i4>
      </vt:variant>
    </vt:vector>
  </HeadingPairs>
  <TitlesOfParts>
    <vt:vector size="32"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2014-04-18T00:48:59Z</dcterms:created>
  <dcterms:modified xsi:type="dcterms:W3CDTF">2024-07-01T21:58:19Z</dcterms:modified>
</cp:coreProperties>
</file>