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US\eps-us\InputData\trans\FoVBPD\"/>
    </mc:Choice>
  </mc:AlternateContent>
  <xr:revisionPtr revIDLastSave="0" documentId="13_ncr:1_{D3EE59A0-EE5E-466E-B77C-7B014BF6DF13}" xr6:coauthVersionLast="47" xr6:coauthVersionMax="47" xr10:uidLastSave="{00000000-0000-0000-0000-000000000000}"/>
  <bookViews>
    <workbookView xWindow="58170" yWindow="570" windowWidth="21600" windowHeight="15210" activeTab="4" xr2:uid="{DC12087C-9A27-4A43-B4A9-6B3F1E517F08}"/>
  </bookViews>
  <sheets>
    <sheet name="About" sheetId="1" r:id="rId1"/>
    <sheet name="SEIA" sheetId="3" r:id="rId2"/>
    <sheet name="Argonne" sheetId="4" r:id="rId3"/>
    <sheet name="S&amp;P" sheetId="5" r:id="rId4"/>
    <sheet name="FoVBPD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I2" i="2"/>
  <c r="H2" i="2"/>
  <c r="F2" i="2"/>
  <c r="G2" i="2"/>
  <c r="K2" i="2"/>
  <c r="O8" i="4"/>
  <c r="O7" i="4"/>
  <c r="M30" i="3"/>
  <c r="M33" i="3"/>
  <c r="K32" i="4"/>
  <c r="E2" i="2"/>
  <c r="D2" i="2"/>
  <c r="C2" i="2"/>
  <c r="B2" i="2"/>
  <c r="M26" i="3"/>
  <c r="L2" i="2" l="1"/>
</calcChain>
</file>

<file path=xl/sharedStrings.xml><?xml version="1.0" encoding="utf-8"?>
<sst xmlns="http://schemas.openxmlformats.org/spreadsheetml/2006/main" count="43" uniqueCount="35">
  <si>
    <t>Sources:</t>
  </si>
  <si>
    <t>Dmnl</t>
  </si>
  <si>
    <t>Notes:</t>
  </si>
  <si>
    <t>https://seia.org/research-resources/energizing-american-battery-storage-manufacturing/</t>
  </si>
  <si>
    <t>SEIA</t>
  </si>
  <si>
    <t>Energizing American Battery Storage Manufacturing</t>
  </si>
  <si>
    <t>Figures 2, 3</t>
  </si>
  <si>
    <t>This variable affects what portion of newly sold grid battery capacity qualifies for Vehicle Battery Production subsidies,</t>
  </si>
  <si>
    <t>GWh</t>
  </si>
  <si>
    <t>US manufacturing capacity for for battery cells</t>
  </si>
  <si>
    <t>(pulled from image)</t>
  </si>
  <si>
    <t>Share of capacity dedicated to non-automotive applications (primarily BESS)</t>
  </si>
  <si>
    <t>* assumes the same ratio of unannounced applications will be BESS as announced applications</t>
  </si>
  <si>
    <t>Demand</t>
  </si>
  <si>
    <t>Manufacturing  capacity</t>
  </si>
  <si>
    <t>https://www.spglobal.com/mobility/en/research-analysis/briefcase-the-game-of-tariffs-ev-battery-imports.html</t>
  </si>
  <si>
    <t>Argonne National Laboratory</t>
  </si>
  <si>
    <t>Figure 15</t>
  </si>
  <si>
    <t>Securing Critical Minerals for the U.S. Electric Vehicle Industry</t>
  </si>
  <si>
    <t>https://publications.anl.gov/anlpubs/2024/03/187907.pdf</t>
  </si>
  <si>
    <t>Quantification of Commercially Planned Battery Component Supply in North America through 2035</t>
  </si>
  <si>
    <t>https://publications.anl.gov/anlpubs/2024/03/187735.pdf</t>
  </si>
  <si>
    <t>Table 4</t>
  </si>
  <si>
    <t>S&amp;P Global</t>
  </si>
  <si>
    <t>BriefCASE: The game of tariffs - US moves to stifle EV battery imports from mainland China</t>
  </si>
  <si>
    <t>Figure 1</t>
  </si>
  <si>
    <t>if relevant. We source 2022-2030 grid battery demand projections and manufacturing capacity from three sources: SEIA, ANL, and S&amp;P.</t>
  </si>
  <si>
    <t>Share of US BESS demand that can be met with domestic manufacturing</t>
  </si>
  <si>
    <t>Current share of EV battery sourcing</t>
  </si>
  <si>
    <t>US demand for EV batteries</t>
  </si>
  <si>
    <t>Approximate US manufacturing capacity for EVs</t>
  </si>
  <si>
    <t>Fraction of Vehicle Batteries Produced Domestically</t>
  </si>
  <si>
    <t>FoVBPD Fraction of Vehicle Batteries Produced Domestically</t>
  </si>
  <si>
    <t>We assume US vehicle battery manufacturing potential reaches 100% of demand by 2030 due to IRA incentives.</t>
  </si>
  <si>
    <t>Share of US vehicle battery demand that can be met with domestic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</si>
</sst>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9" fontId="0" fillId="0" borderId="0" xfId="0" applyNumberFormat="1"/>
    <xf numFmtId="0" fontId="3" fillId="0" borderId="0" xfId="0" applyFont="1"/>
    <xf numFmtId="1" fontId="1" fillId="0" borderId="0" xfId="0" applyNumberFormat="1" applyFont="1"/>
    <xf numFmtId="9" fontId="1" fillId="2" borderId="0" xfId="1" applyFont="1" applyFill="1"/>
    <xf numFmtId="9" fontId="0" fillId="2" borderId="0" xfId="0" applyNumberFormat="1" applyFill="1"/>
    <xf numFmtId="0" fontId="0" fillId="3" borderId="0" xfId="0" applyFill="1"/>
    <xf numFmtId="2" fontId="0" fillId="4" borderId="0" xfId="0" applyNumberFormat="1" applyFill="1" applyAlignment="1">
      <alignment wrapText="1"/>
    </xf>
    <xf numFmtId="2" fontId="0" fillId="5" borderId="0" xfId="1" applyNumberFormat="1" applyFont="1" applyFill="1" applyAlignment="1">
      <alignment wrapText="1"/>
    </xf>
    <xf numFmtId="2" fontId="0" fillId="6" borderId="0" xfId="0" applyNumberFormat="1" applyFill="1" applyAlignment="1">
      <alignment wrapText="1"/>
    </xf>
    <xf numFmtId="2" fontId="0" fillId="7" borderId="0" xfId="1" applyNumberFormat="1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10</xdr:col>
      <xdr:colOff>457201</xdr:colOff>
      <xdr:row>17</xdr:row>
      <xdr:rowOff>132094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3C95A-CB9F-4507-0FCD-B5FBA4BAE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80975"/>
          <a:ext cx="5943600" cy="30276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1</xdr:rowOff>
    </xdr:from>
    <xdr:to>
      <xdr:col>10</xdr:col>
      <xdr:colOff>457200</xdr:colOff>
      <xdr:row>39</xdr:row>
      <xdr:rowOff>171692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E5C1B-9A69-9AE7-2A3B-B00561719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438526"/>
          <a:ext cx="5943600" cy="37911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239094</xdr:colOff>
      <xdr:row>24</xdr:row>
      <xdr:rowOff>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1F8C2-D542-0E47-8169-B020B75AB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0975"/>
          <a:ext cx="6944694" cy="41630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0</xdr:colOff>
      <xdr:row>42</xdr:row>
      <xdr:rowOff>121344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EF3E32-DA8B-577D-4F15-5CD46426C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705350"/>
          <a:ext cx="4267200" cy="30232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120650</xdr:colOff>
      <xdr:row>19</xdr:row>
      <xdr:rowOff>106928</xdr:rowOff>
    </xdr:to>
    <xdr:pic>
      <xdr:nvPicPr>
        <xdr:cNvPr id="2" name="Picture 1" descr="Country Sources for Lithion-ion Used in US Electric Vehicles ">
          <a:extLst>
            <a:ext uri="{FF2B5EF4-FFF2-40B4-BE49-F238E27FC236}">
              <a16:creationId xmlns:a16="http://schemas.microsoft.com/office/drawing/2014/main" id="{93CF438A-CB48-D04E-8FBA-86B0975D3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975"/>
          <a:ext cx="5000625" cy="3367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2137-6F01-4109-8226-D4C6F3731BA9}">
  <dimension ref="A1:B32"/>
  <sheetViews>
    <sheetView workbookViewId="0">
      <selection activeCell="A3" sqref="A3"/>
    </sheetView>
  </sheetViews>
  <sheetFormatPr defaultRowHeight="14.5" x14ac:dyDescent="0.35"/>
  <cols>
    <col min="2" max="2" width="101.26953125" customWidth="1"/>
  </cols>
  <sheetData>
    <row r="1" spans="1:2" x14ac:dyDescent="0.35">
      <c r="A1" s="1" t="s">
        <v>32</v>
      </c>
    </row>
    <row r="3" spans="1:2" x14ac:dyDescent="0.35">
      <c r="A3" s="1" t="s">
        <v>0</v>
      </c>
      <c r="B3" s="9" t="s">
        <v>4</v>
      </c>
    </row>
    <row r="4" spans="1:2" x14ac:dyDescent="0.35">
      <c r="B4" s="2">
        <v>2023</v>
      </c>
    </row>
    <row r="5" spans="1:2" x14ac:dyDescent="0.35">
      <c r="B5" s="2" t="s">
        <v>5</v>
      </c>
    </row>
    <row r="6" spans="1:2" x14ac:dyDescent="0.35">
      <c r="B6" t="s">
        <v>3</v>
      </c>
    </row>
    <row r="7" spans="1:2" x14ac:dyDescent="0.35">
      <c r="B7" t="s">
        <v>6</v>
      </c>
    </row>
    <row r="8" spans="1:2" x14ac:dyDescent="0.35">
      <c r="A8" s="1"/>
    </row>
    <row r="9" spans="1:2" x14ac:dyDescent="0.35">
      <c r="A9" s="1"/>
      <c r="B9" s="9" t="s">
        <v>16</v>
      </c>
    </row>
    <row r="10" spans="1:2" x14ac:dyDescent="0.35">
      <c r="A10" s="1"/>
      <c r="B10" s="2">
        <v>2024</v>
      </c>
    </row>
    <row r="11" spans="1:2" x14ac:dyDescent="0.35">
      <c r="A11" s="1"/>
      <c r="B11" t="s">
        <v>18</v>
      </c>
    </row>
    <row r="12" spans="1:2" x14ac:dyDescent="0.35">
      <c r="A12" s="1"/>
      <c r="B12" t="s">
        <v>19</v>
      </c>
    </row>
    <row r="13" spans="1:2" x14ac:dyDescent="0.35">
      <c r="A13" s="1"/>
      <c r="B13" t="s">
        <v>17</v>
      </c>
    </row>
    <row r="14" spans="1:2" x14ac:dyDescent="0.35">
      <c r="A14" s="1"/>
    </row>
    <row r="15" spans="1:2" x14ac:dyDescent="0.35">
      <c r="A15" s="1"/>
      <c r="B15" s="9" t="s">
        <v>16</v>
      </c>
    </row>
    <row r="16" spans="1:2" x14ac:dyDescent="0.35">
      <c r="A16" s="1"/>
      <c r="B16" s="2">
        <v>2024</v>
      </c>
    </row>
    <row r="17" spans="1:2" x14ac:dyDescent="0.35">
      <c r="A17" s="1"/>
      <c r="B17" t="s">
        <v>20</v>
      </c>
    </row>
    <row r="18" spans="1:2" x14ac:dyDescent="0.35">
      <c r="A18" s="1"/>
      <c r="B18" t="s">
        <v>21</v>
      </c>
    </row>
    <row r="19" spans="1:2" x14ac:dyDescent="0.35">
      <c r="A19" s="1"/>
      <c r="B19" t="s">
        <v>22</v>
      </c>
    </row>
    <row r="20" spans="1:2" x14ac:dyDescent="0.35">
      <c r="A20" s="1"/>
    </row>
    <row r="21" spans="1:2" x14ac:dyDescent="0.35">
      <c r="A21" s="1"/>
      <c r="B21" s="9" t="s">
        <v>23</v>
      </c>
    </row>
    <row r="22" spans="1:2" x14ac:dyDescent="0.35">
      <c r="A22" s="1"/>
      <c r="B22" s="2">
        <v>2024</v>
      </c>
    </row>
    <row r="23" spans="1:2" x14ac:dyDescent="0.35">
      <c r="A23" s="1"/>
      <c r="B23" t="s">
        <v>24</v>
      </c>
    </row>
    <row r="24" spans="1:2" x14ac:dyDescent="0.35">
      <c r="A24" s="1"/>
      <c r="B24" t="s">
        <v>15</v>
      </c>
    </row>
    <row r="25" spans="1:2" x14ac:dyDescent="0.35">
      <c r="A25" s="1"/>
      <c r="B25" t="s">
        <v>25</v>
      </c>
    </row>
    <row r="26" spans="1:2" x14ac:dyDescent="0.35">
      <c r="A26" s="1"/>
    </row>
    <row r="27" spans="1:2" x14ac:dyDescent="0.35">
      <c r="A27" s="1"/>
    </row>
    <row r="28" spans="1:2" x14ac:dyDescent="0.35">
      <c r="A28" s="1" t="s">
        <v>2</v>
      </c>
    </row>
    <row r="29" spans="1:2" x14ac:dyDescent="0.35">
      <c r="A29" t="s">
        <v>7</v>
      </c>
    </row>
    <row r="30" spans="1:2" x14ac:dyDescent="0.35">
      <c r="A30" t="s">
        <v>26</v>
      </c>
    </row>
    <row r="32" spans="1:2" x14ac:dyDescent="0.35">
      <c r="A32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6871-96FC-47A8-BE1A-65358738DEAC}">
  <dimension ref="L2:O33"/>
  <sheetViews>
    <sheetView workbookViewId="0">
      <selection activeCell="M30" sqref="M30"/>
    </sheetView>
  </sheetViews>
  <sheetFormatPr defaultRowHeight="14.5" x14ac:dyDescent="0.35"/>
  <sheetData>
    <row r="2" spans="12:14" x14ac:dyDescent="0.35">
      <c r="L2" t="s">
        <v>29</v>
      </c>
    </row>
    <row r="3" spans="12:14" x14ac:dyDescent="0.35">
      <c r="L3">
        <v>2022</v>
      </c>
      <c r="M3">
        <v>66</v>
      </c>
      <c r="N3" t="s">
        <v>8</v>
      </c>
    </row>
    <row r="4" spans="12:14" x14ac:dyDescent="0.35">
      <c r="L4">
        <v>2030</v>
      </c>
      <c r="M4" s="1">
        <v>466</v>
      </c>
      <c r="N4" t="s">
        <v>8</v>
      </c>
    </row>
    <row r="21" spans="12:15" x14ac:dyDescent="0.35">
      <c r="L21" t="s">
        <v>9</v>
      </c>
    </row>
    <row r="22" spans="12:15" x14ac:dyDescent="0.35">
      <c r="L22">
        <v>2022</v>
      </c>
      <c r="M22">
        <v>60</v>
      </c>
      <c r="N22" t="s">
        <v>8</v>
      </c>
    </row>
    <row r="23" spans="12:15" x14ac:dyDescent="0.35">
      <c r="L23">
        <v>2030</v>
      </c>
      <c r="M23">
        <v>773</v>
      </c>
      <c r="N23" t="s">
        <v>8</v>
      </c>
      <c r="O23" t="s">
        <v>10</v>
      </c>
    </row>
    <row r="25" spans="12:15" x14ac:dyDescent="0.35">
      <c r="L25" t="s">
        <v>11</v>
      </c>
    </row>
    <row r="26" spans="12:15" x14ac:dyDescent="0.35">
      <c r="L26">
        <v>2030</v>
      </c>
      <c r="M26" s="4">
        <f>0.1+0.1/0.75*0.25</f>
        <v>0.13333333333333333</v>
      </c>
    </row>
    <row r="27" spans="12:15" x14ac:dyDescent="0.35">
      <c r="L27" s="5" t="s">
        <v>12</v>
      </c>
    </row>
    <row r="29" spans="12:15" x14ac:dyDescent="0.35">
      <c r="L29" t="s">
        <v>30</v>
      </c>
    </row>
    <row r="30" spans="12:15" x14ac:dyDescent="0.35">
      <c r="L30">
        <v>2030</v>
      </c>
      <c r="M30" s="6">
        <f>M23*(1-M26)</f>
        <v>669.93333333333339</v>
      </c>
      <c r="N30" t="s">
        <v>8</v>
      </c>
    </row>
    <row r="32" spans="12:15" x14ac:dyDescent="0.35">
      <c r="L32" t="s">
        <v>34</v>
      </c>
    </row>
    <row r="33" spans="12:13" x14ac:dyDescent="0.35">
      <c r="L33">
        <v>2030</v>
      </c>
      <c r="M33" s="7">
        <f>M30/M4</f>
        <v>1.4376251788268957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B018-EAB2-4AB3-B95C-024DA6C229C7}">
  <dimension ref="J6:O32"/>
  <sheetViews>
    <sheetView workbookViewId="0">
      <selection activeCell="O24" sqref="O24"/>
    </sheetView>
  </sheetViews>
  <sheetFormatPr defaultRowHeight="14.5" x14ac:dyDescent="0.35"/>
  <sheetData>
    <row r="6" spans="14:15" x14ac:dyDescent="0.35">
      <c r="N6" t="s">
        <v>14</v>
      </c>
    </row>
    <row r="7" spans="14:15" x14ac:dyDescent="0.35">
      <c r="N7">
        <v>2023</v>
      </c>
      <c r="O7">
        <f>67+135</f>
        <v>202</v>
      </c>
    </row>
    <row r="8" spans="14:15" x14ac:dyDescent="0.35">
      <c r="N8">
        <v>2030</v>
      </c>
      <c r="O8">
        <f>975+137</f>
        <v>1112</v>
      </c>
    </row>
    <row r="27" spans="10:12" x14ac:dyDescent="0.35">
      <c r="J27" t="s">
        <v>13</v>
      </c>
    </row>
    <row r="28" spans="10:12" x14ac:dyDescent="0.35">
      <c r="J28">
        <v>2023</v>
      </c>
      <c r="K28">
        <v>87</v>
      </c>
      <c r="L28" t="s">
        <v>8</v>
      </c>
    </row>
    <row r="29" spans="10:12" x14ac:dyDescent="0.35">
      <c r="J29">
        <v>2030</v>
      </c>
      <c r="K29">
        <v>965</v>
      </c>
      <c r="L29" t="s">
        <v>8</v>
      </c>
    </row>
    <row r="31" spans="10:12" x14ac:dyDescent="0.35">
      <c r="J31" t="s">
        <v>27</v>
      </c>
    </row>
    <row r="32" spans="10:12" x14ac:dyDescent="0.35">
      <c r="J32">
        <v>2030</v>
      </c>
      <c r="K32" s="7">
        <f>O8/K29</f>
        <v>1.1523316062176165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29A9-70CB-4471-AE81-9A64EFDA202F}">
  <dimension ref="B21:B24"/>
  <sheetViews>
    <sheetView workbookViewId="0">
      <selection activeCell="B24" sqref="B24"/>
    </sheetView>
  </sheetViews>
  <sheetFormatPr defaultRowHeight="14.5" x14ac:dyDescent="0.35"/>
  <sheetData>
    <row r="21" spans="2:2" x14ac:dyDescent="0.35">
      <c r="B21" t="s">
        <v>15</v>
      </c>
    </row>
    <row r="23" spans="2:2" x14ac:dyDescent="0.35">
      <c r="B23" t="s">
        <v>28</v>
      </c>
    </row>
    <row r="24" spans="2:2" x14ac:dyDescent="0.35">
      <c r="B24" s="8">
        <v>0.62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F1CD-3AD5-4A1E-8AA0-C74AF29D4BF2}">
  <sheetPr>
    <tabColor theme="4" tint="-0.249977111117893"/>
  </sheetPr>
  <dimension ref="A1:AE2"/>
  <sheetViews>
    <sheetView tabSelected="1" workbookViewId="0">
      <selection activeCell="D31" sqref="D31"/>
    </sheetView>
  </sheetViews>
  <sheetFormatPr defaultRowHeight="14.5" x14ac:dyDescent="0.35"/>
  <cols>
    <col min="1" max="1" width="31.54296875" customWidth="1"/>
    <col min="6" max="6" width="10.36328125" bestFit="1" customWidth="1"/>
  </cols>
  <sheetData>
    <row r="1" spans="1:31" x14ac:dyDescent="0.35">
      <c r="A1" t="s">
        <v>1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s="3" customFormat="1" ht="29" x14ac:dyDescent="0.35">
      <c r="A2" s="3" t="s">
        <v>31</v>
      </c>
      <c r="B2" s="10">
        <f>'S&amp;P'!B24</f>
        <v>0.62</v>
      </c>
      <c r="C2" s="10">
        <f>B2</f>
        <v>0.62</v>
      </c>
      <c r="D2" s="10">
        <f>C2</f>
        <v>0.62</v>
      </c>
      <c r="E2" s="10">
        <f>D2</f>
        <v>0.62</v>
      </c>
      <c r="F2" s="11">
        <f t="shared" ref="F2" si="0">$E2+($K2-$E2)*(F1-$E1)/($K1-$E1)</f>
        <v>0.68333333333333335</v>
      </c>
      <c r="G2" s="11">
        <f>$E2+($K2-$E2)*(G1-$E1)/($K1-$E1)</f>
        <v>0.7466666666666667</v>
      </c>
      <c r="H2" s="11">
        <f t="shared" ref="H2:J2" si="1">$E2+($K2-$E2)*(H1-$E1)/($K1-$E1)</f>
        <v>0.81</v>
      </c>
      <c r="I2" s="11">
        <f t="shared" si="1"/>
        <v>0.87333333333333329</v>
      </c>
      <c r="J2" s="11">
        <f t="shared" si="1"/>
        <v>0.93666666666666665</v>
      </c>
      <c r="K2" s="12">
        <f>MIN(AVERAGE(Argonne!K32,SEIA!M33),1)</f>
        <v>1</v>
      </c>
      <c r="L2" s="13">
        <f>$K2+($M2-$K2)*(L1-$K1)/($M1-$K1)</f>
        <v>1</v>
      </c>
      <c r="M2" s="13">
        <v>1</v>
      </c>
      <c r="N2" s="13">
        <v>1</v>
      </c>
      <c r="O2" s="13">
        <v>1</v>
      </c>
      <c r="P2" s="13">
        <v>1</v>
      </c>
      <c r="Q2" s="13">
        <v>1</v>
      </c>
      <c r="R2" s="13">
        <v>1</v>
      </c>
      <c r="S2" s="13">
        <v>1</v>
      </c>
      <c r="T2" s="13">
        <v>1</v>
      </c>
      <c r="U2" s="13">
        <v>1</v>
      </c>
      <c r="V2" s="13">
        <v>1</v>
      </c>
      <c r="W2" s="13">
        <v>1</v>
      </c>
      <c r="X2" s="13">
        <v>1</v>
      </c>
      <c r="Y2" s="13">
        <v>1</v>
      </c>
      <c r="Z2" s="13">
        <v>1</v>
      </c>
      <c r="AA2" s="13">
        <v>1</v>
      </c>
      <c r="AB2" s="13">
        <v>1</v>
      </c>
      <c r="AC2" s="13">
        <v>1</v>
      </c>
      <c r="AD2" s="13">
        <v>1</v>
      </c>
      <c r="AE2" s="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SEIA</vt:lpstr>
      <vt:lpstr>Argonne</vt:lpstr>
      <vt:lpstr>S&amp;P</vt:lpstr>
      <vt:lpstr>FoVBPD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 O'Brien</cp:lastModifiedBy>
  <dcterms:created xsi:type="dcterms:W3CDTF">2023-05-03T18:24:38Z</dcterms:created>
  <dcterms:modified xsi:type="dcterms:W3CDTF">2025-02-14T18:55:50Z</dcterms:modified>
</cp:coreProperties>
</file>