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RMI_all_states\UT\webappdata\"/>
    </mc:Choice>
  </mc:AlternateContent>
  <xr:revisionPtr revIDLastSave="0" documentId="8_{F5256F89-4A13-4160-84D0-EC1546B50A5D}" xr6:coauthVersionLast="47" xr6:coauthVersionMax="47" xr10:uidLastSave="{00000000-0000-0000-0000-000000000000}"/>
  <bookViews>
    <workbookView xWindow="-120" yWindow="-120" windowWidth="29040" windowHeight="17520" firstSheet="3" activeTab="4"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N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AD5" i="23" l="1"/>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J32" i="27"/>
  <c r="K32" i="27" s="1"/>
  <c r="O32" i="27"/>
  <c r="P32" i="27" s="1"/>
  <c r="Z1" i="23"/>
  <c r="S1" i="23"/>
  <c r="AF1" i="23"/>
  <c r="X1" i="23"/>
  <c r="K1" i="23" l="1"/>
  <c r="D1" i="23"/>
  <c r="AA1" i="23"/>
  <c r="V1" i="23"/>
  <c r="L1" i="23"/>
  <c r="H1" i="23"/>
  <c r="Y1" i="23"/>
  <c r="C1" i="23"/>
  <c r="P1" i="23"/>
  <c r="U1" i="23"/>
  <c r="I1" i="23"/>
  <c r="T1" i="23"/>
  <c r="AB1" i="23"/>
  <c r="E1" i="23"/>
  <c r="AG1" i="23"/>
  <c r="AC1" i="23"/>
  <c r="Q1" i="23"/>
  <c r="R1" i="23"/>
  <c r="L7" i="29"/>
  <c r="W1" i="23"/>
  <c r="G1" i="23"/>
  <c r="N1" i="23"/>
  <c r="M1" i="23"/>
  <c r="O1" i="23"/>
  <c r="G21" i="27"/>
  <c r="G6"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AN3" i="28"/>
  <c r="K10" i="29" s="1"/>
  <c r="J3" i="28"/>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c r="J21" i="27"/>
  <c r="K6" i="29" l="1"/>
  <c r="L6" i="29" s="1"/>
  <c r="J37" i="19" s="1"/>
  <c r="P355" i="31" s="1"/>
  <c r="K16" i="29" a="1"/>
  <c r="K16" i="29" s="1"/>
  <c r="L16" i="29" s="1"/>
  <c r="J14" i="19" s="1"/>
  <c r="K2" i="29"/>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<sst xmlns="http://schemas.openxmlformats.org/spreadsheetml/2006/main" count="30815" uniqueCount="2737">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</sst>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2407</v>
      </c>
      <c r="C1" s="193">
        <v>45967</v>
      </c>
      <c r="G1" s="123" t="s">
        <v>2263</v>
      </c>
      <c r="H1" s="123" t="s">
        <v>2264</v>
      </c>
    </row>
    <row r="2" spans="1:8" x14ac:dyDescent="0.25">
      <c r="B2" t="str">
        <f>_xlfn.XLOOKUP(B1,H:H,G:G,0,0,1)</f>
        <v>UT</v>
      </c>
      <c r="C2" t="str">
        <f>_xlfn.XLOOKUP(B2,G:G, H:H, 0,0,1)</f>
        <v>Utah</v>
      </c>
      <c r="G2" t="s">
        <v>2080</v>
      </c>
      <c r="H2" t="s">
        <v>2280</v>
      </c>
    </row>
    <row r="3" spans="1:8" x14ac:dyDescent="0.25">
      <c r="A3" t="s">
        <v>103</v>
      </c>
      <c r="G3" t="s">
        <v>2081</v>
      </c>
      <c r="H3" t="s">
        <v>2281</v>
      </c>
    </row>
    <row r="4" spans="1:8" x14ac:dyDescent="0.25">
      <c r="A4" t="s">
        <v>136</v>
      </c>
      <c r="G4" t="s">
        <v>2082</v>
      </c>
      <c r="H4" t="s">
        <v>2282</v>
      </c>
    </row>
    <row r="5" spans="1:8" x14ac:dyDescent="0.25">
      <c r="A5" t="s">
        <v>107</v>
      </c>
      <c r="G5" t="s">
        <v>2083</v>
      </c>
      <c r="H5" t="s">
        <v>2283</v>
      </c>
    </row>
    <row r="6" spans="1:8" x14ac:dyDescent="0.25">
      <c r="A6" t="s">
        <v>104</v>
      </c>
      <c r="G6" t="s">
        <v>2084</v>
      </c>
      <c r="H6" t="s">
        <v>2284</v>
      </c>
    </row>
    <row r="7" spans="1:8" x14ac:dyDescent="0.25">
      <c r="G7" t="s">
        <v>474</v>
      </c>
      <c r="H7" t="s">
        <v>2290</v>
      </c>
    </row>
    <row r="8" spans="1:8" x14ac:dyDescent="0.25">
      <c r="A8" t="s">
        <v>105</v>
      </c>
      <c r="G8" t="s">
        <v>2085</v>
      </c>
      <c r="H8" t="s">
        <v>2296</v>
      </c>
    </row>
    <row r="9" spans="1:8" x14ac:dyDescent="0.25">
      <c r="A9" t="s">
        <v>106</v>
      </c>
      <c r="G9" t="s">
        <v>2086</v>
      </c>
      <c r="H9" t="s">
        <v>2086</v>
      </c>
    </row>
    <row r="10" spans="1:8" x14ac:dyDescent="0.25">
      <c r="A10" s="36" t="s">
        <v>1003</v>
      </c>
      <c r="G10" t="s">
        <v>2087</v>
      </c>
      <c r="H10" t="s">
        <v>2302</v>
      </c>
    </row>
    <row r="11" spans="1:8" x14ac:dyDescent="0.25">
      <c r="A11" s="36"/>
      <c r="G11" t="s">
        <v>2088</v>
      </c>
      <c r="H11" t="s">
        <v>2307</v>
      </c>
    </row>
    <row r="12" spans="1:8" x14ac:dyDescent="0.25">
      <c r="A12" t="s">
        <v>108</v>
      </c>
      <c r="G12" t="s">
        <v>2089</v>
      </c>
      <c r="H12" t="s">
        <v>2311</v>
      </c>
    </row>
    <row r="13" spans="1:8" x14ac:dyDescent="0.25">
      <c r="A13" t="s">
        <v>109</v>
      </c>
      <c r="G13" t="s">
        <v>2090</v>
      </c>
      <c r="H13" t="s">
        <v>2312</v>
      </c>
    </row>
    <row r="14" spans="1:8" x14ac:dyDescent="0.25">
      <c r="A14" t="s">
        <v>110</v>
      </c>
      <c r="G14" t="s">
        <v>2091</v>
      </c>
      <c r="H14" t="s">
        <v>2313</v>
      </c>
    </row>
    <row r="15" spans="1:8" x14ac:dyDescent="0.25">
      <c r="G15" t="s">
        <v>2092</v>
      </c>
      <c r="H15" t="s">
        <v>2314</v>
      </c>
    </row>
    <row r="16" spans="1:8" x14ac:dyDescent="0.25">
      <c r="A16" s="37" t="s">
        <v>1089</v>
      </c>
      <c r="B16" s="38"/>
      <c r="G16" t="s">
        <v>2093</v>
      </c>
      <c r="H16" t="s">
        <v>2315</v>
      </c>
    </row>
    <row r="17" spans="1:8" x14ac:dyDescent="0.25">
      <c r="A17" t="s">
        <v>1072</v>
      </c>
      <c r="B17" s="15">
        <f>MAX(PolicyLevers!H:H)</f>
        <v>2769</v>
      </c>
      <c r="G17" t="s">
        <v>2094</v>
      </c>
      <c r="H17" t="s">
        <v>2316</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2317</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2318</v>
      </c>
    </row>
    <row r="20" spans="1:8" x14ac:dyDescent="0.25">
      <c r="G20" t="s">
        <v>2097</v>
      </c>
      <c r="H20" t="s">
        <v>2321</v>
      </c>
    </row>
    <row r="21" spans="1:8" x14ac:dyDescent="0.25">
      <c r="A21" s="37" t="s">
        <v>1437</v>
      </c>
      <c r="B21" s="38"/>
      <c r="G21" t="s">
        <v>2098</v>
      </c>
      <c r="H21" t="s">
        <v>2326</v>
      </c>
    </row>
    <row r="22" spans="1:8" x14ac:dyDescent="0.25">
      <c r="A22" t="s">
        <v>1431</v>
      </c>
      <c r="G22" t="s">
        <v>2099</v>
      </c>
      <c r="H22" t="s">
        <v>2331</v>
      </c>
    </row>
    <row r="23" spans="1:8" x14ac:dyDescent="0.25">
      <c r="A23" t="s">
        <v>1432</v>
      </c>
      <c r="G23" t="s">
        <v>2100</v>
      </c>
      <c r="H23" t="s">
        <v>2337</v>
      </c>
    </row>
    <row r="24" spans="1:8" x14ac:dyDescent="0.25">
      <c r="A24" t="s">
        <v>1433</v>
      </c>
      <c r="G24" t="s">
        <v>2101</v>
      </c>
      <c r="H24" t="s">
        <v>2342</v>
      </c>
    </row>
    <row r="25" spans="1:8" x14ac:dyDescent="0.25">
      <c r="A25" t="s">
        <v>1434</v>
      </c>
      <c r="G25" t="s">
        <v>2102</v>
      </c>
      <c r="H25" t="s">
        <v>2348</v>
      </c>
    </row>
    <row r="26" spans="1:8" x14ac:dyDescent="0.25">
      <c r="G26" t="s">
        <v>2103</v>
      </c>
      <c r="H26" t="s">
        <v>2354</v>
      </c>
    </row>
    <row r="27" spans="1:8" x14ac:dyDescent="0.25">
      <c r="A27" s="37" t="s">
        <v>1435</v>
      </c>
      <c r="B27" s="38"/>
      <c r="C27" s="38"/>
      <c r="G27" t="s">
        <v>2104</v>
      </c>
      <c r="H27" t="s">
        <v>2355</v>
      </c>
    </row>
    <row r="28" spans="1:8" x14ac:dyDescent="0.25">
      <c r="A28" t="s">
        <v>1082</v>
      </c>
      <c r="G28" t="s">
        <v>2105</v>
      </c>
      <c r="H28" t="s">
        <v>2356</v>
      </c>
    </row>
    <row r="29" spans="1:8" x14ac:dyDescent="0.25">
      <c r="A29" t="s">
        <v>1068</v>
      </c>
      <c r="G29" t="s">
        <v>2106</v>
      </c>
      <c r="H29" t="s">
        <v>2358</v>
      </c>
    </row>
    <row r="30" spans="1:8" x14ac:dyDescent="0.25">
      <c r="A30" t="s">
        <v>1069</v>
      </c>
      <c r="G30" t="s">
        <v>2107</v>
      </c>
      <c r="H30" t="s">
        <v>2362</v>
      </c>
    </row>
    <row r="31" spans="1:8" x14ac:dyDescent="0.25">
      <c r="A31" t="s">
        <v>1070</v>
      </c>
      <c r="G31" t="s">
        <v>475</v>
      </c>
      <c r="H31" t="s">
        <v>2363</v>
      </c>
    </row>
    <row r="32" spans="1:8" x14ac:dyDescent="0.25">
      <c r="A32" t="s">
        <v>1071</v>
      </c>
      <c r="G32" t="s">
        <v>2108</v>
      </c>
      <c r="H32" t="s">
        <v>2364</v>
      </c>
    </row>
    <row r="33" spans="1:8" x14ac:dyDescent="0.25">
      <c r="G33" t="s">
        <v>2109</v>
      </c>
      <c r="H33" t="s">
        <v>2369</v>
      </c>
    </row>
    <row r="34" spans="1:8" x14ac:dyDescent="0.25">
      <c r="A34" t="s">
        <v>1083</v>
      </c>
      <c r="G34" t="s">
        <v>2110</v>
      </c>
      <c r="H34" t="s">
        <v>2375</v>
      </c>
    </row>
    <row r="35" spans="1:8" x14ac:dyDescent="0.25">
      <c r="A35" t="s">
        <v>1066</v>
      </c>
      <c r="G35" t="s">
        <v>2111</v>
      </c>
      <c r="H35" t="s">
        <v>2378</v>
      </c>
    </row>
    <row r="36" spans="1:8" x14ac:dyDescent="0.25">
      <c r="A36" t="s">
        <v>1067</v>
      </c>
      <c r="G36" t="s">
        <v>2112</v>
      </c>
      <c r="H36" t="s">
        <v>2382</v>
      </c>
    </row>
    <row r="37" spans="1:8" x14ac:dyDescent="0.25">
      <c r="G37" t="s">
        <v>2113</v>
      </c>
      <c r="H37" t="s">
        <v>2386</v>
      </c>
    </row>
    <row r="38" spans="1:8" x14ac:dyDescent="0.25">
      <c r="A38" t="s">
        <v>1084</v>
      </c>
      <c r="G38" t="s">
        <v>2114</v>
      </c>
      <c r="H38" t="s">
        <v>2387</v>
      </c>
    </row>
    <row r="39" spans="1:8" x14ac:dyDescent="0.25">
      <c r="A39" t="s">
        <v>1073</v>
      </c>
      <c r="G39" t="s">
        <v>2115</v>
      </c>
      <c r="H39" t="s">
        <v>2388</v>
      </c>
    </row>
    <row r="40" spans="1:8" x14ac:dyDescent="0.25">
      <c r="A40" t="s">
        <v>1074</v>
      </c>
      <c r="G40" t="s">
        <v>2116</v>
      </c>
      <c r="H40" t="s">
        <v>2393</v>
      </c>
    </row>
    <row r="41" spans="1:8" x14ac:dyDescent="0.25">
      <c r="G41" t="s">
        <v>2117</v>
      </c>
      <c r="H41" t="s">
        <v>2398</v>
      </c>
    </row>
    <row r="42" spans="1:8" x14ac:dyDescent="0.25">
      <c r="A42" t="s">
        <v>1085</v>
      </c>
      <c r="G42" t="s">
        <v>2118</v>
      </c>
      <c r="H42" t="s">
        <v>2403</v>
      </c>
    </row>
    <row r="43" spans="1:8" x14ac:dyDescent="0.25">
      <c r="A43" t="s">
        <v>1075</v>
      </c>
      <c r="G43" t="s">
        <v>2119</v>
      </c>
      <c r="H43" t="s">
        <v>2404</v>
      </c>
    </row>
    <row r="44" spans="1:8" x14ac:dyDescent="0.25">
      <c r="A44" t="s">
        <v>1076</v>
      </c>
      <c r="G44" t="s">
        <v>2120</v>
      </c>
      <c r="H44" t="s">
        <v>2405</v>
      </c>
    </row>
    <row r="45" spans="1:8" x14ac:dyDescent="0.25">
      <c r="G45" t="s">
        <v>2121</v>
      </c>
      <c r="H45" t="s">
        <v>2406</v>
      </c>
    </row>
    <row r="46" spans="1:8" x14ac:dyDescent="0.25">
      <c r="A46" s="37" t="s">
        <v>1436</v>
      </c>
      <c r="B46" s="38"/>
      <c r="G46" t="s">
        <v>2122</v>
      </c>
      <c r="H46" t="s">
        <v>2407</v>
      </c>
    </row>
    <row r="47" spans="1:8" x14ac:dyDescent="0.25">
      <c r="A47" t="s">
        <v>1077</v>
      </c>
      <c r="G47" t="s">
        <v>2123</v>
      </c>
      <c r="H47" t="s">
        <v>2408</v>
      </c>
    </row>
    <row r="48" spans="1:8" x14ac:dyDescent="0.25">
      <c r="A48" t="s">
        <v>1078</v>
      </c>
      <c r="G48" t="s">
        <v>2124</v>
      </c>
      <c r="H48" t="s">
        <v>2410</v>
      </c>
    </row>
    <row r="49" spans="1:8" x14ac:dyDescent="0.25">
      <c r="G49" t="s">
        <v>2125</v>
      </c>
      <c r="H49" t="s">
        <v>2414</v>
      </c>
    </row>
    <row r="50" spans="1:8" x14ac:dyDescent="0.25">
      <c r="A50" t="s">
        <v>1079</v>
      </c>
      <c r="G50" t="s">
        <v>2126</v>
      </c>
      <c r="H50" t="s">
        <v>2418</v>
      </c>
    </row>
    <row r="51" spans="1:8" x14ac:dyDescent="0.25">
      <c r="A51" t="s">
        <v>1086</v>
      </c>
      <c r="G51" t="s">
        <v>2127</v>
      </c>
      <c r="H51" t="s">
        <v>2419</v>
      </c>
    </row>
    <row r="52" spans="1:8" x14ac:dyDescent="0.25">
      <c r="A52" t="s">
        <v>1080</v>
      </c>
      <c r="G52" t="s">
        <v>2128</v>
      </c>
      <c r="H52" t="s">
        <v>2420</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2636</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2623</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2597</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2598</v>
      </c>
      <c r="K13" s="88" t="s">
        <v>192</v>
      </c>
      <c r="L13" s="78" t="s">
        <v>193</v>
      </c>
      <c r="M13" s="233" t="s">
        <v>1428</v>
      </c>
    </row>
    <row r="14" spans="1:14" ht="15.75" x14ac:dyDescent="0.25">
      <c r="A14" s="143" t="s">
        <v>4</v>
      </c>
      <c r="B14" s="143" t="s">
        <v>1601</v>
      </c>
      <c r="C14" s="234" t="s">
        <v>2585</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2619</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2645</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Utah, the share of electricity among fuels used for heating in urban, residential buildings will rise from 10% to 14% through 2050.//**Urban Residential Appliances:** In the BAU case, in Utah, the share of electricity among fuels used for appliances in urban, residential buildings will fall from 35% to 35% through 2050.//**Urban Residential Other Components:** In the United States, the share of electricity among fuels used by other components in urban, residential buildings is 100%.//**Rural Residential Heating:** In the BAU case, in Utah, the share of electricity among fuels used for heating in rural, residential buildings will rise from 10% to 13% through 2050.//**Rural Residential Appliances:** In the BAU case, in Utah, the share of electricity among fuels used for appliances in rural, residential buildings will fall from 35% to 35% through 2050.//**Rural Residential Other Components:** In the United States, the share of electricity among fuels used by other components in rural, residential buildings is 100%.//**Commercial Heating:** In the BAU case, in Utah, the share of electricity among fuels used for heating in commercial buildings will fall from 4% to 4% through 2050.//**Comercial Appliances:** In the BAU case, in Utah, the share of electricity among fuels used for appliances in commercial buildings will fall from 36% to 33% through 2050.//**Comercial Other Components:** In the BAU case, in Utah, the share of electricity among fuels used for other components in commercial buildings will rise from 63% to 73%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2592</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2624</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2593</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2646</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2594</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Utah.</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Utah.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Utah.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Utah, a 100% setting provides for an additional  1398 MW of demand response capacity in 2050 (on top of a BAU quantity of 669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Utah will retire 4500 MW of coal by 2050. Utah currently has 4581 MW of coal capacity.//**Natural gas non-peaker:** The EIA projects that UT will retire 200 MW of natural gas by 2050. UT currently has 1830 MW of natural gas non-peaker capacity.//**Nuclear:** The EIA projects that UT will retire 0 MW of nuclear by 2050. UT currently has 0 MW of nuclear capacity.//**Natural gas peaker:** The EIA projects that UT will retire 100 MW of natural gas by 2050. UT currently has 781 MW of natural gas peaker capacity.//**Lignite:** The EIA projects that UT will retire 0 MW of lignite by 2050. UT currently has 0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2637</v>
      </c>
    </row>
    <row r="40" spans="1:14" x14ac:dyDescent="0.25">
      <c r="A40" t="s">
        <v>8</v>
      </c>
      <c r="B40" t="s">
        <v>59</v>
      </c>
      <c r="C40" t="s">
        <v>129</v>
      </c>
      <c r="D40" t="s">
        <v>59</v>
      </c>
      <c r="E40" s="58"/>
      <c r="F40">
        <v>0</v>
      </c>
      <c r="G40">
        <v>1</v>
      </c>
      <c r="H40">
        <v>1</v>
      </c>
      <c r="I40" s="88" t="s">
        <v>29</v>
      </c>
      <c r="J40" s="224" t="s">
        <v>2625</v>
      </c>
    </row>
    <row r="41" spans="1:14" x14ac:dyDescent="0.25">
      <c r="A41" t="s">
        <v>8</v>
      </c>
      <c r="B41" t="s">
        <v>1857</v>
      </c>
      <c r="C41" t="s">
        <v>1858</v>
      </c>
      <c r="D41" t="s">
        <v>1857</v>
      </c>
      <c r="E41" s="58"/>
      <c r="F41">
        <v>0</v>
      </c>
      <c r="G41">
        <v>1</v>
      </c>
      <c r="H41">
        <v>1</v>
      </c>
      <c r="I41" s="88" t="s">
        <v>29</v>
      </c>
      <c r="J41" s="224" t="s">
        <v>2638</v>
      </c>
    </row>
    <row r="42" spans="1:14" s="243" customFormat="1" x14ac:dyDescent="0.25">
      <c r="A42" s="243" t="s">
        <v>8</v>
      </c>
      <c r="B42" s="243" t="s">
        <v>355</v>
      </c>
      <c r="C42" s="243" t="s">
        <v>356</v>
      </c>
      <c r="D42" s="243" t="s">
        <v>355</v>
      </c>
      <c r="E42" s="243" t="s">
        <v>529</v>
      </c>
      <c r="F42" s="244">
        <v>0</v>
      </c>
      <c r="G42" s="244">
        <v>1</v>
      </c>
      <c r="H42" s="244">
        <v>1</v>
      </c>
      <c r="I42" s="245" t="s">
        <v>29</v>
      </c>
      <c r="J42" s="231" t="s">
        <v>2546</v>
      </c>
      <c r="K42" s="245"/>
      <c r="L42" s="246" t="s">
        <v>2547</v>
      </c>
      <c r="M42" s="247"/>
      <c r="N42" s="245"/>
    </row>
    <row r="43" spans="1:14" x14ac:dyDescent="0.25">
      <c r="A43" s="143" t="s">
        <v>8</v>
      </c>
      <c r="B43" s="143" t="s">
        <v>2629</v>
      </c>
      <c r="C43" t="s">
        <v>253</v>
      </c>
      <c r="D43" s="143" t="s">
        <v>252</v>
      </c>
      <c r="E43" t="s">
        <v>528</v>
      </c>
      <c r="F43" s="222">
        <v>-0.3</v>
      </c>
      <c r="G43" s="222">
        <v>0.6</v>
      </c>
      <c r="H43" s="222">
        <v>0.01</v>
      </c>
      <c r="I43" s="78" t="s">
        <v>254</v>
      </c>
      <c r="J43" s="88" t="s">
        <v>2630</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2642</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2626</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2586</v>
      </c>
      <c r="C49" t="s">
        <v>2588</v>
      </c>
      <c r="D49" t="s">
        <v>1795</v>
      </c>
      <c r="E49" t="s">
        <v>2589</v>
      </c>
      <c r="F49" s="216">
        <v>-100</v>
      </c>
      <c r="G49">
        <v>100</v>
      </c>
      <c r="H49">
        <v>1</v>
      </c>
      <c r="I49" s="88" t="s">
        <v>1833</v>
      </c>
      <c r="J49" s="88" t="s">
        <v>2621</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2627</v>
      </c>
      <c r="K51" s="88"/>
      <c r="L51" s="78"/>
      <c r="M51" s="227"/>
    </row>
    <row r="52" spans="1:14" x14ac:dyDescent="0.25">
      <c r="A52" t="s">
        <v>8</v>
      </c>
      <c r="B52" t="s">
        <v>1803</v>
      </c>
      <c r="C52" t="s">
        <v>1804</v>
      </c>
      <c r="D52" t="s">
        <v>1803</v>
      </c>
      <c r="E52" t="s">
        <v>1805</v>
      </c>
      <c r="F52">
        <v>-100</v>
      </c>
      <c r="G52">
        <v>100</v>
      </c>
      <c r="H52">
        <v>1</v>
      </c>
      <c r="I52" s="143" t="s">
        <v>1806</v>
      </c>
      <c r="J52" s="88" t="s">
        <v>2599</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2628</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2622</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2595</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2582</v>
      </c>
      <c r="C72" s="112" t="s">
        <v>1941</v>
      </c>
      <c r="D72" s="112" t="s">
        <v>2583</v>
      </c>
      <c r="E72" s="112" t="s">
        <v>2584</v>
      </c>
      <c r="F72" s="250">
        <v>0</v>
      </c>
      <c r="G72" s="250">
        <v>1</v>
      </c>
      <c r="H72" s="250">
        <v>1</v>
      </c>
      <c r="I72" s="236" t="s">
        <v>29</v>
      </c>
      <c r="J72" s="236" t="s">
        <v>2620</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13.61%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95.73% of the state's production.//**Natural gas:** The model assumes that exports represent 0% of the state's production.//**Petroleum diesel:** The model assumes that exports represent 25.94% of the state's production.//**Petroleum gasoline:** The model assumes that exports represent 2.78% of the state's production.</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157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2633</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2647</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2648</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2639</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2640</v>
      </c>
      <c r="K91" s="88" t="s">
        <v>239</v>
      </c>
      <c r="L91" s="78" t="s">
        <v>240</v>
      </c>
    </row>
    <row r="92" spans="1:14" x14ac:dyDescent="0.25">
      <c r="A92" s="143" t="s">
        <v>10</v>
      </c>
      <c r="B92" t="s">
        <v>1519</v>
      </c>
      <c r="C92" t="s">
        <v>1562</v>
      </c>
      <c r="D92" s="58"/>
      <c r="E92" s="58"/>
      <c r="F92">
        <v>0</v>
      </c>
      <c r="G92">
        <v>1</v>
      </c>
      <c r="H92">
        <v>1</v>
      </c>
      <c r="I92" s="88" t="s">
        <v>29</v>
      </c>
      <c r="J92" t="s">
        <v>2641</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2635</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2587</v>
      </c>
      <c r="C114" t="s">
        <v>2590</v>
      </c>
      <c r="D114" s="58"/>
      <c r="E114" t="s">
        <v>2591</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2516</v>
      </c>
      <c r="K1" s="98" t="s">
        <v>2517</v>
      </c>
      <c r="L1" s="98" t="s">
        <v>2</v>
      </c>
      <c r="M1" s="98" t="s">
        <v>2518</v>
      </c>
      <c r="N1" s="98" t="s">
        <v>2519</v>
      </c>
      <c r="O1" s="98" t="s">
        <v>2520</v>
      </c>
      <c r="P1" s="98" t="s">
        <v>2521</v>
      </c>
      <c r="Q1" s="98" t="s">
        <v>2522</v>
      </c>
      <c r="R1" s="98" t="s">
        <v>2523</v>
      </c>
      <c r="S1" s="98" t="s">
        <v>2524</v>
      </c>
      <c r="T1" s="98" t="s">
        <v>2525</v>
      </c>
    </row>
    <row r="2" spans="1:20" x14ac:dyDescent="0.25">
      <c r="A2" t="s">
        <v>71</v>
      </c>
      <c r="B2" t="s">
        <v>15</v>
      </c>
      <c r="C2" t="s">
        <v>727</v>
      </c>
      <c r="D2" t="s">
        <v>15</v>
      </c>
      <c r="E2" t="s">
        <v>726</v>
      </c>
      <c r="F2" s="220">
        <v>0</v>
      </c>
      <c r="G2" s="220">
        <v>1</v>
      </c>
      <c r="H2" s="220">
        <v>0.01</v>
      </c>
      <c r="I2" s="88" t="s">
        <v>113</v>
      </c>
      <c r="J2" s="88" t="s">
        <v>2526</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Utah, the share of electricity among fuels used for heating in urban, residential buildings will rise from 10% to 14%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Utah, the share of electricity among fuels used for heating in urban, residential buildings will rise from 10% to 14% through 2050.//**Urban Residential Appliances:** In the BAU case, in Utah, the share of electricity among fuels used for appliances in urban, residential buildings will fall from 35% to 35% through 2050.//**Urban Residential Other Components:** In the United States, the share of electricity among fuels used by other components in urban, residential buildings is 100%.//**Rural Residential Heating:** In the BAU case, in Utah, the share of electricity among fuels used for heating in rural, residential buildings will rise from 10% to 13% through 2050.//**Rural Residential Appliances:** In the BAU case, in Utah, the share of electricity among fuels used for appliances in rural, residential buildings will fall from 35% to 35% through 2050.//**Rural Residential Other Components:** In the United States, the share of electricity among fuels used by other components in rural, residential buildings is 100%.//**Commercial Heating:** In the BAU case, in Utah, the share of electricity among fuels used for heating in commercial buildings will fall from 4% to 4% through 2050.//**Comercial Appliances:** In the BAU case, in Utah, the share of electricity among fuels used for appliances in commercial buildings will fall from 36% to 33% through 2050.//**Comercial Other Components:** In the BAU case, in Utah, the share of electricity among fuels used for other components in commercial buildings will rise from 63% to 73%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Utah, the share of electricity among fuels used for appliances in urban, residential buildings will fall from 35% to 35%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Utah, the share of electricity among fuels used for heating in rural, residential buildings will rise from 10% to 13%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Utah, the share of electricity among fuels used for appliances in rural, residential buildings will fall from 35% to 35%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Utah, the share of electricity among fuels used for heating in commercial buildings will fall from 4% to 4%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Utah, the share of electricity among fuels used for appliances in commercial buildings will fall from 36% to 33%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Utah, the share of electricity among fuels used for other components in commercial buildings will rise from 63% to 73% through 2050.</v>
      </c>
    </row>
    <row r="3" spans="1:20" x14ac:dyDescent="0.25">
      <c r="A3" t="s">
        <v>8</v>
      </c>
      <c r="B3" s="88" t="s">
        <v>1360</v>
      </c>
      <c r="C3" s="221" t="s">
        <v>2527</v>
      </c>
      <c r="D3" s="88" t="s">
        <v>1360</v>
      </c>
      <c r="E3" t="s">
        <v>526</v>
      </c>
      <c r="F3" s="220">
        <v>0</v>
      </c>
      <c r="G3" s="8">
        <v>1</v>
      </c>
      <c r="H3" s="8">
        <v>0.01</v>
      </c>
      <c r="I3" s="88" t="s">
        <v>34</v>
      </c>
      <c r="J3" s="114" t="s">
        <v>2528</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Utah.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Utah.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2529</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Utah.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Utah.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2530</v>
      </c>
      <c r="K5" t="str">
        <f>_xlfn.CONCAT("From 2008 to 2021, electricity imports grew by ",'Supporting Data'!F3,"%.")</f>
        <v>From 2008 to 2021, electricity imports grew by -100%.</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row>
    <row r="6" spans="1:20" x14ac:dyDescent="0.25">
      <c r="A6" t="s">
        <v>8</v>
      </c>
      <c r="B6" t="s">
        <v>17</v>
      </c>
      <c r="C6" t="s">
        <v>27</v>
      </c>
      <c r="D6" t="s">
        <v>17</v>
      </c>
      <c r="E6" t="s">
        <v>531</v>
      </c>
      <c r="F6" s="220">
        <v>0</v>
      </c>
      <c r="G6" s="8">
        <v>1</v>
      </c>
      <c r="H6" s="8">
        <v>0.01</v>
      </c>
      <c r="I6" s="88" t="s">
        <v>33</v>
      </c>
      <c r="J6" s="88" t="s">
        <v>2531</v>
      </c>
      <c r="K6" t="str">
        <f>_xlfn.CONCAT("For ", About!$C$2, ", a 100% setting provides for an additional  ",'Supporting Data'!J3," MW of demand response capacity in 2050 (on top of a BAU quantity of ", 'Supporting Data'!L3, " MW).")</f>
        <v>For Utah, a 100% setting provides for an additional  1398 MW of demand response capacity in 2050 (on top of a BAU quantity of 669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Utah, a 100% setting provides for an additional  1398 MW of demand response capacity in 2050 (on top of a BAU quantity of 669 MW).</v>
      </c>
    </row>
    <row r="7" spans="1:20" x14ac:dyDescent="0.25">
      <c r="A7" s="143" t="s">
        <v>8</v>
      </c>
      <c r="B7" t="s">
        <v>1026</v>
      </c>
      <c r="C7" t="s">
        <v>1028</v>
      </c>
      <c r="D7" t="s">
        <v>1026</v>
      </c>
      <c r="E7" t="s">
        <v>1029</v>
      </c>
      <c r="F7" s="222">
        <v>0</v>
      </c>
      <c r="G7" s="222">
        <v>0.95</v>
      </c>
      <c r="H7" s="222">
        <v>0.01</v>
      </c>
      <c r="I7" s="78" t="s">
        <v>1030</v>
      </c>
      <c r="J7" s="88" t="s">
        <v>2532</v>
      </c>
      <c r="K7" t="s">
        <v>2533</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Utah does not have a capacity construction subsidy. However, the Investment Tax Credit, a similar program for solar power, covers 30% of system costs through 2019, with declining amounts thereafter.//**Solar PV: **Utah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**Utah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Utah does not have a capacity construction subsidy. However, the Investment Tax Credit, a similar program for solar power, covers 30% of system costs through 2019, with declining amounts thereafter.</v>
      </c>
      <c r="N7" t="s">
        <v>2534</v>
      </c>
      <c r="O7" t="str">
        <f>_xlfn.CONCAT("//**Solar PV: **",About!$C$2," does not have a capacity construction subsidy. ")&amp;N7</f>
        <v>//**Solar PV: **Utah does not have a capacity construction subsidy. However, the Investment Tax Credit, a similar program for solar power, covers 30% of system costs through 2019, with declining amounts thereafter.</v>
      </c>
      <c r="P7" t="s">
        <v>2535</v>
      </c>
      <c r="Q7" t="str">
        <f>_xlfn.CONCAT("//**Offshore Wind: **",About!$C$2," does not have a capacity construction subsidy. ")&amp;N7</f>
        <v>//**Offshore Wind: **Utah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2632</v>
      </c>
      <c r="K8" t="str">
        <f>_xlfn.CONCAT(" If this policy is fully implemented, the afforestation/reforestation rate reaches ",'Supporting Data'!C3," thousand acres per year in 2050.")</f>
        <v xml:space="preserve"> If this policy is fully implemented, the afforestation/reforestation rate reaches 157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157 thousand acres per year in 2050.</v>
      </c>
    </row>
    <row r="9" spans="1:20" x14ac:dyDescent="0.25">
      <c r="A9" s="143" t="s">
        <v>8</v>
      </c>
      <c r="B9" s="143" t="s">
        <v>326</v>
      </c>
      <c r="C9" t="s">
        <v>327</v>
      </c>
      <c r="D9" s="143" t="s">
        <v>326</v>
      </c>
      <c r="E9" t="s">
        <v>535</v>
      </c>
      <c r="F9" s="143">
        <v>0</v>
      </c>
      <c r="G9" s="143">
        <v>1</v>
      </c>
      <c r="H9" s="143">
        <v>1</v>
      </c>
      <c r="I9" s="78" t="s">
        <v>29</v>
      </c>
      <c r="J9" s="88" t="s">
        <v>2536</v>
      </c>
      <c r="K9" t="str">
        <f>_xlfn.CONCAT(" No new coal is planned in ", 'Supporting Data'!A3, ".")</f>
        <v xml:space="preserve"> No new coal is planned in Utah.</v>
      </c>
      <c r="L9" s="143" t="str">
        <f>J9&amp;K9</f>
        <v>**Description:** This policy prevents new capacity of the selected type(s) from being built or deployed.  // **Guidance for setting values:** No new coal is planned in Utah.</v>
      </c>
      <c r="M9" s="102"/>
    </row>
    <row r="10" spans="1:20" ht="165" x14ac:dyDescent="0.25">
      <c r="A10" s="143" t="s">
        <v>4</v>
      </c>
      <c r="B10" s="143" t="s">
        <v>1609</v>
      </c>
      <c r="C10" t="s">
        <v>1611</v>
      </c>
      <c r="D10" s="143" t="s">
        <v>1613</v>
      </c>
      <c r="E10" t="s">
        <v>1614</v>
      </c>
      <c r="F10" s="223">
        <v>0</v>
      </c>
      <c r="G10" s="223">
        <v>50000</v>
      </c>
      <c r="H10" s="223">
        <v>100</v>
      </c>
      <c r="I10" s="223" t="s">
        <v>1616</v>
      </c>
      <c r="J10" s="224" t="s">
        <v>2643</v>
      </c>
      <c r="K10" s="219" t="str">
        <f>_xlfn.CONCAT(IF('Supporting Data'!$AN$3=0," This state has no additional state subsidies. ",_xlfn.CONCAT(" As of late 2020, there is an additional state subsidy of $",'Supporting Data'!$AN$3,".")))</f>
        <v xml:space="preserve"> This state has no additional state subsidies. </v>
      </c>
      <c r="L10" s="219"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2644</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25">
      <c r="A12" t="s">
        <v>8</v>
      </c>
      <c r="B12" t="s">
        <v>128</v>
      </c>
      <c r="C12" t="s">
        <v>127</v>
      </c>
      <c r="D12" t="s">
        <v>128</v>
      </c>
      <c r="E12" t="s">
        <v>530</v>
      </c>
      <c r="F12" s="34">
        <v>0</v>
      </c>
      <c r="G12" s="34">
        <v>25000</v>
      </c>
      <c r="H12" s="34">
        <v>500</v>
      </c>
      <c r="I12" s="88" t="s">
        <v>185</v>
      </c>
      <c r="J12" s="88" t="s">
        <v>2537</v>
      </c>
      <c r="K12" s="143" t="str">
        <f>_xlfn.CONCAT("**Hard coal:** The EIA projects that ", About!$C$2, " will retire ", 'Supporting Data'!M3, " MW of coal by 2050. ", About!$C$2, " currently has ",'Supporting Data'!T3, " MW of coal capacity." )</f>
        <v>**Hard coal:** The EIA projects that Utah will retire 4500 MW of coal by 2050. Utah currently has 4581 MW of coal capacity.</v>
      </c>
      <c r="L12" s="78" t="str">
        <f>J12&amp;K12&amp;M12&amp;N12&amp;O12&amp;P12</f>
        <v>**Description:** This policy causes the specified quantity of otherwise non-retiring capacity of the selected type(s) to be retired each year. // **Guidance for setting values:** // **Hard coal:** The EIA projects that Utah will retire 4500 MW of coal by 2050. Utah currently has 4581 MW of coal capacity.//**Natural gas non-peaker:** The EIA projects that UT will retire 200 MW of natural gas by 2050. UT currently has 1830 MW of natural gas non-peaker capacity.//**Nuclear:** The EIA projects that UT will retire 0 MW of nuclear by 2050. UT currently has 0 MW of nuclear capacity.//**Natural gas peaker:** The EIA projects that UT will retire 100 MW of natural gas by 2050. UT currently has 781 MW of natural gas peaker capacity.//**Lignite:** The EIA projects that UT will retire 0 MW of lignite by 2050. UT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UT will retire 200 MW of natural gas by 2050. UT currently has 1830 MW of natural gas non-peaker capacity.</v>
      </c>
      <c r="N12" t="str">
        <f>_xlfn.CONCAT("//**Nuclear:** The EIA projects that ", About!B2, " will retire ", 'Supporting Data'!$O$3, " MW of nuclear by 2050. ", About!B2, " currently has ",'Supporting Data'!$V$3, " MW of nuclear capacity." )</f>
        <v>//**Nuclear:** The EIA projects that UT will retire 0 MW of nuclear by 2050. UT currently has 0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UT will retire 100 MW of natural gas by 2050. UT currently has 781 MW of natural gas peaker capacity.</v>
      </c>
      <c r="P12" t="str">
        <f>_xlfn.CONCAT("//**Lignite:** The EIA projects that ", About!B2, " will retire ", 'Supporting Data'!$S$3, " MW of lignite by 2050. ", About!B2, " currently has ",'Supporting Data'!$AE$3, " MW of lignite capacity." )</f>
        <v>//**Lignite:** The EIA projects that UT will retire 0 MW of lignite by 2050. UT currently has 0 MW of lignite capacity.</v>
      </c>
    </row>
    <row r="13" spans="1:20" x14ac:dyDescent="0.25">
      <c r="A13" t="s">
        <v>9</v>
      </c>
      <c r="B13" t="s">
        <v>731</v>
      </c>
      <c r="C13" t="s">
        <v>732</v>
      </c>
      <c r="D13" t="s">
        <v>732</v>
      </c>
      <c r="E13" t="s">
        <v>733</v>
      </c>
      <c r="F13" s="220">
        <v>0</v>
      </c>
      <c r="G13" s="8">
        <v>1</v>
      </c>
      <c r="H13" s="8">
        <v>0.01</v>
      </c>
      <c r="I13" s="88" t="s">
        <v>734</v>
      </c>
      <c r="J13" s="88" t="s">
        <v>2596</v>
      </c>
      <c r="K13" t="str">
        <f>_xlfn.CONCAT(IF('Supporting Data'!$BB$3=0,"**Hard coal**: The model assumes the state has no hard coal production. ",_xlfn.CONCAT("**Hard coal:** The model assumes that exports represent ",'Supporting Data'!$BJ$3,"% of the state's production.")))</f>
        <v>**Hard coal:** The model assumes that exports represent 13.61% of the state's production.</v>
      </c>
      <c r="L13" s="143" t="str">
        <f>J13&amp;K13&amp;M13&amp;N13&amp;O13&amp;P13&amp;Q13&amp;R13&amp;S13</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13.61%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95.73% of the state's production.//**Natural gas:** The model assumes that exports represent 0% of the state's production.//**Petroleum diesel:** The model assumes that exports represent 25.94% of the state's production.//**Petroleum gasoline:** The model assumes that exports represent 2.78% of the state's production.</v>
      </c>
      <c r="M13" s="102"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t="str">
        <f>_xlfn.CONCAT(IF('Supporting Data'!$BC$3=0,"//**Heavy fuel oil:**: The model assumes the state has no heavy fuel oil production. ",_xlfn.CONCAT("//**Heavy fuel oil:** The model assumes that exports represent ",'Supporting Data'!$BK$3,"% of the state's production.")))</f>
        <v>//**Heavy fuel oil:** The model assumes that exports represent 0% of the state's production.</v>
      </c>
      <c r="O13" t="str">
        <f>_xlfn.CONCAT(IF('Supporting Data'!$BD$3=0,"//**Jet fuel or kerosene:** The model assumes the state has no jet fuel or kerosene production. ",_xlfn.CONCAT("//**Jet fuel or kerosene:** The model assumes that exports represent ",'Supporting Data'!$BL$3,"% of the state's production.")))</f>
        <v>//**Jet fuel or kerosene:** The model assumes that exports represent 0% of the state's production.</v>
      </c>
      <c r="P13" t="str">
        <f>_xlfn.CONCAT(IF('Supporting Data'!$BE$3=0,"//**LPG propane or butane:** The model assumes the state has no LPG propane or butane production. ",_xlfn.CONCAT("//**LPG propane or butane:** The model assumes that exports represent ",'Supporting Data'!$BM$3,"% of the state's production.")))</f>
        <v>//**LPG propane or butane:** The model assumes that exports represent 95.73% of the state's production.</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0% of the state's production.</v>
      </c>
      <c r="R13" t="str">
        <f>_xlfn.CONCAT(IF('Supporting Data'!$BH$3=0,"//**Petroleum diesel:** The model assumes the state has no petroleum diesel production. ",_xlfn.CONCAT("//**Petroleum diesel:** The model assumes that exports represent ",'Supporting Data'!BO3,"% of the state's production.")))</f>
        <v>//**Petroleum diesel:** The model assumes that exports represent 25.94% of the state's production.</v>
      </c>
      <c r="S13" t="str">
        <f>_xlfn.CONCAT(IF('Supporting Data'!$BB$3=0,"//**Petroleum gasoline:** The model assumes the state has no petroleum gasoline production. ",_xlfn.CONCAT("//**Petroleum gasoline:** The model assumes that exports represent ",'Supporting Data'!BP3,"% of the state's production.")))</f>
        <v>//**Petroleum gasoline:** The model assumes that exports represent 2.78% of the state's production.</v>
      </c>
    </row>
    <row r="14" spans="1:20" x14ac:dyDescent="0.25">
      <c r="A14" t="s">
        <v>71</v>
      </c>
      <c r="B14" t="s">
        <v>100</v>
      </c>
      <c r="C14" t="s">
        <v>297</v>
      </c>
      <c r="D14" t="s">
        <v>100</v>
      </c>
      <c r="E14" t="s">
        <v>542</v>
      </c>
      <c r="F14" s="220">
        <v>0</v>
      </c>
      <c r="G14" s="220">
        <v>0.75</v>
      </c>
      <c r="H14" s="220">
        <v>0.01</v>
      </c>
      <c r="I14" s="88" t="s">
        <v>30</v>
      </c>
      <c r="J14" s="88" t="s">
        <v>1419</v>
      </c>
      <c r="K14" s="88" t="s">
        <v>2538</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7" t="s">
        <v>2539</v>
      </c>
      <c r="N14" s="88"/>
    </row>
    <row r="15" spans="1:20" x14ac:dyDescent="0.25">
      <c r="K15" s="58" t="s">
        <v>2540</v>
      </c>
      <c r="M15" s="58" t="s">
        <v>2541</v>
      </c>
    </row>
    <row r="16" spans="1:20" x14ac:dyDescent="0.25">
      <c r="A16" s="143" t="s">
        <v>4</v>
      </c>
      <c r="B16" s="143" t="s">
        <v>1601</v>
      </c>
      <c r="C16" t="s">
        <v>2585</v>
      </c>
      <c r="D16" s="143" t="s">
        <v>1602</v>
      </c>
      <c r="E16" t="s">
        <v>1603</v>
      </c>
      <c r="F16" s="220">
        <v>0</v>
      </c>
      <c r="G16" s="220">
        <v>1</v>
      </c>
      <c r="H16" s="220">
        <v>0.01</v>
      </c>
      <c r="I16" s="88" t="s">
        <v>1834</v>
      </c>
      <c r="J16" s="88" t="s">
        <v>2631</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2542</v>
      </c>
      <c r="N16" t="s">
        <v>2543</v>
      </c>
    </row>
    <row r="17" spans="1:13" ht="73.7" customHeight="1" x14ac:dyDescent="0.25">
      <c r="A17" t="s">
        <v>8</v>
      </c>
      <c r="B17" s="88" t="s">
        <v>2544</v>
      </c>
      <c r="C17" t="s">
        <v>1889</v>
      </c>
      <c r="F17" s="143">
        <v>0</v>
      </c>
      <c r="G17" s="143">
        <v>1000</v>
      </c>
      <c r="H17" s="228">
        <v>20</v>
      </c>
      <c r="I17" s="143" t="s">
        <v>1835</v>
      </c>
      <c r="J17" s="88" t="s">
        <v>1887</v>
      </c>
      <c r="K17" t="s">
        <v>2545</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2435</v>
      </c>
      <c r="C1" s="263"/>
      <c r="D1" s="161"/>
      <c r="E1" s="162" t="s">
        <v>2436</v>
      </c>
      <c r="F1" s="163"/>
      <c r="H1" s="162" t="s">
        <v>2437</v>
      </c>
      <c r="J1" s="164" t="s">
        <v>2438</v>
      </c>
      <c r="K1" s="263" t="s">
        <v>2439</v>
      </c>
      <c r="L1" s="263"/>
      <c r="M1" s="263" t="s">
        <v>2440</v>
      </c>
      <c r="N1" s="263"/>
      <c r="O1" s="263"/>
      <c r="P1" s="263"/>
      <c r="Q1" s="263"/>
      <c r="R1" s="263"/>
      <c r="S1" s="263"/>
      <c r="T1" s="263" t="s">
        <v>2441</v>
      </c>
      <c r="U1" s="263"/>
      <c r="V1" s="263"/>
      <c r="W1" s="263"/>
      <c r="X1" s="263"/>
      <c r="Y1" s="263"/>
      <c r="Z1" s="263"/>
      <c r="AA1" s="263"/>
      <c r="AB1" s="263"/>
      <c r="AC1" s="263"/>
      <c r="AD1" s="263"/>
      <c r="AE1" s="263"/>
      <c r="AF1" s="263"/>
      <c r="AG1" s="263"/>
      <c r="AH1" s="263"/>
      <c r="AI1" s="264"/>
      <c r="AJ1" s="258" t="s">
        <v>2442</v>
      </c>
      <c r="AK1" s="258"/>
      <c r="AL1" s="258"/>
      <c r="AM1"/>
      <c r="AN1" s="262" t="s">
        <v>2443</v>
      </c>
      <c r="AO1" s="262"/>
      <c r="AQ1" t="s">
        <v>2444</v>
      </c>
      <c r="AS1" s="254" t="s">
        <v>2445</v>
      </c>
      <c r="AT1" s="255"/>
      <c r="AU1" s="255"/>
      <c r="AV1" s="255"/>
      <c r="AW1" s="255"/>
      <c r="AX1" s="255"/>
      <c r="AY1" s="255"/>
      <c r="AZ1" s="255"/>
      <c r="BA1" s="254" t="s">
        <v>2446</v>
      </c>
      <c r="BB1" s="255"/>
      <c r="BC1" s="255"/>
      <c r="BD1" s="255"/>
      <c r="BE1" s="255"/>
      <c r="BF1" s="255"/>
      <c r="BG1" s="255"/>
      <c r="BH1" s="255"/>
      <c r="BI1" s="256" t="s">
        <v>2447</v>
      </c>
      <c r="BJ1" s="257"/>
      <c r="BK1" s="257"/>
      <c r="BL1" s="257"/>
      <c r="BM1" s="257"/>
      <c r="BN1" s="257"/>
      <c r="BO1" s="257"/>
      <c r="BP1" s="257"/>
      <c r="BQ1" s="258" t="s">
        <v>2448</v>
      </c>
      <c r="BR1" s="258"/>
      <c r="BS1" s="258"/>
      <c r="BT1" s="258"/>
      <c r="BU1" s="258"/>
      <c r="BV1" s="258"/>
      <c r="BW1" s="258"/>
      <c r="BX1" s="258"/>
      <c r="BY1" s="258"/>
      <c r="BZ1" s="258"/>
      <c r="CA1" s="258"/>
      <c r="CB1" s="258"/>
      <c r="CC1" s="258"/>
      <c r="CD1" s="258"/>
      <c r="CE1" s="258"/>
      <c r="CF1" s="258"/>
      <c r="CG1" s="258"/>
      <c r="CH1" s="258"/>
      <c r="CI1" s="259" t="s">
        <v>2449</v>
      </c>
      <c r="CJ1" s="260"/>
      <c r="CK1" s="261"/>
      <c r="CL1" s="38" t="s">
        <v>2450</v>
      </c>
    </row>
    <row r="2" spans="1:91" s="146" customFormat="1" ht="59.1" customHeight="1" thickBot="1" x14ac:dyDescent="0.3">
      <c r="A2" s="65"/>
      <c r="B2" s="165" t="s">
        <v>2451</v>
      </c>
      <c r="C2" s="166" t="s">
        <v>2452</v>
      </c>
      <c r="D2" s="65" t="s">
        <v>2453</v>
      </c>
      <c r="E2" s="65" t="s">
        <v>2454</v>
      </c>
      <c r="F2" s="166" t="s">
        <v>2455</v>
      </c>
      <c r="G2" s="65" t="s">
        <v>2456</v>
      </c>
      <c r="H2" s="65" t="s">
        <v>2457</v>
      </c>
      <c r="I2" s="166" t="s">
        <v>2458</v>
      </c>
      <c r="J2" s="166" t="s">
        <v>2459</v>
      </c>
      <c r="K2" s="167" t="s">
        <v>2460</v>
      </c>
      <c r="L2" s="168" t="s">
        <v>2461</v>
      </c>
      <c r="M2" s="169" t="s">
        <v>2462</v>
      </c>
      <c r="N2" s="169" t="s">
        <v>2463</v>
      </c>
      <c r="O2" s="169" t="s">
        <v>2464</v>
      </c>
      <c r="P2" s="169" t="s">
        <v>2465</v>
      </c>
      <c r="Q2" s="169" t="s">
        <v>2466</v>
      </c>
      <c r="R2" s="169" t="s">
        <v>2467</v>
      </c>
      <c r="S2" s="170" t="s">
        <v>2468</v>
      </c>
      <c r="T2" s="171" t="s">
        <v>2469</v>
      </c>
      <c r="U2" s="171" t="s">
        <v>2470</v>
      </c>
      <c r="V2" s="171" t="s">
        <v>2471</v>
      </c>
      <c r="W2" s="171" t="s">
        <v>2472</v>
      </c>
      <c r="X2" s="171" t="s">
        <v>2473</v>
      </c>
      <c r="Y2" s="171" t="s">
        <v>2474</v>
      </c>
      <c r="Z2" s="171" t="s">
        <v>2475</v>
      </c>
      <c r="AA2" s="171" t="s">
        <v>2476</v>
      </c>
      <c r="AB2" s="171" t="s">
        <v>2477</v>
      </c>
      <c r="AC2" s="171" t="s">
        <v>2478</v>
      </c>
      <c r="AD2" s="171" t="s">
        <v>2479</v>
      </c>
      <c r="AE2" s="171" t="s">
        <v>2480</v>
      </c>
      <c r="AF2" s="171" t="s">
        <v>2481</v>
      </c>
      <c r="AG2" s="171" t="s">
        <v>2482</v>
      </c>
      <c r="AH2" s="171" t="s">
        <v>2483</v>
      </c>
      <c r="AI2" s="172" t="s">
        <v>2484</v>
      </c>
      <c r="AJ2" s="146">
        <v>2021</v>
      </c>
      <c r="AK2" s="146">
        <v>2030</v>
      </c>
      <c r="AL2" s="146">
        <v>2050</v>
      </c>
      <c r="AM2" s="173" t="s">
        <v>2485</v>
      </c>
      <c r="AN2" s="174" t="s">
        <v>2486</v>
      </c>
      <c r="AO2" s="166" t="s">
        <v>2487</v>
      </c>
      <c r="AP2" s="175" t="s">
        <v>2488</v>
      </c>
      <c r="AQ2" s="175" t="s">
        <v>2489</v>
      </c>
      <c r="AR2" s="173" t="s">
        <v>2490</v>
      </c>
      <c r="AS2" s="176" t="s">
        <v>708</v>
      </c>
      <c r="AT2" s="176" t="s">
        <v>447</v>
      </c>
      <c r="AU2" s="176" t="s">
        <v>2491</v>
      </c>
      <c r="AV2" s="176" t="s">
        <v>716</v>
      </c>
      <c r="AW2" s="176" t="s">
        <v>709</v>
      </c>
      <c r="AX2" s="176" t="s">
        <v>46</v>
      </c>
      <c r="AY2" s="176" t="s">
        <v>54</v>
      </c>
      <c r="AZ2" s="177" t="s">
        <v>53</v>
      </c>
      <c r="BA2" s="176" t="s">
        <v>708</v>
      </c>
      <c r="BB2" s="176" t="s">
        <v>447</v>
      </c>
      <c r="BC2" s="176" t="s">
        <v>2491</v>
      </c>
      <c r="BD2" s="176" t="s">
        <v>716</v>
      </c>
      <c r="BE2" s="176" t="s">
        <v>709</v>
      </c>
      <c r="BF2" s="176" t="s">
        <v>46</v>
      </c>
      <c r="BG2" s="176" t="s">
        <v>54</v>
      </c>
      <c r="BH2" s="177" t="s">
        <v>53</v>
      </c>
      <c r="BI2" s="176" t="s">
        <v>708</v>
      </c>
      <c r="BJ2" s="176" t="s">
        <v>447</v>
      </c>
      <c r="BK2" s="176" t="s">
        <v>2491</v>
      </c>
      <c r="BL2" s="176" t="s">
        <v>716</v>
      </c>
      <c r="BM2" s="176" t="s">
        <v>709</v>
      </c>
      <c r="BN2" s="176" t="s">
        <v>46</v>
      </c>
      <c r="BO2" s="176" t="s">
        <v>54</v>
      </c>
      <c r="BP2" s="177" t="s">
        <v>53</v>
      </c>
      <c r="BQ2" s="65" t="s">
        <v>2492</v>
      </c>
      <c r="BR2" s="65" t="s">
        <v>2493</v>
      </c>
      <c r="BS2" s="65" t="s">
        <v>2494</v>
      </c>
      <c r="BT2" s="65" t="s">
        <v>2495</v>
      </c>
      <c r="BU2" s="65" t="s">
        <v>2496</v>
      </c>
      <c r="BV2" s="65" t="s">
        <v>2497</v>
      </c>
      <c r="BW2" s="65" t="s">
        <v>2498</v>
      </c>
      <c r="BX2" s="65" t="s">
        <v>2499</v>
      </c>
      <c r="BY2" s="65" t="s">
        <v>2500</v>
      </c>
      <c r="BZ2" s="65" t="s">
        <v>2501</v>
      </c>
      <c r="CA2" s="65" t="s">
        <v>2502</v>
      </c>
      <c r="CB2" s="65" t="s">
        <v>2503</v>
      </c>
      <c r="CC2" s="65" t="s">
        <v>2504</v>
      </c>
      <c r="CD2" s="65" t="s">
        <v>2505</v>
      </c>
      <c r="CE2" s="65" t="s">
        <v>2506</v>
      </c>
      <c r="CF2" s="65" t="s">
        <v>2507</v>
      </c>
      <c r="CG2" s="65" t="s">
        <v>2508</v>
      </c>
      <c r="CH2" s="166" t="s">
        <v>2509</v>
      </c>
      <c r="CI2" s="178" t="s">
        <v>2510</v>
      </c>
      <c r="CJ2" s="179" t="s">
        <v>2511</v>
      </c>
      <c r="CK2" s="180" t="s">
        <v>2512</v>
      </c>
      <c r="CL2" s="146" t="s">
        <v>2513</v>
      </c>
      <c r="CM2" s="65" t="s">
        <v>2514</v>
      </c>
    </row>
    <row r="3" spans="1:91" s="58" customFormat="1" x14ac:dyDescent="0.25">
      <c r="A3" s="181" t="str">
        <f>About!$C$2</f>
        <v>Utah</v>
      </c>
      <c r="B3" s="182">
        <f>ROUND(SUMIFS(B$4:B$54, $A$4:$A$54, $A$3),0)</f>
        <v>156641</v>
      </c>
      <c r="C3" s="183">
        <f t="shared" ref="C3" si="0">ROUND(SUMIFS(C$4:C$54, $A$4:$A$54, $A$3),0)</f>
        <v>157</v>
      </c>
      <c r="D3" s="182">
        <f>SUMIFS(D$4:D$54, $A$4:$A$54, $A$3)</f>
        <v>12346</v>
      </c>
      <c r="E3" s="182">
        <f>SUMIFS(E$4:E$54, $A$4:$A$54, $A$3)</f>
        <v>0</v>
      </c>
      <c r="F3" s="134">
        <f>ROUND(SUMIFS(F$4:F$54,$A$4:$A$54,$A$3)*100,0)</f>
        <v>-100</v>
      </c>
      <c r="G3" s="58">
        <f>SUMIFS(G$4:G$54, $A$4:$A$54, $A$3)</f>
        <v>16219109</v>
      </c>
      <c r="H3" s="58">
        <f>SUMIFS(H$4:H$54, $A$4:$A$54, $A$3)</f>
        <v>7515602</v>
      </c>
      <c r="I3" s="134">
        <f>ROUND(SUMIFS(I$4:I$54,$A$4:$A$54,$A$3)*100,0)</f>
        <v>-54</v>
      </c>
      <c r="J3" s="134">
        <f>ROUND(SUMIFS(J$4:J$54, $A$4:$A$54, $A$3),0)</f>
        <v>1398</v>
      </c>
      <c r="K3" s="58">
        <f t="shared" ref="K3:AI3" si="1">ROUND(SUMIFS(K$4:K$54, $A$4:$A$54, $A$3),0)</f>
        <v>509</v>
      </c>
      <c r="L3" s="134">
        <f t="shared" si="1"/>
        <v>669</v>
      </c>
      <c r="M3" s="58">
        <f t="shared" si="1"/>
        <v>4500</v>
      </c>
      <c r="N3" s="58">
        <f t="shared" si="1"/>
        <v>200</v>
      </c>
      <c r="O3" s="58">
        <f t="shared" si="1"/>
        <v>0</v>
      </c>
      <c r="P3" s="58">
        <f t="shared" si="1"/>
        <v>0</v>
      </c>
      <c r="Q3" s="58">
        <f t="shared" si="1"/>
        <v>0</v>
      </c>
      <c r="R3" s="58">
        <f t="shared" si="1"/>
        <v>100</v>
      </c>
      <c r="S3" s="134">
        <f t="shared" si="1"/>
        <v>0</v>
      </c>
      <c r="T3" s="58">
        <f t="shared" si="1"/>
        <v>4581</v>
      </c>
      <c r="U3" s="58">
        <f t="shared" si="1"/>
        <v>1830</v>
      </c>
      <c r="V3" s="58">
        <f t="shared" si="1"/>
        <v>0</v>
      </c>
      <c r="W3" s="58">
        <f t="shared" si="1"/>
        <v>260</v>
      </c>
      <c r="X3" s="58">
        <f t="shared" si="1"/>
        <v>388</v>
      </c>
      <c r="Y3" s="58">
        <f t="shared" si="1"/>
        <v>917</v>
      </c>
      <c r="Z3" s="58">
        <f t="shared" si="1"/>
        <v>0</v>
      </c>
      <c r="AA3" s="58">
        <f t="shared" si="1"/>
        <v>11</v>
      </c>
      <c r="AB3" s="58">
        <f t="shared" si="1"/>
        <v>71</v>
      </c>
      <c r="AC3" s="58">
        <f t="shared" si="1"/>
        <v>28</v>
      </c>
      <c r="AD3" s="58">
        <f t="shared" si="1"/>
        <v>781</v>
      </c>
      <c r="AE3" s="58">
        <f t="shared" si="1"/>
        <v>0</v>
      </c>
      <c r="AF3" s="58">
        <f t="shared" si="1"/>
        <v>0</v>
      </c>
      <c r="AG3" s="58">
        <f t="shared" si="1"/>
        <v>0</v>
      </c>
      <c r="AH3" s="58">
        <f t="shared" si="1"/>
        <v>0</v>
      </c>
      <c r="AI3" s="134">
        <f t="shared" si="1"/>
        <v>0</v>
      </c>
      <c r="AJ3" s="58">
        <f>ROUND(SUMIFS(AJ$4:AJ$54,$A$4:$A$54,$A$3)*100,0)</f>
        <v>1</v>
      </c>
      <c r="AK3" s="58">
        <f t="shared" ref="AK3:AL3" si="2">ROUND(SUMIFS(AK$4:AK$54,$A$4:$A$54,$A$3)*100,0)</f>
        <v>1</v>
      </c>
      <c r="AL3" s="58">
        <f t="shared" si="2"/>
        <v>1</v>
      </c>
      <c r="AM3" s="58">
        <f>SUMIFS(AM$4:AM$54, $A$4:$A$54, $A$3)</f>
        <v>0</v>
      </c>
      <c r="AN3" s="58">
        <f t="shared" ref="AN3:AQ3" si="3">SUMIFS(AN$4:AN$54, $A$4:$A$54, $A$3)</f>
        <v>0</v>
      </c>
      <c r="AO3" s="134">
        <f t="shared" si="3"/>
        <v>0</v>
      </c>
      <c r="AP3" s="134">
        <f t="shared" si="3"/>
        <v>1758</v>
      </c>
      <c r="AQ3" s="134">
        <f t="shared" si="3"/>
        <v>3454232</v>
      </c>
      <c r="AR3" s="134">
        <f>ROUND(SUMIFS(AR$4:AR$54,$A$4:$A$54,$A$3),2)</f>
        <v>50.89</v>
      </c>
      <c r="AS3" s="58">
        <f>SUMIFS(AS$4:AS$54, $A$4:$A$54, $A$3)</f>
        <v>210978395000000</v>
      </c>
      <c r="AT3" s="58">
        <f t="shared" ref="AT3:BH3" si="4">SUMIFS(AT$4:AT$54, $A$4:$A$54, $A$3)</f>
        <v>40371853541247</v>
      </c>
      <c r="AU3" s="58">
        <f t="shared" si="4"/>
        <v>0</v>
      </c>
      <c r="AV3" s="58">
        <f t="shared" si="4"/>
        <v>0</v>
      </c>
      <c r="AW3" s="58">
        <f t="shared" si="4"/>
        <v>276109375446933</v>
      </c>
      <c r="AX3" s="58">
        <f t="shared" si="4"/>
        <v>0</v>
      </c>
      <c r="AY3" s="58">
        <f t="shared" si="4"/>
        <v>35474174392056.102</v>
      </c>
      <c r="AZ3" s="58">
        <f t="shared" si="4"/>
        <v>4847446684061.8701</v>
      </c>
      <c r="BA3" s="58">
        <f t="shared" si="4"/>
        <v>223575631909917</v>
      </c>
      <c r="BB3" s="58">
        <f t="shared" si="4"/>
        <v>296722508117405</v>
      </c>
      <c r="BC3" s="58">
        <f t="shared" si="4"/>
        <v>8621598547021.4199</v>
      </c>
      <c r="BD3" s="58">
        <f t="shared" si="4"/>
        <v>21019987417790</v>
      </c>
      <c r="BE3" s="58">
        <f t="shared" si="4"/>
        <v>288433954951165</v>
      </c>
      <c r="BF3" s="58">
        <f t="shared" si="4"/>
        <v>288157147241862</v>
      </c>
      <c r="BG3" s="58">
        <f t="shared" si="4"/>
        <v>136769979039998</v>
      </c>
      <c r="BH3" s="58">
        <f t="shared" si="4"/>
        <v>174448256971201</v>
      </c>
      <c r="BI3" s="58">
        <f>ROUND(SUMIFS(BI$4:BI$54,$A$4:$A$54,$A$3),2)</f>
        <v>94.37</v>
      </c>
      <c r="BJ3" s="58">
        <f t="shared" ref="BJ3:BP3" si="5">ROUND(SUMIFS(BJ$4:BJ$54,$A$4:$A$54,$A$3),2)</f>
        <v>13.61</v>
      </c>
      <c r="BK3" s="58">
        <f t="shared" si="5"/>
        <v>0</v>
      </c>
      <c r="BL3" s="58">
        <f t="shared" si="5"/>
        <v>0</v>
      </c>
      <c r="BM3" s="58">
        <f t="shared" si="5"/>
        <v>95.73</v>
      </c>
      <c r="BN3" s="58">
        <f t="shared" si="5"/>
        <v>0</v>
      </c>
      <c r="BO3" s="58">
        <f t="shared" si="5"/>
        <v>25.94</v>
      </c>
      <c r="BP3" s="134">
        <f t="shared" si="5"/>
        <v>2.78</v>
      </c>
      <c r="BQ3" s="134">
        <f t="shared" ref="BQ3:BR3" si="6">ROUND(SUMIFS(BQ$4:BQ$54,$A$4:$A$54,$A$3)*100,0)</f>
        <v>4</v>
      </c>
      <c r="BR3" s="134">
        <f t="shared" si="6"/>
        <v>4</v>
      </c>
      <c r="BS3" s="134">
        <f>ROUND(SUMIFS(BS$4:BS$54,$A$4:$A$54,$A$3)*100,0)</f>
        <v>36</v>
      </c>
      <c r="BT3" s="134">
        <f>ROUND(SUMIFS(BT$4:BT$54,$A$4:$A$54,$A$3)*100,0)</f>
        <v>33</v>
      </c>
      <c r="BU3" s="134">
        <f t="shared" ref="BU3:CH3" si="7">ROUND(SUMIFS(BU$4:BU$54,$A$4:$A$54,$A$3)*100,0)</f>
        <v>63</v>
      </c>
      <c r="BV3" s="134">
        <f t="shared" si="7"/>
        <v>73</v>
      </c>
      <c r="BW3" s="134">
        <f t="shared" si="7"/>
        <v>10</v>
      </c>
      <c r="BX3" s="134">
        <f t="shared" si="7"/>
        <v>14</v>
      </c>
      <c r="BY3" s="134">
        <f t="shared" si="7"/>
        <v>35</v>
      </c>
      <c r="BZ3" s="134">
        <f>ROUND(SUMIFS(BZ$4:BZ$54,$A$4:$A$54,$A$3)*100,0)</f>
        <v>35</v>
      </c>
      <c r="CA3" s="134">
        <f>ROUND(SUMIFS(CA$4:CA$54,$A$4:$A$54,$A$3)*100,0)</f>
        <v>100</v>
      </c>
      <c r="CB3" s="134">
        <f>ROUND(SUMIFS(CB$4:CB$54,$A$4:$A$54,$A$3)*100,0)</f>
        <v>100</v>
      </c>
      <c r="CC3" s="134">
        <f t="shared" si="7"/>
        <v>10</v>
      </c>
      <c r="CD3" s="134">
        <f t="shared" si="7"/>
        <v>13</v>
      </c>
      <c r="CE3" s="134">
        <f t="shared" si="7"/>
        <v>35</v>
      </c>
      <c r="CF3" s="134">
        <f t="shared" si="7"/>
        <v>35</v>
      </c>
      <c r="CG3" s="134">
        <f t="shared" si="7"/>
        <v>100</v>
      </c>
      <c r="CH3" s="134">
        <f t="shared" si="7"/>
        <v>100</v>
      </c>
      <c r="CI3" s="58">
        <f>SUMIFS(CI$4:CI$54, $A$4:$A$54, $A$3)</f>
        <v>0</v>
      </c>
      <c r="CJ3" s="58">
        <f t="shared" ref="CJ3:CK3" si="8">SUMIFS(CJ$4:CJ$54, $A$4:$A$54, $A$3)</f>
        <v>0</v>
      </c>
      <c r="CK3" s="58">
        <f t="shared" si="8"/>
        <v>0</v>
      </c>
      <c r="CL3" s="58" t="str">
        <f>_xlfn.XLOOKUP($A$3,A4:A54,CL4:CL54,0,0,1)</f>
        <v>FALSE</v>
      </c>
      <c r="CM3" s="58">
        <f>SUMIFS(CM$4:CM$54, $A$4:$A$54, $A$3)</f>
        <v>0</v>
      </c>
    </row>
    <row r="4" spans="1:91" x14ac:dyDescent="0.25">
      <c r="A4" t="s">
        <v>2280</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2281</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2282</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2283</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2284</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2290</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2296</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2515</v>
      </c>
    </row>
    <row r="12" spans="1:91" x14ac:dyDescent="0.25">
      <c r="A12" t="s">
        <v>2302</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2307</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2311</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2312</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2313</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2314</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2315</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2316</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2317</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2318</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2321</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2326</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2331</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2337</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2342</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2348</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2354</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2355</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2356</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2358</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2362</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2363</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2364</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2369</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2375</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2378</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2382</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2386</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2387</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2388</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2393</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2398</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2403</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2404</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2405</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2406</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2407</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2408</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2410</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2414</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2418</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2419</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2420</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abSelected="1" zoomScale="90" zoomScaleNormal="90" workbookViewId="0">
      <selection activeCell="U1519" sqref="U1519"/>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customWidth="1"/>
    <col min="11" max="17" width="10.85546875" customWidth="1"/>
    <col min="18" max="18" width="19.28515625" style="143"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2649</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2650</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2651</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2652</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2653</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2654</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2655</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2701</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2699</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2656</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2585</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2657</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2658</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2659</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2702</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Utah, the share of electricity among fuels used for heating in urban, residential buildings will rise from 10% to 14% through 2050.//**Urban Residential Appliances:** In the BAU case, in Utah, the share of electricity among fuels used for appliances in urban, residential buildings will fall from 35% to 35% through 2050.//**Urban Residential Other Components:** In the United States, the share of electricity among fuels used by other components in urban, residential buildings is 100%.//**Rural Residential Heating:** In the BAU case, in Utah, the share of electricity among fuels used for heating in rural, residential buildings will rise from 10% to 13% through 2050.//**Rural Residential Appliances:** In the BAU case, in Utah, the share of electricity among fuels used for appliances in rural, residential buildings will fall from 35% to 35% through 2050.//**Rural Residential Other Components:** In the United States, the share of electricity among fuels used by other components in rural, residential buildings is 100%.//**Commercial Heating:** In the BAU case, in Utah, the share of electricity among fuels used for heating in commercial buildings will fall from 4% to 4% through 2050.//**Comercial Appliances:** In the BAU case, in Utah, the share of electricity among fuels used for appliances in commercial buildings will fall from 36% to 33% through 2050.//**Comercial Other Components:** In the BAU case, in Utah, the share of electricity among fuels used for other components in commercial buildings will rise from 63% to 73%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2660</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Utah, the share of electricity among fuels used for heating in urban, residential buildings will rise from 10% to 14% through 2050.//**Urban Residential Appliances:** In the BAU case, in Utah, the share of electricity among fuels used for appliances in urban, residential buildings will fall from 35% to 35% through 2050.//**Urban Residential Other Components:** In the United States, the share of electricity among fuels used by other components in urban, residential buildings is 100%.//**Rural Residential Heating:** In the BAU case, in Utah, the share of electricity among fuels used for heating in rural, residential buildings will rise from 10% to 13% through 2050.//**Rural Residential Appliances:** In the BAU case, in Utah, the share of electricity among fuels used for appliances in rural, residential buildings will fall from 35% to 35% through 2050.//**Rural Residential Other Components:** In the United States, the share of electricity among fuels used by other components in rural, residential buildings is 100%.//**Commercial Heating:** In the BAU case, in Utah, the share of electricity among fuels used for heating in commercial buildings will fall from 4% to 4% through 2050.//**Comercial Appliances:** In the BAU case, in Utah, the share of electricity among fuels used for appliances in commercial buildings will fall from 36% to 33% through 2050.//**Comercial Other Components:** In the BAU case, in Utah, the share of electricity among fuels used for other components in commercial buildings will rise from 63% to 73%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Utah, the share of electricity among fuels used for heating in urban, residential buildings will rise from 10% to 14% through 2050.//**Urban Residential Appliances:** In the BAU case, in Utah, the share of electricity among fuels used for appliances in urban, residential buildings will fall from 35% to 35% through 2050.//**Urban Residential Other Components:** In the United States, the share of electricity among fuels used by other components in urban, residential buildings is 100%.//**Rural Residential Heating:** In the BAU case, in Utah, the share of electricity among fuels used for heating in rural, residential buildings will rise from 10% to 13% through 2050.//**Rural Residential Appliances:** In the BAU case, in Utah, the share of electricity among fuels used for appliances in rural, residential buildings will fall from 35% to 35% through 2050.//**Rural Residential Other Components:** In the United States, the share of electricity among fuels used by other components in rural, residential buildings is 100%.//**Commercial Heating:** In the BAU case, in Utah, the share of electricity among fuels used for heating in commercial buildings will fall from 4% to 4% through 2050.//**Comercial Appliances:** In the BAU case, in Utah, the share of electricity among fuels used for appliances in commercial buildings will fall from 36% to 33% through 2050.//**Comercial Other Components:** In the BAU case, in Utah, the share of electricity among fuels used for other components in commercial buildings will rise from 63% to 73%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Utah, the share of electricity among fuels used for heating in urban, residential buildings will rise from 10% to 14% through 2050.//**Urban Residential Appliances:** In the BAU case, in Utah, the share of electricity among fuels used for appliances in urban, residential buildings will fall from 35% to 35% through 2050.//**Urban Residential Other Components:** In the United States, the share of electricity among fuels used by other components in urban, residential buildings is 100%.//**Rural Residential Heating:** In the BAU case, in Utah, the share of electricity among fuels used for heating in rural, residential buildings will rise from 10% to 13% through 2050.//**Rural Residential Appliances:** In the BAU case, in Utah, the share of electricity among fuels used for appliances in rural, residential buildings will fall from 35% to 35% through 2050.//**Rural Residential Other Components:** In the United States, the share of electricity among fuels used by other components in rural, residential buildings is 100%.//**Commercial Heating:** In the BAU case, in Utah, the share of electricity among fuels used for heating in commercial buildings will fall from 4% to 4% through 2050.//**Comercial Appliances:** In the BAU case, in Utah, the share of electricity among fuels used for appliances in commercial buildings will fall from 36% to 33% through 2050.//**Comercial Other Components:** In the BAU case, in Utah, the share of electricity among fuels used for other components in commercial buildings will rise from 63% to 73%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Utah, the share of electricity among fuels used for heating in urban, residential buildings will rise from 10% to 14% through 2050.//**Urban Residential Appliances:** In the BAU case, in Utah, the share of electricity among fuels used for appliances in urban, residential buildings will fall from 35% to 35% through 2050.//**Urban Residential Other Components:** In the United States, the share of electricity among fuels used by other components in urban, residential buildings is 100%.//**Rural Residential Heating:** In the BAU case, in Utah, the share of electricity among fuels used for heating in rural, residential buildings will rise from 10% to 13% through 2050.//**Rural Residential Appliances:** In the BAU case, in Utah, the share of electricity among fuels used for appliances in rural, residential buildings will fall from 35% to 35% through 2050.//**Rural Residential Other Components:** In the United States, the share of electricity among fuels used by other components in rural, residential buildings is 100%.//**Commercial Heating:** In the BAU case, in Utah, the share of electricity among fuels used for heating in commercial buildings will fall from 4% to 4% through 2050.//**Comercial Appliances:** In the BAU case, in Utah, the share of electricity among fuels used for appliances in commercial buildings will fall from 36% to 33% through 2050.//**Comercial Other Components:** In the BAU case, in Utah, the share of electricity among fuels used for other components in commercial buildings will rise from 63% to 73%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Utah, the share of electricity among fuels used for heating in urban, residential buildings will rise from 10% to 14% through 2050.//**Urban Residential Appliances:** In the BAU case, in Utah, the share of electricity among fuels used for appliances in urban, residential buildings will fall from 35% to 35% through 2050.//**Urban Residential Other Components:** In the United States, the share of electricity among fuels used by other components in urban, residential buildings is 100%.//**Rural Residential Heating:** In the BAU case, in Utah, the share of electricity among fuels used for heating in rural, residential buildings will rise from 10% to 13% through 2050.//**Rural Residential Appliances:** In the BAU case, in Utah, the share of electricity among fuels used for appliances in rural, residential buildings will fall from 35% to 35% through 2050.//**Rural Residential Other Components:** In the United States, the share of electricity among fuels used by other components in rural, residential buildings is 100%.//**Commercial Heating:** In the BAU case, in Utah, the share of electricity among fuels used for heating in commercial buildings will fall from 4% to 4% through 2050.//**Comercial Appliances:** In the BAU case, in Utah, the share of electricity among fuels used for appliances in commercial buildings will fall from 36% to 33% through 2050.//**Comercial Other Components:** In the BAU case, in Utah, the share of electricity among fuels used for other components in commercial buildings will rise from 63% to 73%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Utah, the share of electricity among fuels used for heating in urban, residential buildings will rise from 10% to 14% through 2050.//**Urban Residential Appliances:** In the BAU case, in Utah, the share of electricity among fuels used for appliances in urban, residential buildings will fall from 35% to 35% through 2050.//**Urban Residential Other Components:** In the United States, the share of electricity among fuels used by other components in urban, residential buildings is 100%.//**Rural Residential Heating:** In the BAU case, in Utah, the share of electricity among fuels used for heating in rural, residential buildings will rise from 10% to 13% through 2050.//**Rural Residential Appliances:** In the BAU case, in Utah, the share of electricity among fuels used for appliances in rural, residential buildings will fall from 35% to 35% through 2050.//**Rural Residential Other Components:** In the United States, the share of electricity among fuels used by other components in rural, residential buildings is 100%.//**Commercial Heating:** In the BAU case, in Utah, the share of electricity among fuels used for heating in commercial buildings will fall from 4% to 4% through 2050.//**Comercial Appliances:** In the BAU case, in Utah, the share of electricity among fuels used for appliances in commercial buildings will fall from 36% to 33% through 2050.//**Comercial Other Components:** In the BAU case, in Utah, the share of electricity among fuels used for other components in commercial buildings will rise from 63% to 73%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Utah, the share of electricity among fuels used for heating in urban, residential buildings will rise from 10% to 14% through 2050.//**Urban Residential Appliances:** In the BAU case, in Utah, the share of electricity among fuels used for appliances in urban, residential buildings will fall from 35% to 35% through 2050.//**Urban Residential Other Components:** In the United States, the share of electricity among fuels used by other components in urban, residential buildings is 100%.//**Rural Residential Heating:** In the BAU case, in Utah, the share of electricity among fuels used for heating in rural, residential buildings will rise from 10% to 13% through 2050.//**Rural Residential Appliances:** In the BAU case, in Utah, the share of electricity among fuels used for appliances in rural, residential buildings will fall from 35% to 35% through 2050.//**Rural Residential Other Components:** In the United States, the share of electricity among fuels used by other components in rural, residential buildings is 100%.//**Commercial Heating:** In the BAU case, in Utah, the share of electricity among fuels used for heating in commercial buildings will fall from 4% to 4% through 2050.//**Comercial Appliances:** In the BAU case, in Utah, the share of electricity among fuels used for appliances in commercial buildings will fall from 36% to 33% through 2050.//**Comercial Other Components:** In the BAU case, in Utah, the share of electricity among fuels used for other components in commercial buildings will rise from 63% to 73%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Utah, the share of electricity among fuels used for heating in urban, residential buildings will rise from 10% to 14% through 2050.//**Urban Residential Appliances:** In the BAU case, in Utah, the share of electricity among fuels used for appliances in urban, residential buildings will fall from 35% to 35% through 2050.//**Urban Residential Other Components:** In the United States, the share of electricity among fuels used by other components in urban, residential buildings is 100%.//**Rural Residential Heating:** In the BAU case, in Utah, the share of electricity among fuels used for heating in rural, residential buildings will rise from 10% to 13% through 2050.//**Rural Residential Appliances:** In the BAU case, in Utah, the share of electricity among fuels used for appliances in rural, residential buildings will fall from 35% to 35% through 2050.//**Rural Residential Other Components:** In the United States, the share of electricity among fuels used by other components in rural, residential buildings is 100%.//**Commercial Heating:** In the BAU case, in Utah, the share of electricity among fuels used for heating in commercial buildings will fall from 4% to 4% through 2050.//**Comercial Appliances:** In the BAU case, in Utah, the share of electricity among fuels used for appliances in commercial buildings will fall from 36% to 33% through 2050.//**Comercial Other Components:** In the BAU case, in Utah, the share of electricity among fuels used for other components in commercial buildings will rise from 63% to 73%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Utah, the share of electricity among fuels used for heating in urban, residential buildings will rise from 10% to 14% through 2050.//**Urban Residential Appliances:** In the BAU case, in Utah, the share of electricity among fuels used for appliances in urban, residential buildings will fall from 35% to 35% through 2050.//**Urban Residential Other Components:** In the United States, the share of electricity among fuels used by other components in urban, residential buildings is 100%.//**Rural Residential Heating:** In the BAU case, in Utah, the share of electricity among fuels used for heating in rural, residential buildings will rise from 10% to 13% through 2050.//**Rural Residential Appliances:** In the BAU case, in Utah, the share of electricity among fuels used for appliances in rural, residential buildings will fall from 35% to 35% through 2050.//**Rural Residential Other Components:** In the United States, the share of electricity among fuels used by other components in rural, residential buildings is 100%.//**Commercial Heating:** In the BAU case, in Utah, the share of electricity among fuels used for heating in commercial buildings will fall from 4% to 4% through 2050.//**Comercial Appliances:** In the BAU case, in Utah, the share of electricity among fuels used for appliances in commercial buildings will fall from 36% to 33% through 2050.//**Comercial Other Components:** In the BAU case, in Utah, the share of electricity among fuels used for other components in commercial buildings will rise from 63% to 73%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Utah, the share of electricity among fuels used for heating in urban, residential buildings will rise from 10% to 14% through 2050.//**Urban Residential Appliances:** In the BAU case, in Utah, the share of electricity among fuels used for appliances in urban, residential buildings will fall from 35% to 35% through 2050.//**Urban Residential Other Components:** In the United States, the share of electricity among fuels used by other components in urban, residential buildings is 100%.//**Rural Residential Heating:** In the BAU case, in Utah, the share of electricity among fuels used for heating in rural, residential buildings will rise from 10% to 13% through 2050.//**Rural Residential Appliances:** In the BAU case, in Utah, the share of electricity among fuels used for appliances in rural, residential buildings will fall from 35% to 35% through 2050.//**Rural Residential Other Components:** In the United States, the share of electricity among fuels used by other components in rural, residential buildings is 100%.//**Commercial Heating:** In the BAU case, in Utah, the share of electricity among fuels used for heating in commercial buildings will fall from 4% to 4% through 2050.//**Comercial Appliances:** In the BAU case, in Utah, the share of electricity among fuels used for appliances in commercial buildings will fall from 36% to 33% through 2050.//**Comercial Other Components:** In the BAU case, in Utah, the share of electricity among fuels used for other components in commercial buildings will rise from 63% to 73%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Utah, the share of electricity among fuels used for heating in urban, residential buildings will rise from 10% to 14% through 2050.//**Urban Residential Appliances:** In the BAU case, in Utah, the share of electricity among fuels used for appliances in urban, residential buildings will fall from 35% to 35% through 2050.//**Urban Residential Other Components:** In the United States, the share of electricity among fuels used by other components in urban, residential buildings is 100%.//**Rural Residential Heating:** In the BAU case, in Utah, the share of electricity among fuels used for heating in rural, residential buildings will rise from 10% to 13% through 2050.//**Rural Residential Appliances:** In the BAU case, in Utah, the share of electricity among fuels used for appliances in rural, residential buildings will fall from 35% to 35% through 2050.//**Rural Residential Other Components:** In the United States, the share of electricity among fuels used by other components in rural, residential buildings is 100%.//**Commercial Heating:** In the BAU case, in Utah, the share of electricity among fuels used for heating in commercial buildings will fall from 4% to 4% through 2050.//**Comercial Appliances:** In the BAU case, in Utah, the share of electricity among fuels used for appliances in commercial buildings will fall from 36% to 33% through 2050.//**Comercial Other Components:** In the BAU case, in Utah, the share of electricity among fuels used for other components in commercial buildings will rise from 63% to 73%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Utah, the share of electricity among fuels used for heating in urban, residential buildings will rise from 10% to 14% through 2050.//**Urban Residential Appliances:** In the BAU case, in Utah, the share of electricity among fuels used for appliances in urban, residential buildings will fall from 35% to 35% through 2050.//**Urban Residential Other Components:** In the United States, the share of electricity among fuels used by other components in urban, residential buildings is 100%.//**Rural Residential Heating:** In the BAU case, in Utah, the share of electricity among fuels used for heating in rural, residential buildings will rise from 10% to 13% through 2050.//**Rural Residential Appliances:** In the BAU case, in Utah, the share of electricity among fuels used for appliances in rural, residential buildings will fall from 35% to 35% through 2050.//**Rural Residential Other Components:** In the United States, the share of electricity among fuels used by other components in rural, residential buildings is 100%.//**Commercial Heating:** In the BAU case, in Utah, the share of electricity among fuels used for heating in commercial buildings will fall from 4% to 4% through 2050.//**Comercial Appliances:** In the BAU case, in Utah, the share of electricity among fuels used for appliances in commercial buildings will fall from 36% to 33% through 2050.//**Comercial Other Components:** In the BAU case, in Utah, the share of electricity among fuels used for other components in commercial buildings will rise from 63% to 73%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Utah, the share of electricity among fuels used for heating in urban, residential buildings will rise from 10% to 14% through 2050.//**Urban Residential Appliances:** In the BAU case, in Utah, the share of electricity among fuels used for appliances in urban, residential buildings will fall from 35% to 35% through 2050.//**Urban Residential Other Components:** In the United States, the share of electricity among fuels used by other components in urban, residential buildings is 100%.//**Rural Residential Heating:** In the BAU case, in Utah, the share of electricity among fuels used for heating in rural, residential buildings will rise from 10% to 13% through 2050.//**Rural Residential Appliances:** In the BAU case, in Utah, the share of electricity among fuels used for appliances in rural, residential buildings will fall from 35% to 35% through 2050.//**Rural Residential Other Components:** In the United States, the share of electricity among fuels used by other components in rural, residential buildings is 100%.//**Commercial Heating:** In the BAU case, in Utah, the share of electricity among fuels used for heating in commercial buildings will fall from 4% to 4% through 2050.//**Comercial Appliances:** In the BAU case, in Utah, the share of electricity among fuels used for appliances in commercial buildings will fall from 36% to 33% through 2050.//**Comercial Other Components:** In the BAU case, in Utah, the share of electricity among fuels used for other components in commercial buildings will rise from 63% to 73%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Utah, the share of electricity among fuels used for heating in urban, residential buildings will rise from 10% to 14% through 2050.//**Urban Residential Appliances:** In the BAU case, in Utah, the share of electricity among fuels used for appliances in urban, residential buildings will fall from 35% to 35% through 2050.//**Urban Residential Other Components:** In the United States, the share of electricity among fuels used by other components in urban, residential buildings is 100%.//**Rural Residential Heating:** In the BAU case, in Utah, the share of electricity among fuels used for heating in rural, residential buildings will rise from 10% to 13% through 2050.//**Rural Residential Appliances:** In the BAU case, in Utah, the share of electricity among fuels used for appliances in rural, residential buildings will fall from 35% to 35% through 2050.//**Rural Residential Other Components:** In the United States, the share of electricity among fuels used by other components in rural, residential buildings is 100%.//**Commercial Heating:** In the BAU case, in Utah, the share of electricity among fuels used for heating in commercial buildings will fall from 4% to 4% through 2050.//**Comercial Appliances:** In the BAU case, in Utah, the share of electricity among fuels used for appliances in commercial buildings will fall from 36% to 33% through 2050.//**Comercial Other Components:** In the BAU case, in Utah, the share of electricity among fuels used for other components in commercial buildings will rise from 63% to 73%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2661</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2662</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2663</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2664</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2703</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2704</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2665</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2666</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2667</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Utah.</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2668</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Utah.</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Utah.</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Utah.</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Utah.</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Utah.</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Utah.</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Utah.</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Utah.</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Utah.</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Utah.</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Utah.</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Utah.</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Utah.</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Utah.</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Utah.</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Utah.</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Utah.</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Utah.</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Utah.</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Utah.</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Utah.</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Utah.</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Utah.</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2705</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2700</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Utah.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2706</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2694</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Utah.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2670</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2671</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-100%.</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2707</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Utah, a 100% setting provides for an additional  1398 MW of demand response capacity in 2050 (on top of a BAU quantity of 669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2672</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Utah will retire 4500 MW of coal by 2050. Utah currently has 4581 MW of coal capacity.//**Natural gas non-peaker:** The EIA projects that UT will retire 200 MW of natural gas by 2050. UT currently has 1830 MW of natural gas non-peaker capacity.//**Nuclear:** The EIA projects that UT will retire 0 MW of nuclear by 2050. UT currently has 0 MW of nuclear capacity.//**Natural gas peaker:** The EIA projects that UT will retire 100 MW of natural gas by 2050. UT currently has 781 MW of natural gas peaker capacity.//**Lignite:** The EIA projects that UT will retire 0 MW of lignite by 2050. UT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2673</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Utah will retire 4500 MW of coal by 2050. Utah currently has 4581 MW of coal capacity.//**Natural gas non-peaker:** The EIA projects that UT will retire 200 MW of natural gas by 2050. UT currently has 1830 MW of natural gas non-peaker capacity.//**Nuclear:** The EIA projects that UT will retire 0 MW of nuclear by 2050. UT currently has 0 MW of nuclear capacity.//**Natural gas peaker:** The EIA projects that UT will retire 100 MW of natural gas by 2050. UT currently has 781 MW of natural gas peaker capacity.//**Lignite:** The EIA projects that UT will retire 0 MW of lignite by 2050. UT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Utah will retire 4500 MW of coal by 2050. Utah currently has 4581 MW of coal capacity.//**Natural gas non-peaker:** The EIA projects that UT will retire 200 MW of natural gas by 2050. UT currently has 1830 MW of natural gas non-peaker capacity.//**Nuclear:** The EIA projects that UT will retire 0 MW of nuclear by 2050. UT currently has 0 MW of nuclear capacity.//**Natural gas peaker:** The EIA projects that UT will retire 100 MW of natural gas by 2050. UT currently has 781 MW of natural gas peaker capacity.//**Lignite:** The EIA projects that UT will retire 0 MW of lignite by 2050. UT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Utah will retire 4500 MW of coal by 2050. Utah currently has 4581 MW of coal capacity.//**Natural gas non-peaker:** The EIA projects that UT will retire 200 MW of natural gas by 2050. UT currently has 1830 MW of natural gas non-peaker capacity.//**Nuclear:** The EIA projects that UT will retire 0 MW of nuclear by 2050. UT currently has 0 MW of nuclear capacity.//**Natural gas peaker:** The EIA projects that UT will retire 100 MW of natural gas by 2050. UT currently has 781 MW of natural gas peaker capacity.//**Lignite:** The EIA projects that UT will retire 0 MW of lignite by 2050. UT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Utah will retire 4500 MW of coal by 2050. Utah currently has 4581 MW of coal capacity.//**Natural gas non-peaker:** The EIA projects that UT will retire 200 MW of natural gas by 2050. UT currently has 1830 MW of natural gas non-peaker capacity.//**Nuclear:** The EIA projects that UT will retire 0 MW of nuclear by 2050. UT currently has 0 MW of nuclear capacity.//**Natural gas peaker:** The EIA projects that UT will retire 100 MW of natural gas by 2050. UT currently has 781 MW of natural gas peaker capacity.//**Lignite:** The EIA projects that UT will retire 0 MW of lignite by 2050. UT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Utah will retire 4500 MW of coal by 2050. Utah currently has 4581 MW of coal capacity.//**Natural gas non-peaker:** The EIA projects that UT will retire 200 MW of natural gas by 2050. UT currently has 1830 MW of natural gas non-peaker capacity.//**Nuclear:** The EIA projects that UT will retire 0 MW of nuclear by 2050. UT currently has 0 MW of nuclear capacity.//**Natural gas peaker:** The EIA projects that UT will retire 100 MW of natural gas by 2050. UT currently has 781 MW of natural gas peaker capacity.//**Lignite:** The EIA projects that UT will retire 0 MW of lignite by 2050. UT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Utah will retire 4500 MW of coal by 2050. Utah currently has 4581 MW of coal capacity.//**Natural gas non-peaker:** The EIA projects that UT will retire 200 MW of natural gas by 2050. UT currently has 1830 MW of natural gas non-peaker capacity.//**Nuclear:** The EIA projects that UT will retire 0 MW of nuclear by 2050. UT currently has 0 MW of nuclear capacity.//**Natural gas peaker:** The EIA projects that UT will retire 100 MW of natural gas by 2050. UT currently has 781 MW of natural gas peaker capacity.//**Lignite:** The EIA projects that UT will retire 0 MW of lignite by 2050. UT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Utah will retire 4500 MW of coal by 2050. Utah currently has 4581 MW of coal capacity.//**Natural gas non-peaker:** The EIA projects that UT will retire 200 MW of natural gas by 2050. UT currently has 1830 MW of natural gas non-peaker capacity.//**Nuclear:** The EIA projects that UT will retire 0 MW of nuclear by 2050. UT currently has 0 MW of nuclear capacity.//**Natural gas peaker:** The EIA projects that UT will retire 100 MW of natural gas by 2050. UT currently has 781 MW of natural gas peaker capacity.//**Lignite:** The EIA projects that UT will retire 0 MW of lignite by 2050. UT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Utah will retire 4500 MW of coal by 2050. Utah currently has 4581 MW of coal capacity.//**Natural gas non-peaker:** The EIA projects that UT will retire 200 MW of natural gas by 2050. UT currently has 1830 MW of natural gas non-peaker capacity.//**Nuclear:** The EIA projects that UT will retire 0 MW of nuclear by 2050. UT currently has 0 MW of nuclear capacity.//**Natural gas peaker:** The EIA projects that UT will retire 100 MW of natural gas by 2050. UT currently has 781 MW of natural gas peaker capacity.//**Lignite:** The EIA projects that UT will retire 0 MW of lignite by 2050. UT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Utah will retire 4500 MW of coal by 2050. Utah currently has 4581 MW of coal capacity.//**Natural gas non-peaker:** The EIA projects that UT will retire 200 MW of natural gas by 2050. UT currently has 1830 MW of natural gas non-peaker capacity.//**Nuclear:** The EIA projects that UT will retire 0 MW of nuclear by 2050. UT currently has 0 MW of nuclear capacity.//**Natural gas peaker:** The EIA projects that UT will retire 100 MW of natural gas by 2050. UT currently has 781 MW of natural gas peaker capacity.//**Lignite:** The EIA projects that UT will retire 0 MW of lignite by 2050. UT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Utah will retire 4500 MW of coal by 2050. Utah currently has 4581 MW of coal capacity.//**Natural gas non-peaker:** The EIA projects that UT will retire 200 MW of natural gas by 2050. UT currently has 1830 MW of natural gas non-peaker capacity.//**Nuclear:** The EIA projects that UT will retire 0 MW of nuclear by 2050. UT currently has 0 MW of nuclear capacity.//**Natural gas peaker:** The EIA projects that UT will retire 100 MW of natural gas by 2050. UT currently has 781 MW of natural gas peaker capacity.//**Lignite:** The EIA projects that UT will retire 0 MW of lignite by 2050. UT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Utah will retire 4500 MW of coal by 2050. Utah currently has 4581 MW of coal capacity.//**Natural gas non-peaker:** The EIA projects that UT will retire 200 MW of natural gas by 2050. UT currently has 1830 MW of natural gas non-peaker capacity.//**Nuclear:** The EIA projects that UT will retire 0 MW of nuclear by 2050. UT currently has 0 MW of nuclear capacity.//**Natural gas peaker:** The EIA projects that UT will retire 100 MW of natural gas by 2050. UT currently has 781 MW of natural gas peaker capacity.//**Lignite:** The EIA projects that UT will retire 0 MW of lignite by 2050. UT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Utah will retire 4500 MW of coal by 2050. Utah currently has 4581 MW of coal capacity.//**Natural gas non-peaker:** The EIA projects that UT will retire 200 MW of natural gas by 2050. UT currently has 1830 MW of natural gas non-peaker capacity.//**Nuclear:** The EIA projects that UT will retire 0 MW of nuclear by 2050. UT currently has 0 MW of nuclear capacity.//**Natural gas peaker:** The EIA projects that UT will retire 100 MW of natural gas by 2050. UT currently has 781 MW of natural gas peaker capacity.//**Lignite:** The EIA projects that UT will retire 0 MW of lignite by 2050. UT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Utah will retire 4500 MW of coal by 2050. Utah currently has 4581 MW of coal capacity.//**Natural gas non-peaker:** The EIA projects that UT will retire 200 MW of natural gas by 2050. UT currently has 1830 MW of natural gas non-peaker capacity.//**Nuclear:** The EIA projects that UT will retire 0 MW of nuclear by 2050. UT currently has 0 MW of nuclear capacity.//**Natural gas peaker:** The EIA projects that UT will retire 100 MW of natural gas by 2050. UT currently has 781 MW of natural gas peaker capacity.//**Lignite:** The EIA projects that UT will retire 0 MW of lignite by 2050. UT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Utah will retire 4500 MW of coal by 2050. Utah currently has 4581 MW of coal capacity.//**Natural gas non-peaker:** The EIA projects that UT will retire 200 MW of natural gas by 2050. UT currently has 1830 MW of natural gas non-peaker capacity.//**Nuclear:** The EIA projects that UT will retire 0 MW of nuclear by 2050. UT currently has 0 MW of nuclear capacity.//**Natural gas peaker:** The EIA projects that UT will retire 100 MW of natural gas by 2050. UT currently has 781 MW of natural gas peaker capacity.//**Lignite:** The EIA projects that UT will retire 0 MW of lignite by 2050. UT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Utah will retire 4500 MW of coal by 2050. Utah currently has 4581 MW of coal capacity.//**Natural gas non-peaker:** The EIA projects that UT will retire 200 MW of natural gas by 2050. UT currently has 1830 MW of natural gas non-peaker capacity.//**Nuclear:** The EIA projects that UT will retire 0 MW of nuclear by 2050. UT currently has 0 MW of nuclear capacity.//**Natural gas peaker:** The EIA projects that UT will retire 100 MW of natural gas by 2050. UT currently has 781 MW of natural gas peaker capacity.//**Lignite:** The EIA projects that UT will retire 0 MW of lignite by 2050. UT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Utah will retire 4500 MW of coal by 2050. Utah currently has 4581 MW of coal capacity.//**Natural gas non-peaker:** The EIA projects that UT will retire 200 MW of natural gas by 2050. UT currently has 1830 MW of natural gas non-peaker capacity.//**Nuclear:** The EIA projects that UT will retire 0 MW of nuclear by 2050. UT currently has 0 MW of nuclear capacity.//**Natural gas peaker:** The EIA projects that UT will retire 100 MW of natural gas by 2050. UT currently has 781 MW of natural gas peaker capacity.//**Lignite:** The EIA projects that UT will retire 0 MW of lignite by 2050. UT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Utah will retire 4500 MW of coal by 2050. Utah currently has 4581 MW of coal capacity.//**Natural gas non-peaker:** The EIA projects that UT will retire 200 MW of natural gas by 2050. UT currently has 1830 MW of natural gas non-peaker capacity.//**Nuclear:** The EIA projects that UT will retire 0 MW of nuclear by 2050. UT currently has 0 MW of nuclear capacity.//**Natural gas peaker:** The EIA projects that UT will retire 100 MW of natural gas by 2050. UT currently has 781 MW of natural gas peaker capacity.//**Lignite:** The EIA projects that UT will retire 0 MW of lignite by 2050. UT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Utah will retire 4500 MW of coal by 2050. Utah currently has 4581 MW of coal capacity.//**Natural gas non-peaker:** The EIA projects that UT will retire 200 MW of natural gas by 2050. UT currently has 1830 MW of natural gas non-peaker capacity.//**Nuclear:** The EIA projects that UT will retire 0 MW of nuclear by 2050. UT currently has 0 MW of nuclear capacity.//**Natural gas peaker:** The EIA projects that UT will retire 100 MW of natural gas by 2050. UT currently has 781 MW of natural gas peaker capacity.//**Lignite:** The EIA projects that UT will retire 0 MW of lignite by 2050. UT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Utah will retire 4500 MW of coal by 2050. Utah currently has 4581 MW of coal capacity.//**Natural gas non-peaker:** The EIA projects that UT will retire 200 MW of natural gas by 2050. UT currently has 1830 MW of natural gas non-peaker capacity.//**Nuclear:** The EIA projects that UT will retire 0 MW of nuclear by 2050. UT currently has 0 MW of nuclear capacity.//**Natural gas peaker:** The EIA projects that UT will retire 100 MW of natural gas by 2050. UT currently has 781 MW of natural gas peaker capacity.//**Lignite:** The EIA projects that UT will retire 0 MW of lignite by 2050. UT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Utah will retire 4500 MW of coal by 2050. Utah currently has 4581 MW of coal capacity.//**Natural gas non-peaker:** The EIA projects that UT will retire 200 MW of natural gas by 2050. UT currently has 1830 MW of natural gas non-peaker capacity.//**Nuclear:** The EIA projects that UT will retire 0 MW of nuclear by 2050. UT currently has 0 MW of nuclear capacity.//**Natural gas peaker:** The EIA projects that UT will retire 100 MW of natural gas by 2050. UT currently has 781 MW of natural gas peaker capacity.//**Lignite:** The EIA projects that UT will retire 0 MW of lignite by 2050. UT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Utah will retire 4500 MW of coal by 2050. Utah currently has 4581 MW of coal capacity.//**Natural gas non-peaker:** The EIA projects that UT will retire 200 MW of natural gas by 2050. UT currently has 1830 MW of natural gas non-peaker capacity.//**Nuclear:** The EIA projects that UT will retire 0 MW of nuclear by 2050. UT currently has 0 MW of nuclear capacity.//**Natural gas peaker:** The EIA projects that UT will retire 100 MW of natural gas by 2050. UT currently has 781 MW of natural gas peaker capacity.//**Lignite:** The EIA projects that UT will retire 0 MW of lignite by 2050. UT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Utah will retire 4500 MW of coal by 2050. Utah currently has 4581 MW of coal capacity.//**Natural gas non-peaker:** The EIA projects that UT will retire 200 MW of natural gas by 2050. UT currently has 1830 MW of natural gas non-peaker capacity.//**Nuclear:** The EIA projects that UT will retire 0 MW of nuclear by 2050. UT currently has 0 MW of nuclear capacity.//**Natural gas peaker:** The EIA projects that UT will retire 100 MW of natural gas by 2050. UT currently has 781 MW of natural gas peaker capacity.//**Lignite:** The EIA projects that UT will retire 0 MW of lignite by 2050. UT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Utah will retire 4500 MW of coal by 2050. Utah currently has 4581 MW of coal capacity.//**Natural gas non-peaker:** The EIA projects that UT will retire 200 MW of natural gas by 2050. UT currently has 1830 MW of natural gas non-peaker capacity.//**Nuclear:** The EIA projects that UT will retire 0 MW of nuclear by 2050. UT currently has 0 MW of nuclear capacity.//**Natural gas peaker:** The EIA projects that UT will retire 100 MW of natural gas by 2050. UT currently has 781 MW of natural gas peaker capacity.//**Lignite:** The EIA projects that UT will retire 0 MW of lignite by 2050. UT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2708</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2709</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2710</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2711</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2674</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2675</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2676</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2677</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2678</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2588</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2679</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2680</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2681</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2682</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2433</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2669</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2434</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2434</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2434</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2434</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2434</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2434</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2434</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2434</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2434</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2434</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2434</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2434</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2434</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2434</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2434</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2434</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2434</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2434</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2434</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2434</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2434</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2434</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2434</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2434</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2434</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2683</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2685</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2684</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2695</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2696</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2686</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2687</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2687</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2687</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2687</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2687</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2712</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2688</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2697</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2689</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2690</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2691</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2692</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2698</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2548</v>
      </c>
      <c r="E1578" s="88"/>
      <c r="F1578" s="88" t="s">
        <v>2549</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2550</v>
      </c>
      <c r="E1579" s="88"/>
      <c r="F1579" s="88" t="s">
        <v>2551</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2713</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2552</v>
      </c>
      <c r="E1580" s="88"/>
      <c r="F1580" s="88" t="s">
        <v>2553</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2554</v>
      </c>
      <c r="E1581" s="88"/>
      <c r="F1581" s="88" t="s">
        <v>2555</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2556</v>
      </c>
      <c r="E1582" s="88"/>
      <c r="F1582" s="88" t="s">
        <v>2557</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2558</v>
      </c>
      <c r="E1583" s="88"/>
      <c r="F1583" s="88" t="s">
        <v>2559</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2560</v>
      </c>
      <c r="E1584" s="88"/>
      <c r="F1584" s="88" t="s">
        <v>2561</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2562</v>
      </c>
      <c r="E1585" s="88"/>
      <c r="F1585" s="88" t="s">
        <v>2563</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2564</v>
      </c>
      <c r="E1586" s="88"/>
      <c r="F1586" s="88" t="s">
        <v>2565</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2566</v>
      </c>
      <c r="E1587" s="88"/>
      <c r="F1587" s="88" t="s">
        <v>2567</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2568</v>
      </c>
      <c r="E1588" s="88"/>
      <c r="F1588" s="88" t="s">
        <v>2569</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2570</v>
      </c>
      <c r="E1589" s="88"/>
      <c r="F1589" s="88" t="s">
        <v>2571</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2572</v>
      </c>
      <c r="E1590" s="88"/>
      <c r="F1590" s="88" t="s">
        <v>2573</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2574</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2575</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2576</v>
      </c>
      <c r="E1593" s="88"/>
      <c r="F1593" s="88" t="s">
        <v>2577</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2578</v>
      </c>
      <c r="E1594" s="88"/>
      <c r="F1594" s="88" t="s">
        <v>2579</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2580</v>
      </c>
      <c r="E1595" s="88"/>
      <c r="F1595" s="88" t="s">
        <v>2581</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13.61%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95.73% of the state's production.//**Natural gas:** The model assumes that exports represent 0% of the state's production.//**Petroleum diesel:** The model assumes that exports represent 25.94% of the state's production.//**Petroleum gasoline:** The model assumes that exports represent 2.78% of the state's production.</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2693</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13.61%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95.73% of the state's production.//**Natural gas:** The model assumes that exports represent 0% of the state's production.//**Petroleum diesel:** The model assumes that exports represent 25.94% of the state's production.//**Petroleum gasoline:** The model assumes that exports represent 2.78% of the state's production.</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13.61%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95.73% of the state's production.//**Natural gas:** The model assumes that exports represent 0% of the state's production.//**Petroleum diesel:** The model assumes that exports represent 25.94% of the state's production.//**Petroleum gasoline:** The model assumes that exports represent 2.78% of the state's production.</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13.61%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95.73% of the state's production.//**Natural gas:** The model assumes that exports represent 0% of the state's production.//**Petroleum diesel:** The model assumes that exports represent 25.94% of the state's production.//**Petroleum gasoline:** The model assumes that exports represent 2.78% of the state's production.</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13.61%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95.73% of the state's production.//**Natural gas:** The model assumes that exports represent 0% of the state's production.//**Petroleum diesel:** The model assumes that exports represent 25.94% of the state's production.//**Petroleum gasoline:** The model assumes that exports represent 2.78% of the state's production.</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13.61%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95.73% of the state's production.//**Natural gas:** The model assumes that exports represent 0% of the state's production.//**Petroleum diesel:** The model assumes that exports represent 25.94% of the state's production.//**Petroleum gasoline:** The model assumes that exports represent 2.78% of the state's production.</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13.61%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95.73% of the state's production.//**Natural gas:** The model assumes that exports represent 0% of the state's production.//**Petroleum diesel:** The model assumes that exports represent 25.94% of the state's production.//**Petroleum gasoline:** The model assumes that exports represent 2.78% of the state's production.</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13.61%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95.73% of the state's production.//**Natural gas:** The model assumes that exports represent 0% of the state's production.//**Petroleum diesel:** The model assumes that exports represent 25.94% of the state's production.//**Petroleum gasoline:** The model assumes that exports represent 2.78% of the state's production.</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13.61% of the state's production.//**Crude oil:** The model assumes that exports represent 94.37% of the state's production.//**Heavy fuel oil:** The model assumes that exports represent 0% of the state's production.//**Jet fuel or kerosene:** The model assumes that exports represent 0% of the state's production.//**LPG propane or butane:** The model assumes that exports represent 95.73% of the state's production.//**Natural gas:** The model assumes that exports represent 0% of the state's production.//**Petroleum diesel:** The model assumes that exports represent 25.94% of the state's production.//**Petroleum gasoline:** The model assumes that exports represent 2.78% of the state's production.</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157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2714</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2715</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2716</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2717</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2718</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2719</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2720</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2721</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2722</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2723</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2724</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2725</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2726</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2634</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2727</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2728</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2729</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2730</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2731</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2732</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2733</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2734</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2735</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2736</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2590</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2664</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2602</v>
      </c>
      <c r="B5" t="str">
        <f>A5</f>
        <v>g CO2e / 2024 dollar</v>
      </c>
    </row>
    <row r="6" spans="1:2" x14ac:dyDescent="0.25">
      <c r="A6" s="68" t="s">
        <v>563</v>
      </c>
      <c r="B6" t="str">
        <f t="shared" ref="B6:B46" si="0">A6</f>
        <v>thousand metric tons / year</v>
      </c>
    </row>
    <row r="7" spans="1:2" x14ac:dyDescent="0.25">
      <c r="A7" s="68" t="s">
        <v>2603</v>
      </c>
      <c r="B7" t="str">
        <f>A7</f>
        <v>g CO2 / 2024 dollar</v>
      </c>
    </row>
    <row r="8" spans="1:2" ht="30" x14ac:dyDescent="0.25">
      <c r="A8" s="68" t="s">
        <v>2604</v>
      </c>
      <c r="B8" t="str">
        <f t="shared" si="0"/>
        <v>2024 dollars / metric ton CO2e abated, Annual average abatement (million metric tons CO2e)</v>
      </c>
    </row>
    <row r="9" spans="1:2" x14ac:dyDescent="0.25">
      <c r="A9" s="68" t="s">
        <v>2605</v>
      </c>
      <c r="B9" t="str">
        <f t="shared" si="0"/>
        <v>billion 2024 dollars / year</v>
      </c>
    </row>
    <row r="10" spans="1:2" x14ac:dyDescent="0.25">
      <c r="A10" s="68" t="s">
        <v>2606</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2607</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2608</v>
      </c>
      <c r="B20" t="str">
        <f t="shared" si="0"/>
        <v>kilowatt-hour / 2024 dollar</v>
      </c>
    </row>
    <row r="21" spans="1:2" x14ac:dyDescent="0.25">
      <c r="A21" s="68" t="s">
        <v>353</v>
      </c>
      <c r="B21" t="str">
        <f t="shared" si="0"/>
        <v>gigawatts (GW) / year</v>
      </c>
    </row>
    <row r="22" spans="1:2" x14ac:dyDescent="0.25">
      <c r="A22" s="68" t="s">
        <v>2609</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2610</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2611</v>
      </c>
      <c r="B37" t="str">
        <f t="shared" si="0"/>
        <v>2024 dollars / short ton</v>
      </c>
    </row>
    <row r="38" spans="1:2" x14ac:dyDescent="0.25">
      <c r="A38" s="68" t="s">
        <v>2612</v>
      </c>
      <c r="B38" t="str">
        <f t="shared" si="0"/>
        <v>2024 dollars / thousand cubic feet</v>
      </c>
    </row>
    <row r="39" spans="1:2" x14ac:dyDescent="0.25">
      <c r="A39" s="68" t="s">
        <v>2613</v>
      </c>
      <c r="B39" t="str">
        <f t="shared" si="0"/>
        <v>2024 dollars / gallon</v>
      </c>
    </row>
    <row r="40" spans="1:2" x14ac:dyDescent="0.25">
      <c r="A40" s="68" t="s">
        <v>2614</v>
      </c>
      <c r="B40" t="str">
        <f t="shared" si="0"/>
        <v>2024 dollars / barrel of oil</v>
      </c>
    </row>
    <row r="41" spans="1:2" x14ac:dyDescent="0.25">
      <c r="A41" s="68" t="s">
        <v>2615</v>
      </c>
      <c r="B41" t="str">
        <f t="shared" si="0"/>
        <v>2024 dollars / kg</v>
      </c>
    </row>
    <row r="42" spans="1:2" x14ac:dyDescent="0.25">
      <c r="A42" s="68" t="s">
        <v>2616</v>
      </c>
      <c r="B42" t="str">
        <f t="shared" si="0"/>
        <v>2024 dollars / kilowatt-hour (kWh)</v>
      </c>
    </row>
    <row r="43" spans="1:2" x14ac:dyDescent="0.25">
      <c r="A43" s="68" t="s">
        <v>2609</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2617</v>
      </c>
      <c r="B45" t="str">
        <f t="shared" si="0"/>
        <v>million 2024 dollars / megawatt (MW)</v>
      </c>
    </row>
    <row r="46" spans="1:2" ht="30" x14ac:dyDescent="0.25">
      <c r="A46" s="68" t="s">
        <v>2618</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2421</v>
      </c>
      <c r="H96" s="58" t="s">
        <v>2422</v>
      </c>
      <c r="I96" t="s">
        <v>2423</v>
      </c>
    </row>
    <row r="97" spans="1:10" x14ac:dyDescent="0.25">
      <c r="A97" s="143" t="s">
        <v>706</v>
      </c>
      <c r="B97" s="143" t="s">
        <v>582</v>
      </c>
      <c r="C97" s="15">
        <v>1</v>
      </c>
      <c r="D97" t="s">
        <v>65</v>
      </c>
      <c r="E97" t="s">
        <v>64</v>
      </c>
      <c r="F97" t="str">
        <f>UnitControlCenter!$B$16</f>
        <v>terawatt-hours (TWh) / year</v>
      </c>
      <c r="G97" s="58" t="s">
        <v>2424</v>
      </c>
      <c r="H97" s="58" t="s">
        <v>2425</v>
      </c>
      <c r="I97" t="s">
        <v>2423</v>
      </c>
    </row>
    <row r="98" spans="1:10" x14ac:dyDescent="0.25">
      <c r="A98" s="143" t="s">
        <v>706</v>
      </c>
      <c r="B98" s="143" t="s">
        <v>583</v>
      </c>
      <c r="C98" s="15">
        <v>1</v>
      </c>
      <c r="D98" t="s">
        <v>65</v>
      </c>
      <c r="E98" t="s">
        <v>66</v>
      </c>
      <c r="F98" t="str">
        <f>UnitControlCenter!$B$21</f>
        <v>gigawatts (GW) / year</v>
      </c>
      <c r="G98" s="58" t="s">
        <v>2426</v>
      </c>
      <c r="H98" s="58" t="s">
        <v>2427</v>
      </c>
      <c r="I98" t="s">
        <v>2428</v>
      </c>
    </row>
    <row r="99" spans="1:10" x14ac:dyDescent="0.25">
      <c r="A99" s="143" t="s">
        <v>706</v>
      </c>
      <c r="B99" s="143" t="s">
        <v>584</v>
      </c>
      <c r="C99" s="15">
        <v>1</v>
      </c>
      <c r="D99" t="s">
        <v>65</v>
      </c>
      <c r="E99" t="s">
        <v>64</v>
      </c>
      <c r="F99" t="str">
        <f>UnitControlCenter!$B$21</f>
        <v>gigawatts (GW) / year</v>
      </c>
      <c r="G99" s="58" t="s">
        <v>2429</v>
      </c>
      <c r="H99" s="58" t="s">
        <v>2430</v>
      </c>
      <c r="I99" t="s">
        <v>2431</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2432</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5" sqref="A5"/>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2262</v>
      </c>
      <c r="B2" t="s">
        <v>1595</v>
      </c>
      <c r="C2" s="40" t="s">
        <v>1596</v>
      </c>
    </row>
    <row r="3" spans="1:3" x14ac:dyDescent="0.25">
      <c r="A3" t="s">
        <v>1831</v>
      </c>
      <c r="B3" t="s">
        <v>1832</v>
      </c>
    </row>
    <row r="4" spans="1:3" x14ac:dyDescent="0.25">
      <c r="A4" t="s">
        <v>2601</v>
      </c>
      <c r="B4" t="s">
        <v>2600</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Targets'!L:L,MATCH(About!$C$2,'State Targets'!$B:$B,0))=0,"",INDEX('State Targets'!L:L,MATCH(About!$C$2,'State Targets'!$B:$B,0)))</f>
        <v/>
      </c>
    </row>
    <row r="3" spans="1:6" x14ac:dyDescent="0.25">
      <c r="A3" s="1" t="s">
        <v>1739</v>
      </c>
      <c r="B3" s="1" t="str">
        <f>IF(INDEX('State Targets'!M:M,MATCH(About!$C$2,'State Targets'!$B:$B,0))=0,"",INDEX('State Targets'!M:M,MATCH(About!$C$2,'State Targets'!$B:$B,0)))</f>
        <v/>
      </c>
      <c r="C3" s="1" t="str">
        <f>IF(INDEX('State Targets'!N:N,MATCH(About!$C$2,'State Targets'!$B:$B,0))=0,"",INDEX('State Targets'!N:N,MATCH(About!$C$2,'State Targets'!$B:$B,0)))</f>
        <v/>
      </c>
      <c r="D3" s="1" t="str">
        <f>INDEX('State Targets'!O:O,MATCH(About!$C$2,'State Targets'!$B:$B,0))</f>
        <v/>
      </c>
      <c r="E3" s="1" t="str">
        <f>INDEX('State Targets'!P:P,MATCH(About!$C$2,'State Targets'!$B:$B,0))</f>
        <v/>
      </c>
      <c r="F3" s="1" t="str">
        <f>IF(INDEX('State Targets'!Q:Q,MATCH(About!$C$2,'State Targets'!$B:$B,0))=0,"",INDEX('State Targets'!Q:Q,MATCH(About!$C$2,'State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2263</v>
      </c>
      <c r="B1" s="123" t="s">
        <v>2264</v>
      </c>
      <c r="C1" s="124" t="s">
        <v>2265</v>
      </c>
      <c r="D1" s="124" t="s">
        <v>2266</v>
      </c>
      <c r="E1" s="125" t="s">
        <v>2267</v>
      </c>
      <c r="F1" s="125" t="s">
        <v>2268</v>
      </c>
      <c r="G1" s="126" t="s">
        <v>2269</v>
      </c>
      <c r="H1" s="123" t="s">
        <v>2270</v>
      </c>
      <c r="I1" s="127" t="s">
        <v>2271</v>
      </c>
      <c r="J1" s="127" t="s">
        <v>2272</v>
      </c>
      <c r="K1" s="127" t="s">
        <v>2273</v>
      </c>
      <c r="L1" s="127" t="s">
        <v>2274</v>
      </c>
      <c r="M1" s="127" t="s">
        <v>2275</v>
      </c>
      <c r="N1" s="128" t="s">
        <v>2276</v>
      </c>
      <c r="O1" s="127" t="s">
        <v>2277</v>
      </c>
      <c r="P1" s="127" t="s">
        <v>2278</v>
      </c>
      <c r="Q1" s="129" t="s">
        <v>2279</v>
      </c>
    </row>
    <row r="2" spans="1:17" x14ac:dyDescent="0.25">
      <c r="A2" t="s">
        <v>2080</v>
      </c>
      <c r="B2" t="s">
        <v>2280</v>
      </c>
    </row>
    <row r="3" spans="1:17" x14ac:dyDescent="0.25">
      <c r="A3" t="s">
        <v>2081</v>
      </c>
      <c r="B3" t="s">
        <v>2281</v>
      </c>
    </row>
    <row r="4" spans="1:17" x14ac:dyDescent="0.25">
      <c r="A4" t="s">
        <v>2082</v>
      </c>
      <c r="B4" t="s">
        <v>2282</v>
      </c>
    </row>
    <row r="5" spans="1:17" x14ac:dyDescent="0.25">
      <c r="A5" t="s">
        <v>2083</v>
      </c>
      <c r="B5" t="s">
        <v>2283</v>
      </c>
    </row>
    <row r="6" spans="1:17" x14ac:dyDescent="0.25">
      <c r="A6" t="s">
        <v>2084</v>
      </c>
      <c r="B6" t="s">
        <v>2284</v>
      </c>
      <c r="C6" s="102" t="s">
        <v>2285</v>
      </c>
      <c r="D6">
        <v>1990</v>
      </c>
      <c r="E6" s="130">
        <v>0.4</v>
      </c>
      <c r="F6" s="130">
        <v>1</v>
      </c>
      <c r="G6" s="134">
        <f>ROUND(IF(About!$B$2=$A6,INDEX('State GHG Summary'!$C$1:$AH$1,MATCH('State Targets'!D6,'State GHG Summary'!$C$3:$AH$3,0)),0),0)</f>
        <v>0</v>
      </c>
      <c r="H6" t="s">
        <v>2286</v>
      </c>
      <c r="I6" s="132">
        <v>2030</v>
      </c>
      <c r="J6" s="132">
        <f>IF($E6="","",(1-$E6)*$G6)</f>
        <v>0</v>
      </c>
      <c r="K6" s="132">
        <f>J6</f>
        <v>0</v>
      </c>
      <c r="L6" s="132" t="s">
        <v>2287</v>
      </c>
      <c r="M6" t="s">
        <v>2288</v>
      </c>
      <c r="N6" s="133">
        <v>2045</v>
      </c>
      <c r="O6">
        <f>IF($F6="","",(1-$F6)*$G6)</f>
        <v>0</v>
      </c>
      <c r="P6">
        <f>O6</f>
        <v>0</v>
      </c>
      <c r="Q6" s="131" t="s">
        <v>2289</v>
      </c>
    </row>
    <row r="7" spans="1:17" x14ac:dyDescent="0.25">
      <c r="A7" t="s">
        <v>474</v>
      </c>
      <c r="B7" t="s">
        <v>2290</v>
      </c>
      <c r="C7" s="102" t="s">
        <v>2291</v>
      </c>
      <c r="D7">
        <v>2005</v>
      </c>
      <c r="E7" s="135">
        <v>0.5</v>
      </c>
      <c r="F7" s="135">
        <v>0.9</v>
      </c>
      <c r="G7" s="134">
        <f>ROUND(IF(About!$B$2=$A7,INDEX('State GHG Summary'!$C$1:$AH$1,MATCH('State Targets'!D7,'State GHG Summary'!$C$3:$AH$3,0)),0),0)</f>
        <v>0</v>
      </c>
      <c r="H7" t="s">
        <v>2292</v>
      </c>
      <c r="I7" s="136">
        <v>2030</v>
      </c>
      <c r="J7" s="132">
        <f t="shared" ref="J7:J52" si="0">IF($E7="","",(1-$E7)*$G7)</f>
        <v>0</v>
      </c>
      <c r="K7" s="132">
        <f t="shared" ref="K7:K52" si="1">J7</f>
        <v>0</v>
      </c>
      <c r="L7" s="136" t="s">
        <v>2293</v>
      </c>
      <c r="M7" t="s">
        <v>2294</v>
      </c>
      <c r="N7" s="137">
        <v>2050</v>
      </c>
      <c r="O7">
        <f t="shared" ref="O7:O52" si="2">IF($F7="","",(1-$F7)*$G7)</f>
        <v>0</v>
      </c>
      <c r="P7">
        <f t="shared" ref="P7:P52" si="3">O7</f>
        <v>0</v>
      </c>
      <c r="Q7" s="131" t="s">
        <v>2295</v>
      </c>
    </row>
    <row r="8" spans="1:17" x14ac:dyDescent="0.25">
      <c r="A8" t="s">
        <v>2085</v>
      </c>
      <c r="B8" t="s">
        <v>2296</v>
      </c>
      <c r="C8" s="102" t="s">
        <v>2297</v>
      </c>
      <c r="D8">
        <v>2001</v>
      </c>
      <c r="E8" s="130">
        <v>0.45</v>
      </c>
      <c r="F8" s="130">
        <v>0.8</v>
      </c>
      <c r="G8" s="134">
        <f>ROUND(IF(About!$B$2=$A8,INDEX('State GHG Summary'!$C$1:$AH$1,MATCH('State Targets'!D8,'State GHG Summary'!$C$3:$AH$3,0)),0),0)</f>
        <v>0</v>
      </c>
      <c r="H8" t="s">
        <v>2298</v>
      </c>
      <c r="I8" s="132">
        <v>2030</v>
      </c>
      <c r="J8" s="132">
        <f t="shared" si="0"/>
        <v>0</v>
      </c>
      <c r="K8" s="132">
        <f t="shared" si="1"/>
        <v>0</v>
      </c>
      <c r="L8" s="132" t="s">
        <v>2299</v>
      </c>
      <c r="M8" t="s">
        <v>2300</v>
      </c>
      <c r="N8" s="133">
        <v>2050</v>
      </c>
      <c r="O8">
        <f t="shared" si="2"/>
        <v>0</v>
      </c>
      <c r="P8">
        <f t="shared" si="3"/>
        <v>0</v>
      </c>
      <c r="Q8" s="131" t="s">
        <v>2301</v>
      </c>
    </row>
    <row r="9" spans="1:17" x14ac:dyDescent="0.25">
      <c r="A9" t="s">
        <v>2086</v>
      </c>
      <c r="B9" t="s">
        <v>2086</v>
      </c>
      <c r="J9" s="132" t="str">
        <f t="shared" si="0"/>
        <v/>
      </c>
      <c r="K9" s="132" t="str">
        <f t="shared" si="1"/>
        <v/>
      </c>
      <c r="O9" t="str">
        <f t="shared" si="2"/>
        <v/>
      </c>
      <c r="P9" t="str">
        <f t="shared" si="3"/>
        <v/>
      </c>
    </row>
    <row r="10" spans="1:17" x14ac:dyDescent="0.25">
      <c r="A10" t="s">
        <v>2087</v>
      </c>
      <c r="B10" t="s">
        <v>2302</v>
      </c>
      <c r="C10" s="102" t="s">
        <v>2303</v>
      </c>
      <c r="D10">
        <v>2005</v>
      </c>
      <c r="E10" s="130">
        <v>0.5</v>
      </c>
      <c r="F10" s="130">
        <v>1</v>
      </c>
      <c r="G10" s="134">
        <f>ROUND(IF(About!$B$2=$A10,INDEX('State GHG Summary'!$C$1:$AH$1,MATCH('State Targets'!D10,'State GHG Summary'!$C$3:$AH$3,0)),0),0)</f>
        <v>0</v>
      </c>
      <c r="H10" t="s">
        <v>2292</v>
      </c>
      <c r="I10" s="132">
        <v>2030</v>
      </c>
      <c r="J10" s="132">
        <f t="shared" si="0"/>
        <v>0</v>
      </c>
      <c r="K10" s="132">
        <f t="shared" si="1"/>
        <v>0</v>
      </c>
      <c r="L10" s="132" t="s">
        <v>2304</v>
      </c>
      <c r="M10" t="s">
        <v>2305</v>
      </c>
      <c r="N10" s="133">
        <v>2050</v>
      </c>
      <c r="O10">
        <f t="shared" si="2"/>
        <v>0</v>
      </c>
      <c r="P10">
        <f t="shared" si="3"/>
        <v>0</v>
      </c>
      <c r="Q10" s="131" t="s">
        <v>2306</v>
      </c>
    </row>
    <row r="11" spans="1:17" x14ac:dyDescent="0.25">
      <c r="A11" t="s">
        <v>2088</v>
      </c>
      <c r="B11" t="s">
        <v>2307</v>
      </c>
      <c r="C11" s="102" t="s">
        <v>2308</v>
      </c>
      <c r="D11">
        <v>1990</v>
      </c>
      <c r="E11" s="130">
        <v>0.8</v>
      </c>
      <c r="G11" s="134">
        <f>ROUND(IF(About!$B$2=$A11,INDEX('State GHG Summary'!$C$1:$AH$1,MATCH('State Targets'!D11,'State GHG Summary'!$C$3:$AH$3,0)),0),0)</f>
        <v>0</v>
      </c>
      <c r="H11" t="s">
        <v>2309</v>
      </c>
      <c r="I11" s="132">
        <v>2050</v>
      </c>
      <c r="J11" s="132">
        <f t="shared" si="0"/>
        <v>0</v>
      </c>
      <c r="K11" s="132">
        <f t="shared" si="1"/>
        <v>0</v>
      </c>
      <c r="L11" s="132" t="s">
        <v>2310</v>
      </c>
      <c r="O11" t="str">
        <f t="shared" si="2"/>
        <v/>
      </c>
      <c r="P11" t="str">
        <f t="shared" si="3"/>
        <v/>
      </c>
    </row>
    <row r="12" spans="1:17" x14ac:dyDescent="0.25">
      <c r="A12" t="s">
        <v>2089</v>
      </c>
      <c r="B12" t="s">
        <v>2311</v>
      </c>
      <c r="J12" s="132" t="str">
        <f t="shared" si="0"/>
        <v/>
      </c>
      <c r="K12" s="132" t="str">
        <f t="shared" si="1"/>
        <v/>
      </c>
      <c r="O12" t="str">
        <f t="shared" si="2"/>
        <v/>
      </c>
      <c r="P12" t="str">
        <f t="shared" si="3"/>
        <v/>
      </c>
    </row>
    <row r="13" spans="1:17" x14ac:dyDescent="0.25">
      <c r="A13" t="s">
        <v>2090</v>
      </c>
      <c r="B13" t="s">
        <v>2312</v>
      </c>
      <c r="J13" s="132" t="str">
        <f t="shared" si="0"/>
        <v/>
      </c>
      <c r="K13" s="132" t="str">
        <f t="shared" si="1"/>
        <v/>
      </c>
      <c r="O13" t="str">
        <f t="shared" si="2"/>
        <v/>
      </c>
      <c r="P13" t="str">
        <f t="shared" si="3"/>
        <v/>
      </c>
    </row>
    <row r="14" spans="1:17" x14ac:dyDescent="0.25">
      <c r="A14" t="s">
        <v>2091</v>
      </c>
      <c r="B14" t="s">
        <v>2313</v>
      </c>
      <c r="J14" s="132" t="str">
        <f t="shared" si="0"/>
        <v/>
      </c>
      <c r="K14" s="132" t="str">
        <f t="shared" si="1"/>
        <v/>
      </c>
      <c r="O14" t="str">
        <f t="shared" si="2"/>
        <v/>
      </c>
      <c r="P14" t="str">
        <f t="shared" si="3"/>
        <v/>
      </c>
    </row>
    <row r="15" spans="1:17" x14ac:dyDescent="0.25">
      <c r="A15" t="s">
        <v>2092</v>
      </c>
      <c r="B15" t="s">
        <v>2314</v>
      </c>
      <c r="J15" s="132" t="str">
        <f t="shared" si="0"/>
        <v/>
      </c>
      <c r="K15" s="132" t="str">
        <f t="shared" si="1"/>
        <v/>
      </c>
      <c r="O15" t="str">
        <f t="shared" si="2"/>
        <v/>
      </c>
      <c r="P15" t="str">
        <f t="shared" si="3"/>
        <v/>
      </c>
    </row>
    <row r="16" spans="1:17" x14ac:dyDescent="0.25">
      <c r="A16" t="s">
        <v>2093</v>
      </c>
      <c r="B16" t="s">
        <v>2315</v>
      </c>
      <c r="J16" s="132" t="str">
        <f t="shared" si="0"/>
        <v/>
      </c>
      <c r="K16" s="132" t="str">
        <f t="shared" si="1"/>
        <v/>
      </c>
      <c r="O16" t="str">
        <f t="shared" si="2"/>
        <v/>
      </c>
      <c r="P16" t="str">
        <f t="shared" si="3"/>
        <v/>
      </c>
    </row>
    <row r="17" spans="1:17" x14ac:dyDescent="0.25">
      <c r="A17" t="s">
        <v>2094</v>
      </c>
      <c r="B17" t="s">
        <v>2316</v>
      </c>
      <c r="J17" s="132" t="str">
        <f t="shared" si="0"/>
        <v/>
      </c>
      <c r="K17" s="132" t="str">
        <f t="shared" si="1"/>
        <v/>
      </c>
      <c r="O17" t="str">
        <f t="shared" si="2"/>
        <v/>
      </c>
      <c r="P17" t="str">
        <f t="shared" si="3"/>
        <v/>
      </c>
    </row>
    <row r="18" spans="1:17" x14ac:dyDescent="0.25">
      <c r="A18" t="s">
        <v>2095</v>
      </c>
      <c r="B18" t="s">
        <v>2317</v>
      </c>
      <c r="J18" s="132" t="str">
        <f t="shared" si="0"/>
        <v/>
      </c>
      <c r="K18" s="132" t="str">
        <f t="shared" si="1"/>
        <v/>
      </c>
      <c r="O18" t="str">
        <f t="shared" si="2"/>
        <v/>
      </c>
      <c r="P18" t="str">
        <f t="shared" si="3"/>
        <v/>
      </c>
    </row>
    <row r="19" spans="1:17" x14ac:dyDescent="0.25">
      <c r="A19" t="s">
        <v>2096</v>
      </c>
      <c r="B19" t="s">
        <v>2318</v>
      </c>
      <c r="C19" s="102" t="s">
        <v>2319</v>
      </c>
      <c r="D19">
        <v>1990</v>
      </c>
      <c r="E19" s="130">
        <v>0.2</v>
      </c>
      <c r="G19" s="134">
        <f>ROUND(IF(About!$B$2=$A19,INDEX('State GHG Summary'!$C$1:$AH$1,MATCH('State Targets'!D19,'State GHG Summary'!$C$3:$AH$3,0)),0),0)</f>
        <v>0</v>
      </c>
      <c r="H19" t="s">
        <v>2320</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2321</v>
      </c>
      <c r="C20" s="102" t="s">
        <v>2322</v>
      </c>
      <c r="D20">
        <v>2005</v>
      </c>
      <c r="E20" s="130">
        <v>0.45</v>
      </c>
      <c r="F20" s="130">
        <v>1</v>
      </c>
      <c r="G20" s="134">
        <f>ROUND(IF(About!$B$2=$A20,INDEX('State GHG Summary'!$C$1:$AH$1,MATCH('State Targets'!D20,'State GHG Summary'!$C$3:$AH$3,0)),0),0)</f>
        <v>0</v>
      </c>
      <c r="H20" t="s">
        <v>2323</v>
      </c>
      <c r="I20" s="132">
        <v>2030</v>
      </c>
      <c r="J20" s="132">
        <f t="shared" si="0"/>
        <v>0</v>
      </c>
      <c r="K20" s="132">
        <f t="shared" si="1"/>
        <v>0</v>
      </c>
      <c r="L20" s="132" t="s">
        <v>2324</v>
      </c>
      <c r="M20" t="s">
        <v>2305</v>
      </c>
      <c r="N20" s="133">
        <v>2050</v>
      </c>
      <c r="O20">
        <f t="shared" si="2"/>
        <v>0</v>
      </c>
      <c r="P20">
        <f t="shared" si="3"/>
        <v>0</v>
      </c>
      <c r="Q20" t="s">
        <v>2325</v>
      </c>
    </row>
    <row r="21" spans="1:17" x14ac:dyDescent="0.25">
      <c r="A21" t="s">
        <v>2098</v>
      </c>
      <c r="B21" t="s">
        <v>2326</v>
      </c>
      <c r="C21" s="102" t="s">
        <v>2327</v>
      </c>
      <c r="D21">
        <v>1990</v>
      </c>
      <c r="E21" s="130">
        <v>0.75</v>
      </c>
      <c r="F21" s="130">
        <v>1</v>
      </c>
      <c r="G21" s="134">
        <f>ROUND(IF(About!$B$2=$A21,INDEX('State GHG Summary'!$C$1:$AH$1,MATCH('State Targets'!D21,'State GHG Summary'!$C$3:$AH$3,0)),0),0)</f>
        <v>0</v>
      </c>
      <c r="H21" t="s">
        <v>2328</v>
      </c>
      <c r="I21" s="132">
        <v>2040</v>
      </c>
      <c r="J21" s="132">
        <f t="shared" si="0"/>
        <v>0</v>
      </c>
      <c r="K21" s="132">
        <f t="shared" si="1"/>
        <v>0</v>
      </c>
      <c r="L21" s="132" t="s">
        <v>2329</v>
      </c>
      <c r="M21" t="s">
        <v>2305</v>
      </c>
      <c r="N21" s="133">
        <v>2050</v>
      </c>
      <c r="O21">
        <f t="shared" si="2"/>
        <v>0</v>
      </c>
      <c r="P21">
        <f t="shared" si="3"/>
        <v>0</v>
      </c>
      <c r="Q21" t="s">
        <v>2330</v>
      </c>
    </row>
    <row r="22" spans="1:17" x14ac:dyDescent="0.25">
      <c r="A22" t="s">
        <v>2099</v>
      </c>
      <c r="B22" t="s">
        <v>2331</v>
      </c>
      <c r="C22" s="102" t="s">
        <v>2332</v>
      </c>
      <c r="D22">
        <v>2006</v>
      </c>
      <c r="E22" s="130">
        <v>0.6</v>
      </c>
      <c r="F22" s="130">
        <v>1</v>
      </c>
      <c r="G22" s="134">
        <f>ROUND(IF(About!$B$2=$A22,INDEX('State GHG Summary'!$C$1:$AH$1,MATCH('State Targets'!D22,'State GHG Summary'!$C$3:$AH$3,0)),0),0)</f>
        <v>0</v>
      </c>
      <c r="H22" t="s">
        <v>2333</v>
      </c>
      <c r="I22" s="132">
        <v>2031</v>
      </c>
      <c r="J22" s="132">
        <f t="shared" si="0"/>
        <v>0</v>
      </c>
      <c r="K22" s="132">
        <f t="shared" si="1"/>
        <v>0</v>
      </c>
      <c r="L22" s="132" t="s">
        <v>2334</v>
      </c>
      <c r="M22" t="s">
        <v>2335</v>
      </c>
      <c r="N22" s="133">
        <v>2045</v>
      </c>
      <c r="O22">
        <f t="shared" si="2"/>
        <v>0</v>
      </c>
      <c r="P22">
        <f t="shared" si="3"/>
        <v>0</v>
      </c>
      <c r="Q22" s="131" t="s">
        <v>2336</v>
      </c>
    </row>
    <row r="23" spans="1:17" x14ac:dyDescent="0.25">
      <c r="A23" t="s">
        <v>2100</v>
      </c>
      <c r="B23" t="s">
        <v>2337</v>
      </c>
      <c r="C23" s="102" t="s">
        <v>2338</v>
      </c>
      <c r="D23">
        <v>1990</v>
      </c>
      <c r="E23" s="130">
        <v>0.45</v>
      </c>
      <c r="F23" s="130">
        <v>1</v>
      </c>
      <c r="G23" s="134">
        <f>ROUND(IF(About!$B$2=$A23,INDEX('State GHG Summary'!$C$1:$AH$1,MATCH('State Targets'!D23,'State GHG Summary'!$C$3:$AH$3,0)),0),0)</f>
        <v>0</v>
      </c>
      <c r="H23" t="s">
        <v>2339</v>
      </c>
      <c r="I23" s="132">
        <v>2030</v>
      </c>
      <c r="J23" s="132">
        <f t="shared" si="0"/>
        <v>0</v>
      </c>
      <c r="K23" s="132">
        <f t="shared" si="1"/>
        <v>0</v>
      </c>
      <c r="L23" s="132" t="s">
        <v>2340</v>
      </c>
      <c r="M23" t="s">
        <v>2305</v>
      </c>
      <c r="N23" s="133">
        <v>2050</v>
      </c>
      <c r="O23">
        <f t="shared" si="2"/>
        <v>0</v>
      </c>
      <c r="P23">
        <f t="shared" si="3"/>
        <v>0</v>
      </c>
      <c r="Q23" s="131" t="s">
        <v>2341</v>
      </c>
    </row>
    <row r="24" spans="1:17" x14ac:dyDescent="0.25">
      <c r="A24" t="s">
        <v>2101</v>
      </c>
      <c r="B24" t="s">
        <v>2342</v>
      </c>
      <c r="C24" s="102" t="s">
        <v>2343</v>
      </c>
      <c r="D24">
        <v>2005</v>
      </c>
      <c r="E24" s="130">
        <v>0.52</v>
      </c>
      <c r="F24" s="130">
        <v>1</v>
      </c>
      <c r="G24" s="134">
        <f>ROUND(IF(About!$B$2=$A24,INDEX('State GHG Summary'!$C$1:$AH$1,MATCH('State Targets'!D24,'State GHG Summary'!$C$3:$AH$3,0)),0),0)</f>
        <v>0</v>
      </c>
      <c r="H24" t="s">
        <v>2344</v>
      </c>
      <c r="I24" s="132">
        <v>2030</v>
      </c>
      <c r="J24" s="132">
        <f t="shared" si="0"/>
        <v>0</v>
      </c>
      <c r="K24" s="132">
        <f t="shared" si="1"/>
        <v>0</v>
      </c>
      <c r="L24" s="132" t="s">
        <v>2345</v>
      </c>
      <c r="M24" t="s">
        <v>2346</v>
      </c>
      <c r="N24" s="133">
        <v>2050</v>
      </c>
      <c r="O24">
        <f t="shared" si="2"/>
        <v>0</v>
      </c>
      <c r="P24">
        <f t="shared" si="3"/>
        <v>0</v>
      </c>
      <c r="Q24" s="131" t="s">
        <v>2347</v>
      </c>
    </row>
    <row r="25" spans="1:17" x14ac:dyDescent="0.25">
      <c r="A25" t="s">
        <v>2102</v>
      </c>
      <c r="B25" t="s">
        <v>2348</v>
      </c>
      <c r="C25" s="102" t="s">
        <v>2349</v>
      </c>
      <c r="D25">
        <v>2005</v>
      </c>
      <c r="E25" s="130">
        <v>0.3</v>
      </c>
      <c r="F25" s="130">
        <v>0.8</v>
      </c>
      <c r="G25" s="134">
        <f>ROUND(IF(About!$B$2=$A25,INDEX('State GHG Summary'!$C$1:$AH$1,MATCH('State Targets'!D25,'State GHG Summary'!$C$3:$AH$3,0)),0),0)</f>
        <v>0</v>
      </c>
      <c r="H25" t="s">
        <v>2350</v>
      </c>
      <c r="I25" s="132">
        <v>2025</v>
      </c>
      <c r="J25" s="132">
        <f t="shared" si="0"/>
        <v>0</v>
      </c>
      <c r="K25" s="132">
        <f t="shared" si="1"/>
        <v>0</v>
      </c>
      <c r="L25" s="132" t="s">
        <v>2351</v>
      </c>
      <c r="M25" t="s">
        <v>2352</v>
      </c>
      <c r="N25" s="133">
        <v>2050</v>
      </c>
      <c r="O25">
        <f t="shared" si="2"/>
        <v>0</v>
      </c>
      <c r="P25">
        <f t="shared" si="3"/>
        <v>0</v>
      </c>
      <c r="Q25" s="131" t="s">
        <v>2353</v>
      </c>
    </row>
    <row r="26" spans="1:17" x14ac:dyDescent="0.25">
      <c r="A26" t="s">
        <v>2103</v>
      </c>
      <c r="B26" t="s">
        <v>2354</v>
      </c>
      <c r="J26" s="132" t="str">
        <f t="shared" si="0"/>
        <v/>
      </c>
      <c r="K26" s="132" t="str">
        <f t="shared" si="1"/>
        <v/>
      </c>
      <c r="O26" t="str">
        <f t="shared" si="2"/>
        <v/>
      </c>
      <c r="P26" t="str">
        <f t="shared" si="3"/>
        <v/>
      </c>
    </row>
    <row r="27" spans="1:17" x14ac:dyDescent="0.25">
      <c r="A27" t="s">
        <v>2104</v>
      </c>
      <c r="B27" t="s">
        <v>2355</v>
      </c>
      <c r="J27" s="132" t="str">
        <f t="shared" si="0"/>
        <v/>
      </c>
      <c r="K27" s="132" t="str">
        <f t="shared" si="1"/>
        <v/>
      </c>
      <c r="O27" t="str">
        <f t="shared" si="2"/>
        <v/>
      </c>
      <c r="P27" t="str">
        <f t="shared" si="3"/>
        <v/>
      </c>
    </row>
    <row r="28" spans="1:17" x14ac:dyDescent="0.25">
      <c r="A28" t="s">
        <v>2105</v>
      </c>
      <c r="B28" t="s">
        <v>2356</v>
      </c>
      <c r="C28" s="102" t="s">
        <v>2357</v>
      </c>
      <c r="D28">
        <v>2005</v>
      </c>
      <c r="E28" s="130">
        <v>1</v>
      </c>
      <c r="G28" s="134">
        <f>ROUND(IF(About!$B$2=$A28,INDEX('State GHG Summary'!$C$1:$AH$1,MATCH('State Targets'!D28,'State GHG Summary'!$C$3:$AH$3,0)),0),0)</f>
        <v>0</v>
      </c>
      <c r="H28" t="s">
        <v>2346</v>
      </c>
      <c r="I28" s="132">
        <v>2050</v>
      </c>
      <c r="J28" s="132">
        <f t="shared" si="0"/>
        <v>0</v>
      </c>
      <c r="K28" s="132">
        <f t="shared" si="1"/>
        <v>0</v>
      </c>
      <c r="L28" s="132" t="s">
        <v>2357</v>
      </c>
      <c r="O28" t="str">
        <f t="shared" si="2"/>
        <v/>
      </c>
      <c r="P28" t="str">
        <f t="shared" si="3"/>
        <v/>
      </c>
    </row>
    <row r="29" spans="1:17" x14ac:dyDescent="0.25">
      <c r="A29" t="s">
        <v>2106</v>
      </c>
      <c r="B29" t="s">
        <v>2358</v>
      </c>
      <c r="C29" s="102" t="s">
        <v>2359</v>
      </c>
      <c r="D29">
        <v>2005</v>
      </c>
      <c r="E29" s="130">
        <v>0.5</v>
      </c>
      <c r="F29" s="130">
        <v>1</v>
      </c>
      <c r="G29" s="134">
        <f>ROUND(IF(About!$B$2=$A29,INDEX('State GHG Summary'!$C$1:$AH$1,MATCH('State Targets'!D29,'State GHG Summary'!$C$3:$AH$3,0)),0),0)</f>
        <v>0</v>
      </c>
      <c r="H29" t="s">
        <v>2292</v>
      </c>
      <c r="I29" s="132">
        <v>2030</v>
      </c>
      <c r="J29" s="132">
        <f t="shared" si="0"/>
        <v>0</v>
      </c>
      <c r="K29" s="132">
        <f t="shared" si="1"/>
        <v>0</v>
      </c>
      <c r="L29" s="132" t="s">
        <v>2360</v>
      </c>
      <c r="M29" s="132" t="s">
        <v>2305</v>
      </c>
      <c r="N29" s="133">
        <v>2050</v>
      </c>
      <c r="O29">
        <f t="shared" si="2"/>
        <v>0</v>
      </c>
      <c r="P29">
        <f t="shared" si="3"/>
        <v>0</v>
      </c>
      <c r="Q29" s="131" t="s">
        <v>2361</v>
      </c>
    </row>
    <row r="30" spans="1:17" x14ac:dyDescent="0.25">
      <c r="A30" t="s">
        <v>2107</v>
      </c>
      <c r="B30" t="s">
        <v>2362</v>
      </c>
      <c r="J30" s="132" t="str">
        <f t="shared" si="0"/>
        <v/>
      </c>
      <c r="K30" s="132" t="str">
        <f t="shared" si="1"/>
        <v/>
      </c>
      <c r="O30" t="str">
        <f t="shared" si="2"/>
        <v/>
      </c>
      <c r="P30" t="str">
        <f t="shared" si="3"/>
        <v/>
      </c>
    </row>
    <row r="31" spans="1:17" x14ac:dyDescent="0.25">
      <c r="A31" t="s">
        <v>475</v>
      </c>
      <c r="B31" t="s">
        <v>2363</v>
      </c>
      <c r="J31" s="132" t="str">
        <f t="shared" si="0"/>
        <v/>
      </c>
      <c r="K31" s="132" t="str">
        <f t="shared" si="1"/>
        <v/>
      </c>
      <c r="O31" t="str">
        <f t="shared" si="2"/>
        <v/>
      </c>
      <c r="P31" t="str">
        <f t="shared" si="3"/>
        <v/>
      </c>
    </row>
    <row r="32" spans="1:17" x14ac:dyDescent="0.25">
      <c r="A32" t="s">
        <v>2108</v>
      </c>
      <c r="B32" t="s">
        <v>2364</v>
      </c>
      <c r="C32" s="102" t="s">
        <v>2365</v>
      </c>
      <c r="D32">
        <v>1990</v>
      </c>
      <c r="E32" s="130">
        <v>0.2</v>
      </c>
      <c r="F32" s="130">
        <v>0.8</v>
      </c>
      <c r="G32" s="134">
        <f>ROUND(IF(About!$B$2=$A32,INDEX('State GHG Summary'!$C$1:$AH$1,MATCH('State Targets'!D32,'State GHG Summary'!$C$3:$AH$3,0)),0),0)</f>
        <v>0</v>
      </c>
      <c r="H32" t="s">
        <v>2366</v>
      </c>
      <c r="I32" s="132">
        <v>2025</v>
      </c>
      <c r="J32" s="132">
        <f t="shared" si="0"/>
        <v>0</v>
      </c>
      <c r="K32" s="132">
        <f t="shared" si="1"/>
        <v>0</v>
      </c>
      <c r="L32" s="132" t="s">
        <v>2367</v>
      </c>
      <c r="M32" t="s">
        <v>2309</v>
      </c>
      <c r="N32" s="133">
        <v>2050</v>
      </c>
      <c r="O32">
        <f t="shared" si="2"/>
        <v>0</v>
      </c>
      <c r="P32">
        <f t="shared" si="3"/>
        <v>0</v>
      </c>
      <c r="Q32" s="131" t="s">
        <v>2368</v>
      </c>
    </row>
    <row r="33" spans="1:17" x14ac:dyDescent="0.25">
      <c r="A33" t="s">
        <v>2109</v>
      </c>
      <c r="B33" t="s">
        <v>2369</v>
      </c>
      <c r="C33" s="102" t="s">
        <v>2370</v>
      </c>
      <c r="D33">
        <v>2006</v>
      </c>
      <c r="E33" s="130">
        <v>0.5</v>
      </c>
      <c r="F33" s="130">
        <v>0.8</v>
      </c>
      <c r="G33" s="134">
        <f>ROUND(IF(About!$B$2=$A33,INDEX('State GHG Summary'!$C$1:$AH$1,MATCH('State Targets'!D33,'State GHG Summary'!$C$3:$AH$3,0)),0),0)</f>
        <v>0</v>
      </c>
      <c r="H33" t="s">
        <v>2371</v>
      </c>
      <c r="I33" s="132">
        <v>2030</v>
      </c>
      <c r="J33" s="132">
        <f t="shared" si="0"/>
        <v>0</v>
      </c>
      <c r="K33" s="132">
        <f t="shared" si="1"/>
        <v>0</v>
      </c>
      <c r="L33" s="132" t="s">
        <v>2372</v>
      </c>
      <c r="M33" t="s">
        <v>2373</v>
      </c>
      <c r="N33" s="133">
        <v>2050</v>
      </c>
      <c r="O33">
        <f t="shared" si="2"/>
        <v>0</v>
      </c>
      <c r="P33">
        <f t="shared" si="3"/>
        <v>0</v>
      </c>
      <c r="Q33" s="131" t="s">
        <v>2374</v>
      </c>
    </row>
    <row r="34" spans="1:17" x14ac:dyDescent="0.25">
      <c r="A34" t="s">
        <v>2110</v>
      </c>
      <c r="B34" t="s">
        <v>2375</v>
      </c>
      <c r="C34" s="102" t="s">
        <v>2376</v>
      </c>
      <c r="D34">
        <v>2005</v>
      </c>
      <c r="E34" s="130">
        <v>0.45</v>
      </c>
      <c r="G34" s="134">
        <f>ROUND(IF(About!$B$2=$A34,INDEX('State GHG Summary'!$C$1:$AH$1,MATCH('State Targets'!D34,'State GHG Summary'!$C$3:$AH$3,0)),0),0)</f>
        <v>0</v>
      </c>
      <c r="H34" t="s">
        <v>2377</v>
      </c>
      <c r="I34" s="132">
        <v>2030</v>
      </c>
      <c r="J34" s="132">
        <f t="shared" si="0"/>
        <v>0</v>
      </c>
      <c r="K34" s="132">
        <f t="shared" si="1"/>
        <v>0</v>
      </c>
      <c r="L34" t="s">
        <v>2376</v>
      </c>
      <c r="O34" t="str">
        <f t="shared" si="2"/>
        <v/>
      </c>
      <c r="P34" t="str">
        <f t="shared" si="3"/>
        <v/>
      </c>
    </row>
    <row r="35" spans="1:17" x14ac:dyDescent="0.25">
      <c r="A35" t="s">
        <v>2111</v>
      </c>
      <c r="B35" t="s">
        <v>2378</v>
      </c>
      <c r="C35" s="102" t="s">
        <v>2379</v>
      </c>
      <c r="D35">
        <v>2005</v>
      </c>
      <c r="E35" s="130">
        <v>0.45</v>
      </c>
      <c r="F35" s="130">
        <v>1</v>
      </c>
      <c r="G35" s="134">
        <f>ROUND(IF(About!$B$2=$A35,INDEX('State GHG Summary'!$C$1:$AH$1,MATCH('State Targets'!D35,'State GHG Summary'!$C$3:$AH$3,0)),0),0)</f>
        <v>0</v>
      </c>
      <c r="H35" t="s">
        <v>2377</v>
      </c>
      <c r="I35" s="132">
        <v>2030</v>
      </c>
      <c r="J35" s="132">
        <f t="shared" si="0"/>
        <v>0</v>
      </c>
      <c r="K35" s="132">
        <f t="shared" si="1"/>
        <v>0</v>
      </c>
      <c r="L35" s="132" t="s">
        <v>2380</v>
      </c>
      <c r="M35" s="132" t="s">
        <v>2305</v>
      </c>
      <c r="N35" s="133">
        <v>2050</v>
      </c>
      <c r="O35">
        <f t="shared" si="2"/>
        <v>0</v>
      </c>
      <c r="P35">
        <f t="shared" si="3"/>
        <v>0</v>
      </c>
      <c r="Q35" s="131" t="s">
        <v>2381</v>
      </c>
    </row>
    <row r="36" spans="1:17" x14ac:dyDescent="0.25">
      <c r="A36" t="s">
        <v>2112</v>
      </c>
      <c r="B36" t="s">
        <v>2382</v>
      </c>
      <c r="C36" s="102" t="s">
        <v>2383</v>
      </c>
      <c r="D36">
        <v>1990</v>
      </c>
      <c r="E36" s="130">
        <v>0.4</v>
      </c>
      <c r="F36" s="130">
        <v>1</v>
      </c>
      <c r="G36" s="134">
        <f>ROUND(IF(About!$B$2=$A36,INDEX('State GHG Summary'!$C$1:$AH$1,MATCH('State Targets'!D36,'State GHG Summary'!$C$3:$AH$3,0)),0),0)</f>
        <v>0</v>
      </c>
      <c r="H36" t="s">
        <v>2286</v>
      </c>
      <c r="I36" s="132">
        <v>2030</v>
      </c>
      <c r="J36" s="132">
        <f t="shared" si="0"/>
        <v>0</v>
      </c>
      <c r="K36" s="132">
        <f t="shared" si="1"/>
        <v>0</v>
      </c>
      <c r="L36" s="132" t="s">
        <v>2384</v>
      </c>
      <c r="M36" s="132" t="s">
        <v>2305</v>
      </c>
      <c r="N36" s="133">
        <v>2050</v>
      </c>
      <c r="O36">
        <f t="shared" si="2"/>
        <v>0</v>
      </c>
      <c r="P36">
        <f t="shared" si="3"/>
        <v>0</v>
      </c>
      <c r="Q36" s="131" t="s">
        <v>2385</v>
      </c>
    </row>
    <row r="37" spans="1:17" x14ac:dyDescent="0.25">
      <c r="A37" t="s">
        <v>2113</v>
      </c>
      <c r="B37" t="s">
        <v>2386</v>
      </c>
      <c r="J37" s="132" t="str">
        <f t="shared" si="0"/>
        <v/>
      </c>
      <c r="K37" s="132" t="str">
        <f t="shared" si="1"/>
        <v/>
      </c>
      <c r="O37" t="str">
        <f t="shared" si="2"/>
        <v/>
      </c>
      <c r="P37" t="str">
        <f t="shared" si="3"/>
        <v/>
      </c>
    </row>
    <row r="38" spans="1:17" x14ac:dyDescent="0.25">
      <c r="A38" t="s">
        <v>2114</v>
      </c>
      <c r="B38" t="s">
        <v>2387</v>
      </c>
      <c r="J38" s="132" t="str">
        <f t="shared" si="0"/>
        <v/>
      </c>
      <c r="K38" s="132" t="str">
        <f t="shared" si="1"/>
        <v/>
      </c>
      <c r="O38" t="str">
        <f t="shared" si="2"/>
        <v/>
      </c>
      <c r="P38" t="str">
        <f t="shared" si="3"/>
        <v/>
      </c>
    </row>
    <row r="39" spans="1:17" x14ac:dyDescent="0.25">
      <c r="A39" t="s">
        <v>2115</v>
      </c>
      <c r="B39" t="s">
        <v>2388</v>
      </c>
      <c r="C39" s="102" t="s">
        <v>2389</v>
      </c>
      <c r="D39">
        <v>1990</v>
      </c>
      <c r="E39" s="130">
        <v>0.45</v>
      </c>
      <c r="F39" s="130">
        <v>0.8</v>
      </c>
      <c r="G39" s="134">
        <f>ROUND(IF(About!$B$2=$A39,INDEX('State GHG Summary'!$C$1:$AH$1,MATCH('State Targets'!D39,'State GHG Summary'!$C$3:$AH$3,0)),0),0)</f>
        <v>0</v>
      </c>
      <c r="H39" t="s">
        <v>2390</v>
      </c>
      <c r="I39" s="132">
        <v>2035</v>
      </c>
      <c r="J39" s="132">
        <f t="shared" si="0"/>
        <v>0</v>
      </c>
      <c r="K39" s="132">
        <f t="shared" si="1"/>
        <v>0</v>
      </c>
      <c r="L39" s="132" t="s">
        <v>2391</v>
      </c>
      <c r="M39" t="s">
        <v>2309</v>
      </c>
      <c r="N39" s="133">
        <v>2050</v>
      </c>
      <c r="O39">
        <f t="shared" si="2"/>
        <v>0</v>
      </c>
      <c r="P39">
        <f t="shared" si="3"/>
        <v>0</v>
      </c>
      <c r="Q39" s="131" t="s">
        <v>2392</v>
      </c>
    </row>
    <row r="40" spans="1:17" x14ac:dyDescent="0.25">
      <c r="A40" t="s">
        <v>2116</v>
      </c>
      <c r="B40" t="s">
        <v>2393</v>
      </c>
      <c r="C40" s="102" t="s">
        <v>2394</v>
      </c>
      <c r="D40">
        <v>2005</v>
      </c>
      <c r="E40" s="130">
        <v>0.26</v>
      </c>
      <c r="F40" s="130">
        <v>0.8</v>
      </c>
      <c r="G40" s="134">
        <f>ROUND(IF(About!$B$2=$A40,INDEX('State GHG Summary'!$C$1:$AH$1,MATCH('State Targets'!D40,'State GHG Summary'!$C$3:$AH$3,0)),0),0)</f>
        <v>0</v>
      </c>
      <c r="H40" t="s">
        <v>2395</v>
      </c>
      <c r="I40" s="132">
        <v>2025</v>
      </c>
      <c r="J40" s="132">
        <f t="shared" si="0"/>
        <v>0</v>
      </c>
      <c r="K40" s="132">
        <f t="shared" si="1"/>
        <v>0</v>
      </c>
      <c r="L40" s="132" t="s">
        <v>2396</v>
      </c>
      <c r="M40" t="s">
        <v>2352</v>
      </c>
      <c r="N40" s="133">
        <v>2050</v>
      </c>
      <c r="O40">
        <f t="shared" si="2"/>
        <v>0</v>
      </c>
      <c r="P40">
        <f t="shared" si="3"/>
        <v>0</v>
      </c>
      <c r="Q40" s="131" t="s">
        <v>2397</v>
      </c>
    </row>
    <row r="41" spans="1:17" x14ac:dyDescent="0.25">
      <c r="A41" t="s">
        <v>2117</v>
      </c>
      <c r="B41" t="s">
        <v>2398</v>
      </c>
      <c r="C41" s="102" t="s">
        <v>2399</v>
      </c>
      <c r="D41">
        <v>1990</v>
      </c>
      <c r="E41" s="130">
        <v>0.8</v>
      </c>
      <c r="F41" s="130">
        <v>1</v>
      </c>
      <c r="G41" s="134">
        <f>ROUND(IF(About!$B$2=$A41,INDEX('State GHG Summary'!$C$1:$AH$1,MATCH('State Targets'!D41,'State GHG Summary'!$C$3:$AH$3,0)),0),0)</f>
        <v>0</v>
      </c>
      <c r="H41" t="s">
        <v>2400</v>
      </c>
      <c r="I41" s="132">
        <v>2040</v>
      </c>
      <c r="J41" s="132">
        <f t="shared" si="0"/>
        <v>0</v>
      </c>
      <c r="K41" s="132">
        <f t="shared" si="1"/>
        <v>0</v>
      </c>
      <c r="L41" s="132" t="s">
        <v>2401</v>
      </c>
      <c r="M41" s="132" t="s">
        <v>2305</v>
      </c>
      <c r="N41" s="133">
        <v>2050</v>
      </c>
      <c r="O41">
        <f t="shared" si="2"/>
        <v>0</v>
      </c>
      <c r="P41">
        <f t="shared" si="3"/>
        <v>0</v>
      </c>
      <c r="Q41" s="131" t="s">
        <v>2402</v>
      </c>
    </row>
    <row r="42" spans="1:17" x14ac:dyDescent="0.25">
      <c r="A42" t="s">
        <v>2118</v>
      </c>
      <c r="B42" t="s">
        <v>2403</v>
      </c>
      <c r="J42" s="132" t="str">
        <f t="shared" si="0"/>
        <v/>
      </c>
      <c r="K42" s="132" t="str">
        <f t="shared" si="1"/>
        <v/>
      </c>
      <c r="O42" t="str">
        <f t="shared" si="2"/>
        <v/>
      </c>
      <c r="P42" t="str">
        <f t="shared" si="3"/>
        <v/>
      </c>
    </row>
    <row r="43" spans="1:17" x14ac:dyDescent="0.25">
      <c r="A43" t="s">
        <v>2119</v>
      </c>
      <c r="B43" t="s">
        <v>2404</v>
      </c>
      <c r="J43" s="132" t="str">
        <f t="shared" si="0"/>
        <v/>
      </c>
      <c r="K43" s="132" t="str">
        <f t="shared" si="1"/>
        <v/>
      </c>
      <c r="O43" t="str">
        <f t="shared" si="2"/>
        <v/>
      </c>
      <c r="P43" t="str">
        <f t="shared" si="3"/>
        <v/>
      </c>
    </row>
    <row r="44" spans="1:17" x14ac:dyDescent="0.25">
      <c r="A44" t="s">
        <v>2120</v>
      </c>
      <c r="B44" t="s">
        <v>2405</v>
      </c>
      <c r="J44" s="132" t="str">
        <f t="shared" si="0"/>
        <v/>
      </c>
      <c r="K44" s="132" t="str">
        <f t="shared" si="1"/>
        <v/>
      </c>
      <c r="O44" t="str">
        <f t="shared" si="2"/>
        <v/>
      </c>
      <c r="P44" t="str">
        <f t="shared" si="3"/>
        <v/>
      </c>
    </row>
    <row r="45" spans="1:17" x14ac:dyDescent="0.25">
      <c r="A45" t="s">
        <v>2121</v>
      </c>
      <c r="B45" t="s">
        <v>2406</v>
      </c>
      <c r="J45" s="132" t="str">
        <f t="shared" si="0"/>
        <v/>
      </c>
      <c r="K45" s="132" t="str">
        <f t="shared" si="1"/>
        <v/>
      </c>
      <c r="O45" t="str">
        <f t="shared" si="2"/>
        <v/>
      </c>
      <c r="P45" t="str">
        <f t="shared" si="3"/>
        <v/>
      </c>
    </row>
    <row r="46" spans="1:17" x14ac:dyDescent="0.25">
      <c r="A46" t="s">
        <v>2122</v>
      </c>
      <c r="B46" t="s">
        <v>2407</v>
      </c>
      <c r="J46" s="132" t="str">
        <f t="shared" si="0"/>
        <v/>
      </c>
      <c r="K46" s="132" t="str">
        <f t="shared" si="1"/>
        <v/>
      </c>
      <c r="O46" t="str">
        <f t="shared" si="2"/>
        <v/>
      </c>
      <c r="P46" t="str">
        <f t="shared" si="3"/>
        <v/>
      </c>
    </row>
    <row r="47" spans="1:17" x14ac:dyDescent="0.25">
      <c r="A47" t="s">
        <v>2123</v>
      </c>
      <c r="B47" t="s">
        <v>2408</v>
      </c>
      <c r="C47" s="102" t="s">
        <v>2409</v>
      </c>
      <c r="E47" s="130">
        <v>1</v>
      </c>
      <c r="H47" s="132" t="s">
        <v>2335</v>
      </c>
      <c r="I47" s="132">
        <v>2045</v>
      </c>
      <c r="J47" s="132">
        <f t="shared" si="0"/>
        <v>0</v>
      </c>
      <c r="K47" s="132">
        <f t="shared" si="1"/>
        <v>0</v>
      </c>
      <c r="L47" t="s">
        <v>2409</v>
      </c>
      <c r="O47" t="str">
        <f t="shared" si="2"/>
        <v/>
      </c>
      <c r="P47" t="str">
        <f t="shared" si="3"/>
        <v/>
      </c>
    </row>
    <row r="48" spans="1:17" x14ac:dyDescent="0.25">
      <c r="A48" t="s">
        <v>2124</v>
      </c>
      <c r="B48" t="s">
        <v>2410</v>
      </c>
      <c r="C48" s="102" t="s">
        <v>2411</v>
      </c>
      <c r="D48">
        <v>1990</v>
      </c>
      <c r="E48" s="130">
        <v>0.4</v>
      </c>
      <c r="F48" s="130">
        <v>0.8</v>
      </c>
      <c r="G48" s="134">
        <f>ROUND(IF(About!$B$2=$A48,INDEX('State GHG Summary'!$C$1:$AH$1,MATCH('State Targets'!D48,'State GHG Summary'!$C$3:$AH$3,0)),0),0)</f>
        <v>0</v>
      </c>
      <c r="H48" t="s">
        <v>2286</v>
      </c>
      <c r="I48" s="132">
        <v>2030</v>
      </c>
      <c r="J48" s="132">
        <f t="shared" si="0"/>
        <v>0</v>
      </c>
      <c r="K48" s="132">
        <f t="shared" si="1"/>
        <v>0</v>
      </c>
      <c r="L48" s="132" t="s">
        <v>2412</v>
      </c>
      <c r="M48" t="s">
        <v>2309</v>
      </c>
      <c r="N48" s="133">
        <v>2050</v>
      </c>
      <c r="O48">
        <f t="shared" si="2"/>
        <v>0</v>
      </c>
      <c r="P48">
        <f t="shared" si="3"/>
        <v>0</v>
      </c>
      <c r="Q48" s="138" t="s">
        <v>2413</v>
      </c>
    </row>
    <row r="49" spans="1:17" x14ac:dyDescent="0.25">
      <c r="A49" t="s">
        <v>2125</v>
      </c>
      <c r="B49" t="s">
        <v>2414</v>
      </c>
      <c r="C49" s="102" t="s">
        <v>2415</v>
      </c>
      <c r="D49">
        <v>1990</v>
      </c>
      <c r="E49" s="130">
        <v>0.45</v>
      </c>
      <c r="F49" s="130">
        <v>1</v>
      </c>
      <c r="G49" s="134">
        <f>ROUND(IF(About!$B$2=$A49,INDEX('State GHG Summary'!$C$1:$AH$1,MATCH('State Targets'!D49,'State GHG Summary'!$C$3:$AH$3,0)),0),0)</f>
        <v>0</v>
      </c>
      <c r="H49" t="s">
        <v>2339</v>
      </c>
      <c r="I49" s="132">
        <v>2030</v>
      </c>
      <c r="J49" s="132">
        <f t="shared" si="0"/>
        <v>0</v>
      </c>
      <c r="K49" s="132">
        <f t="shared" si="1"/>
        <v>0</v>
      </c>
      <c r="L49" t="s">
        <v>2416</v>
      </c>
      <c r="M49" s="132" t="s">
        <v>2346</v>
      </c>
      <c r="N49" s="133">
        <v>2050</v>
      </c>
      <c r="O49">
        <f t="shared" si="2"/>
        <v>0</v>
      </c>
      <c r="P49">
        <f t="shared" si="3"/>
        <v>0</v>
      </c>
      <c r="Q49" s="131" t="s">
        <v>2417</v>
      </c>
    </row>
    <row r="50" spans="1:17" x14ac:dyDescent="0.25">
      <c r="A50" t="s">
        <v>2126</v>
      </c>
      <c r="B50" t="s">
        <v>2418</v>
      </c>
      <c r="J50" s="132" t="str">
        <f t="shared" si="0"/>
        <v/>
      </c>
      <c r="K50" s="132" t="str">
        <f t="shared" si="1"/>
        <v/>
      </c>
      <c r="O50" t="str">
        <f t="shared" si="2"/>
        <v/>
      </c>
      <c r="P50" t="str">
        <f t="shared" si="3"/>
        <v/>
      </c>
    </row>
    <row r="51" spans="1:17" x14ac:dyDescent="0.25">
      <c r="A51" t="s">
        <v>2127</v>
      </c>
      <c r="B51" t="s">
        <v>2419</v>
      </c>
      <c r="J51" s="132" t="str">
        <f t="shared" si="0"/>
        <v/>
      </c>
      <c r="K51" s="132" t="str">
        <f t="shared" si="1"/>
        <v/>
      </c>
      <c r="O51" t="str">
        <f t="shared" si="2"/>
        <v/>
      </c>
      <c r="P51" t="str">
        <f t="shared" si="3"/>
        <v/>
      </c>
    </row>
    <row r="52" spans="1:17" x14ac:dyDescent="0.25">
      <c r="A52" t="s">
        <v>2128</v>
      </c>
      <c r="B52" t="s">
        <v>2420</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UT</v>
      </c>
      <c r="C1" s="115">
        <f>SUM(C4:C87)</f>
        <v>53.387743691342202</v>
      </c>
      <c r="D1" s="115">
        <f t="shared" ref="D1:AG1" si="0">SUM(D4:D87)</f>
        <v>52.136895825466702</v>
      </c>
      <c r="E1" s="115">
        <f t="shared" si="0"/>
        <v>53.965216630344905</v>
      </c>
      <c r="F1" s="115">
        <f t="shared" si="0"/>
        <v>56.01584901824139</v>
      </c>
      <c r="G1" s="115">
        <f t="shared" si="0"/>
        <v>57.528772865388262</v>
      </c>
      <c r="H1" s="115">
        <f t="shared" si="0"/>
        <v>58.128766824236983</v>
      </c>
      <c r="I1" s="115">
        <f t="shared" si="0"/>
        <v>58.677439371914019</v>
      </c>
      <c r="J1" s="115">
        <f t="shared" si="0"/>
        <v>61.075420874553899</v>
      </c>
      <c r="K1" s="115">
        <f t="shared" si="0"/>
        <v>64.086777176756385</v>
      </c>
      <c r="L1" s="115">
        <f t="shared" si="0"/>
        <v>63.335899883823998</v>
      </c>
      <c r="M1" s="115">
        <f t="shared" si="0"/>
        <v>65.617221668913402</v>
      </c>
      <c r="N1" s="115">
        <f t="shared" si="0"/>
        <v>64.241105727278708</v>
      </c>
      <c r="O1" s="115">
        <f t="shared" si="0"/>
        <v>64.7324359048595</v>
      </c>
      <c r="P1" s="115">
        <f t="shared" si="0"/>
        <v>65.498150646684479</v>
      </c>
      <c r="Q1" s="115">
        <f t="shared" si="0"/>
        <v>67.790907912055005</v>
      </c>
      <c r="R1" s="115">
        <f t="shared" si="0"/>
        <v>69.55268934651906</v>
      </c>
      <c r="S1" s="115">
        <f t="shared" si="0"/>
        <v>70.965466908465984</v>
      </c>
      <c r="T1" s="115">
        <f t="shared" si="0"/>
        <v>72.901819517374562</v>
      </c>
      <c r="U1" s="115">
        <f t="shared" si="0"/>
        <v>72.364213356144049</v>
      </c>
      <c r="V1" s="115">
        <f t="shared" si="0"/>
        <v>67.100347928616614</v>
      </c>
      <c r="W1" s="115">
        <f t="shared" si="0"/>
        <v>66.654759547594509</v>
      </c>
      <c r="X1" s="115">
        <f t="shared" si="0"/>
        <v>67.278773457779678</v>
      </c>
      <c r="Y1" s="115">
        <f t="shared" si="0"/>
        <v>64.866607640053431</v>
      </c>
      <c r="Z1" s="115">
        <f t="shared" si="0"/>
        <v>69.467436547694689</v>
      </c>
      <c r="AA1" s="115">
        <f t="shared" si="0"/>
        <v>68.189190593677381</v>
      </c>
      <c r="AB1" s="115">
        <f t="shared" si="0"/>
        <v>65.836700779664994</v>
      </c>
      <c r="AC1" s="115">
        <f t="shared" si="0"/>
        <v>61.066156658115773</v>
      </c>
      <c r="AD1" s="115">
        <f t="shared" si="0"/>
        <v>61.259748245653405</v>
      </c>
      <c r="AE1" s="115">
        <f t="shared" si="0"/>
        <v>63.254577893135874</v>
      </c>
      <c r="AF1" s="115">
        <f t="shared" si="0"/>
        <v>63.775503498240802</v>
      </c>
      <c r="AG1" s="115">
        <f t="shared" si="0"/>
        <v>59.835671113223647</v>
      </c>
      <c r="AH1" s="115">
        <f>SUM(AH4:AH87)</f>
        <v>64.430943925012784</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29.767066268751801</v>
      </c>
      <c r="D4">
        <f>SUMIFS('EPA Export Aggregation'!G:G,'EPA Export Aggregation'!$A:$A,$B4,'EPA Export Aggregation'!$D:$D,$A$1)*IF($A4="CH4",About!$D$58,IF($A4="N2O",About!$D$59,1))</f>
        <v>28.290753675154701</v>
      </c>
      <c r="E4">
        <f>SUMIFS('EPA Export Aggregation'!H:H,'EPA Export Aggregation'!$A:$A,$B4,'EPA Export Aggregation'!$D:$D,$A$1)*IF($A4="CH4",About!$D$58,IF($A4="N2O",About!$D$59,1))</f>
        <v>30.5013203302865</v>
      </c>
      <c r="F4">
        <f>SUMIFS('EPA Export Aggregation'!I:I,'EPA Export Aggregation'!$A:$A,$B4,'EPA Export Aggregation'!$D:$D,$A$1)*IF($A4="CH4",About!$D$58,IF($A4="N2O",About!$D$59,1))</f>
        <v>31.142962435595098</v>
      </c>
      <c r="G4">
        <f>SUMIFS('EPA Export Aggregation'!J:J,'EPA Export Aggregation'!$A:$A,$B4,'EPA Export Aggregation'!$D:$D,$A$1)*IF($A4="CH4",About!$D$58,IF($A4="N2O",About!$D$59,1))</f>
        <v>32.055742969451302</v>
      </c>
      <c r="H4">
        <f>SUMIFS('EPA Export Aggregation'!K:K,'EPA Export Aggregation'!$A:$A,$B4,'EPA Export Aggregation'!$D:$D,$A$1)*IF($A4="CH4",About!$D$58,IF($A4="N2O",About!$D$59,1))</f>
        <v>30.173607073317498</v>
      </c>
      <c r="I4">
        <f>SUMIFS('EPA Export Aggregation'!L:L,'EPA Export Aggregation'!$A:$A,$B4,'EPA Export Aggregation'!$D:$D,$A$1)*IF($A4="CH4",About!$D$58,IF($A4="N2O",About!$D$59,1))</f>
        <v>30.4614204222935</v>
      </c>
      <c r="J4">
        <f>SUMIFS('EPA Export Aggregation'!M:M,'EPA Export Aggregation'!$A:$A,$B4,'EPA Export Aggregation'!$D:$D,$A$1)*IF($A4="CH4",About!$D$58,IF($A4="N2O",About!$D$59,1))</f>
        <v>31.442039414961801</v>
      </c>
      <c r="K4">
        <f>SUMIFS('EPA Export Aggregation'!N:N,'EPA Export Aggregation'!$A:$A,$B4,'EPA Export Aggregation'!$D:$D,$A$1)*IF($A4="CH4",About!$D$58,IF($A4="N2O",About!$D$59,1))</f>
        <v>32.381571515264604</v>
      </c>
      <c r="L4">
        <f>SUMIFS('EPA Export Aggregation'!O:O,'EPA Export Aggregation'!$A:$A,$B4,'EPA Export Aggregation'!$D:$D,$A$1)*IF($A4="CH4",About!$D$58,IF($A4="N2O",About!$D$59,1))</f>
        <v>33.124256402086601</v>
      </c>
      <c r="M4">
        <f>SUMIFS('EPA Export Aggregation'!P:P,'EPA Export Aggregation'!$A:$A,$B4,'EPA Export Aggregation'!$D:$D,$A$1)*IF($A4="CH4",About!$D$58,IF($A4="N2O",About!$D$59,1))</f>
        <v>33.752509875835202</v>
      </c>
      <c r="N4">
        <f>SUMIFS('EPA Export Aggregation'!Q:Q,'EPA Export Aggregation'!$A:$A,$B4,'EPA Export Aggregation'!$D:$D,$A$1)*IF($A4="CH4",About!$D$58,IF($A4="N2O",About!$D$59,1))</f>
        <v>33.196220728065001</v>
      </c>
      <c r="O4">
        <f>SUMIFS('EPA Export Aggregation'!R:R,'EPA Export Aggregation'!$A:$A,$B4,'EPA Export Aggregation'!$D:$D,$A$1)*IF($A4="CH4",About!$D$58,IF($A4="N2O",About!$D$59,1))</f>
        <v>34.505018708853797</v>
      </c>
      <c r="P4">
        <f>SUMIFS('EPA Export Aggregation'!S:S,'EPA Export Aggregation'!$A:$A,$B4,'EPA Export Aggregation'!$D:$D,$A$1)*IF($A4="CH4",About!$D$58,IF($A4="N2O",About!$D$59,1))</f>
        <v>35.570223404053898</v>
      </c>
      <c r="Q4">
        <f>SUMIFS('EPA Export Aggregation'!T:T,'EPA Export Aggregation'!$A:$A,$B4,'EPA Export Aggregation'!$D:$D,$A$1)*IF($A4="CH4",About!$D$58,IF($A4="N2O",About!$D$59,1))</f>
        <v>35.606004181699902</v>
      </c>
      <c r="R4">
        <f>SUMIFS('EPA Export Aggregation'!U:U,'EPA Export Aggregation'!$A:$A,$B4,'EPA Export Aggregation'!$D:$D,$A$1)*IF($A4="CH4",About!$D$58,IF($A4="N2O",About!$D$59,1))</f>
        <v>36.237082610359401</v>
      </c>
      <c r="S4">
        <f>SUMIFS('EPA Export Aggregation'!V:V,'EPA Export Aggregation'!$A:$A,$B4,'EPA Export Aggregation'!$D:$D,$A$1)*IF($A4="CH4",About!$D$58,IF($A4="N2O",About!$D$59,1))</f>
        <v>36.617248939238401</v>
      </c>
      <c r="T4">
        <f>SUMIFS('EPA Export Aggregation'!W:W,'EPA Export Aggregation'!$A:$A,$B4,'EPA Export Aggregation'!$D:$D,$A$1)*IF($A4="CH4",About!$D$58,IF($A4="N2O",About!$D$59,1))</f>
        <v>38.476768918233503</v>
      </c>
      <c r="U4">
        <f>SUMIFS('EPA Export Aggregation'!X:X,'EPA Export Aggregation'!$A:$A,$B4,'EPA Export Aggregation'!$D:$D,$A$1)*IF($A4="CH4",About!$D$58,IF($A4="N2O",About!$D$59,1))</f>
        <v>39.019559625512102</v>
      </c>
      <c r="V4">
        <f>SUMIFS('EPA Export Aggregation'!Y:Y,'EPA Export Aggregation'!$A:$A,$B4,'EPA Export Aggregation'!$D:$D,$A$1)*IF($A4="CH4",About!$D$58,IF($A4="N2O",About!$D$59,1))</f>
        <v>36.088694835263603</v>
      </c>
      <c r="W4">
        <f>SUMIFS('EPA Export Aggregation'!Z:Z,'EPA Export Aggregation'!$A:$A,$B4,'EPA Export Aggregation'!$D:$D,$A$1)*IF($A4="CH4",About!$D$58,IF($A4="N2O",About!$D$59,1))</f>
        <v>35.1353600832418</v>
      </c>
      <c r="X4">
        <f>SUMIFS('EPA Export Aggregation'!AA:AA,'EPA Export Aggregation'!$A:$A,$B4,'EPA Export Aggregation'!$D:$D,$A$1)*IF($A4="CH4",About!$D$58,IF($A4="N2O",About!$D$59,1))</f>
        <v>33.984899977194701</v>
      </c>
      <c r="Y4">
        <f>SUMIFS('EPA Export Aggregation'!AB:AB,'EPA Export Aggregation'!$A:$A,$B4,'EPA Export Aggregation'!$D:$D,$A$1)*IF($A4="CH4",About!$D$58,IF($A4="N2O",About!$D$59,1))</f>
        <v>32.098452296743197</v>
      </c>
      <c r="Z4">
        <f>SUMIFS('EPA Export Aggregation'!AC:AC,'EPA Export Aggregation'!$A:$A,$B4,'EPA Export Aggregation'!$D:$D,$A$1)*IF($A4="CH4",About!$D$58,IF($A4="N2O",About!$D$59,1))</f>
        <v>35.256458208386597</v>
      </c>
      <c r="AA4">
        <f>SUMIFS('EPA Export Aggregation'!AD:AD,'EPA Export Aggregation'!$A:$A,$B4,'EPA Export Aggregation'!$D:$D,$A$1)*IF($A4="CH4",About!$D$58,IF($A4="N2O",About!$D$59,1))</f>
        <v>34.748021316820498</v>
      </c>
      <c r="AB4">
        <f>SUMIFS('EPA Export Aggregation'!AE:AE,'EPA Export Aggregation'!$A:$A,$B4,'EPA Export Aggregation'!$D:$D,$A$1)*IF($A4="CH4",About!$D$58,IF($A4="N2O",About!$D$59,1))</f>
        <v>33.215329751966401</v>
      </c>
      <c r="AC4">
        <f>SUMIFS('EPA Export Aggregation'!AF:AF,'EPA Export Aggregation'!$A:$A,$B4,'EPA Export Aggregation'!$D:$D,$A$1)*IF($A4="CH4",About!$D$58,IF($A4="N2O",About!$D$59,1))</f>
        <v>27.7420022089924</v>
      </c>
      <c r="AD4">
        <f>SUMIFS('EPA Export Aggregation'!AG:AG,'EPA Export Aggregation'!$A:$A,$B4,'EPA Export Aggregation'!$D:$D,$A$1)*IF($A4="CH4",About!$D$58,IF($A4="N2O",About!$D$59,1))</f>
        <v>27.491547875477099</v>
      </c>
      <c r="AE4">
        <f>SUMIFS('EPA Export Aggregation'!AH:AH,'EPA Export Aggregation'!$A:$A,$B4,'EPA Export Aggregation'!$D:$D,$A$1)*IF($A4="CH4",About!$D$58,IF($A4="N2O",About!$D$59,1))</f>
        <v>28.665533426961701</v>
      </c>
      <c r="AF4">
        <f>SUMIFS('EPA Export Aggregation'!AI:AI,'EPA Export Aggregation'!$A:$A,$B4,'EPA Export Aggregation'!$D:$D,$A$1)*IF($A4="CH4",About!$D$58,IF($A4="N2O",About!$D$59,1))</f>
        <v>28.443062009933001</v>
      </c>
      <c r="AG4">
        <f>SUMIFS('EPA Export Aggregation'!AJ:AJ,'EPA Export Aggregation'!$A:$A,$B4,'EPA Export Aggregation'!$D:$D,$A$1)*IF($A4="CH4",About!$D$58,IF($A4="N2O",About!$D$59,1))</f>
        <v>26.445000680577198</v>
      </c>
      <c r="AH4">
        <f>SUMIFS('EPA Export Aggregation'!AK:AK,'EPA Export Aggregation'!$A:$A,$B4,'EPA Export Aggregation'!$D:$D,$A$1)*IF($A4="CH4",About!$D$58,IF($A4="N2O",About!$D$59,1))</f>
        <v>29.941960620114301</v>
      </c>
    </row>
    <row r="5" spans="1:34" x14ac:dyDescent="0.25">
      <c r="A5" s="119" t="s">
        <v>479</v>
      </c>
      <c r="B5" s="120" t="s">
        <v>1957</v>
      </c>
      <c r="C5">
        <f>SUMIFS('EPA Export Aggregation'!F:F,'EPA Export Aggregation'!$A:$A,$B5,'EPA Export Aggregation'!$D:$D,$A$1)*IF($A5="CH4",About!$D$58,IF($A5="N2O",About!$D$59,1))</f>
        <v>10.334232305584701</v>
      </c>
      <c r="D5">
        <f>SUMIFS('EPA Export Aggregation'!G:G,'EPA Export Aggregation'!$A:$A,$B5,'EPA Export Aggregation'!$D:$D,$A$1)*IF($A5="CH4",About!$D$58,IF($A5="N2O",About!$D$59,1))</f>
        <v>10.495572726474199</v>
      </c>
      <c r="E5">
        <f>SUMIFS('EPA Export Aggregation'!H:H,'EPA Export Aggregation'!$A:$A,$B5,'EPA Export Aggregation'!$D:$D,$A$1)*IF($A5="CH4",About!$D$58,IF($A5="N2O",About!$D$59,1))</f>
        <v>10.8349953516599</v>
      </c>
      <c r="F5">
        <f>SUMIFS('EPA Export Aggregation'!I:I,'EPA Export Aggregation'!$A:$A,$B5,'EPA Export Aggregation'!$D:$D,$A$1)*IF($A5="CH4",About!$D$58,IF($A5="N2O",About!$D$59,1))</f>
        <v>11.165965586155099</v>
      </c>
      <c r="G5">
        <f>SUMIFS('EPA Export Aggregation'!J:J,'EPA Export Aggregation'!$A:$A,$B5,'EPA Export Aggregation'!$D:$D,$A$1)*IF($A5="CH4",About!$D$58,IF($A5="N2O",About!$D$59,1))</f>
        <v>11.5308361952479</v>
      </c>
      <c r="H5">
        <f>SUMIFS('EPA Export Aggregation'!K:K,'EPA Export Aggregation'!$A:$A,$B5,'EPA Export Aggregation'!$D:$D,$A$1)*IF($A5="CH4",About!$D$58,IF($A5="N2O",About!$D$59,1))</f>
        <v>12.6545267285712</v>
      </c>
      <c r="I5">
        <f>SUMIFS('EPA Export Aggregation'!L:L,'EPA Export Aggregation'!$A:$A,$B5,'EPA Export Aggregation'!$D:$D,$A$1)*IF($A5="CH4",About!$D$58,IF($A5="N2O",About!$D$59,1))</f>
        <v>13.1359562976092</v>
      </c>
      <c r="J5">
        <f>SUMIFS('EPA Export Aggregation'!M:M,'EPA Export Aggregation'!$A:$A,$B5,'EPA Export Aggregation'!$D:$D,$A$1)*IF($A5="CH4",About!$D$58,IF($A5="N2O",About!$D$59,1))</f>
        <v>13.746011344423</v>
      </c>
      <c r="K5">
        <f>SUMIFS('EPA Export Aggregation'!N:N,'EPA Export Aggregation'!$A:$A,$B5,'EPA Export Aggregation'!$D:$D,$A$1)*IF($A5="CH4",About!$D$58,IF($A5="N2O",About!$D$59,1))</f>
        <v>14.2358456344092</v>
      </c>
      <c r="L5">
        <f>SUMIFS('EPA Export Aggregation'!O:O,'EPA Export Aggregation'!$A:$A,$B5,'EPA Export Aggregation'!$D:$D,$A$1)*IF($A5="CH4",About!$D$58,IF($A5="N2O",About!$D$59,1))</f>
        <v>14.697287634374799</v>
      </c>
      <c r="M5">
        <f>SUMIFS('EPA Export Aggregation'!P:P,'EPA Export Aggregation'!$A:$A,$B5,'EPA Export Aggregation'!$D:$D,$A$1)*IF($A5="CH4",About!$D$58,IF($A5="N2O",About!$D$59,1))</f>
        <v>15.439526065351799</v>
      </c>
      <c r="N5">
        <f>SUMIFS('EPA Export Aggregation'!Q:Q,'EPA Export Aggregation'!$A:$A,$B5,'EPA Export Aggregation'!$D:$D,$A$1)*IF($A5="CH4",About!$D$58,IF($A5="N2O",About!$D$59,1))</f>
        <v>14.762481328595699</v>
      </c>
      <c r="O5">
        <f>SUMIFS('EPA Export Aggregation'!R:R,'EPA Export Aggregation'!$A:$A,$B5,'EPA Export Aggregation'!$D:$D,$A$1)*IF($A5="CH4",About!$D$58,IF($A5="N2O",About!$D$59,1))</f>
        <v>15.274888085945401</v>
      </c>
      <c r="P5">
        <f>SUMIFS('EPA Export Aggregation'!S:S,'EPA Export Aggregation'!$A:$A,$B5,'EPA Export Aggregation'!$D:$D,$A$1)*IF($A5="CH4",About!$D$58,IF($A5="N2O",About!$D$59,1))</f>
        <v>15.5843248307481</v>
      </c>
      <c r="Q5">
        <f>SUMIFS('EPA Export Aggregation'!T:T,'EPA Export Aggregation'!$A:$A,$B5,'EPA Export Aggregation'!$D:$D,$A$1)*IF($A5="CH4",About!$D$58,IF($A5="N2O",About!$D$59,1))</f>
        <v>15.884503556939899</v>
      </c>
      <c r="R5">
        <f>SUMIFS('EPA Export Aggregation'!U:U,'EPA Export Aggregation'!$A:$A,$B5,'EPA Export Aggregation'!$D:$D,$A$1)*IF($A5="CH4",About!$D$58,IF($A5="N2O",About!$D$59,1))</f>
        <v>16.070474403762098</v>
      </c>
      <c r="S5">
        <f>SUMIFS('EPA Export Aggregation'!V:V,'EPA Export Aggregation'!$A:$A,$B5,'EPA Export Aggregation'!$D:$D,$A$1)*IF($A5="CH4",About!$D$58,IF($A5="N2O",About!$D$59,1))</f>
        <v>17.625036903874101</v>
      </c>
      <c r="T5">
        <f>SUMIFS('EPA Export Aggregation'!W:W,'EPA Export Aggregation'!$A:$A,$B5,'EPA Export Aggregation'!$D:$D,$A$1)*IF($A5="CH4",About!$D$58,IF($A5="N2O",About!$D$59,1))</f>
        <v>17.476583608871199</v>
      </c>
      <c r="U5">
        <f>SUMIFS('EPA Export Aggregation'!X:X,'EPA Export Aggregation'!$A:$A,$B5,'EPA Export Aggregation'!$D:$D,$A$1)*IF($A5="CH4",About!$D$58,IF($A5="N2O",About!$D$59,1))</f>
        <v>16.361143009988901</v>
      </c>
      <c r="V5">
        <f>SUMIFS('EPA Export Aggregation'!Y:Y,'EPA Export Aggregation'!$A:$A,$B5,'EPA Export Aggregation'!$D:$D,$A$1)*IF($A5="CH4",About!$D$58,IF($A5="N2O",About!$D$59,1))</f>
        <v>15.4574236586095</v>
      </c>
      <c r="W5">
        <f>SUMIFS('EPA Export Aggregation'!Z:Z,'EPA Export Aggregation'!$A:$A,$B5,'EPA Export Aggregation'!$D:$D,$A$1)*IF($A5="CH4",About!$D$58,IF($A5="N2O",About!$D$59,1))</f>
        <v>14.975790804789201</v>
      </c>
      <c r="X5">
        <f>SUMIFS('EPA Export Aggregation'!AA:AA,'EPA Export Aggregation'!$A:$A,$B5,'EPA Export Aggregation'!$D:$D,$A$1)*IF($A5="CH4",About!$D$58,IF($A5="N2O",About!$D$59,1))</f>
        <v>16.029401137701001</v>
      </c>
      <c r="Y5">
        <f>SUMIFS('EPA Export Aggregation'!AB:AB,'EPA Export Aggregation'!$A:$A,$B5,'EPA Export Aggregation'!$D:$D,$A$1)*IF($A5="CH4",About!$D$58,IF($A5="N2O",About!$D$59,1))</f>
        <v>15.693767728079299</v>
      </c>
      <c r="Z5">
        <f>SUMIFS('EPA Export Aggregation'!AC:AC,'EPA Export Aggregation'!$A:$A,$B5,'EPA Export Aggregation'!$D:$D,$A$1)*IF($A5="CH4",About!$D$58,IF($A5="N2O",About!$D$59,1))</f>
        <v>15.752654087135101</v>
      </c>
      <c r="AA5">
        <f>SUMIFS('EPA Export Aggregation'!AD:AD,'EPA Export Aggregation'!$A:$A,$B5,'EPA Export Aggregation'!$D:$D,$A$1)*IF($A5="CH4",About!$D$58,IF($A5="N2O",About!$D$59,1))</f>
        <v>16.0244436577484</v>
      </c>
      <c r="AB5">
        <f>SUMIFS('EPA Export Aggregation'!AE:AE,'EPA Export Aggregation'!$A:$A,$B5,'EPA Export Aggregation'!$D:$D,$A$1)*IF($A5="CH4",About!$D$58,IF($A5="N2O",About!$D$59,1))</f>
        <v>15.982021135260799</v>
      </c>
      <c r="AC5">
        <f>SUMIFS('EPA Export Aggregation'!AF:AF,'EPA Export Aggregation'!$A:$A,$B5,'EPA Export Aggregation'!$D:$D,$A$1)*IF($A5="CH4",About!$D$58,IF($A5="N2O",About!$D$59,1))</f>
        <v>16.769634770825</v>
      </c>
      <c r="AD5">
        <f>SUMIFS('EPA Export Aggregation'!AG:AG,'EPA Export Aggregation'!$A:$A,$B5,'EPA Export Aggregation'!$D:$D,$A$1)*IF($A5="CH4",About!$D$58,IF($A5="N2O",About!$D$59,1))</f>
        <v>17.144998021089702</v>
      </c>
      <c r="AE5">
        <f>SUMIFS('EPA Export Aggregation'!AH:AH,'EPA Export Aggregation'!$A:$A,$B5,'EPA Export Aggregation'!$D:$D,$A$1)*IF($A5="CH4",About!$D$58,IF($A5="N2O",About!$D$59,1))</f>
        <v>17.9361755142627</v>
      </c>
      <c r="AF5">
        <f>SUMIFS('EPA Export Aggregation'!AI:AI,'EPA Export Aggregation'!$A:$A,$B5,'EPA Export Aggregation'!$D:$D,$A$1)*IF($A5="CH4",About!$D$58,IF($A5="N2O",About!$D$59,1))</f>
        <v>17.703802764944001</v>
      </c>
      <c r="AG5">
        <f>SUMIFS('EPA Export Aggregation'!AJ:AJ,'EPA Export Aggregation'!$A:$A,$B5,'EPA Export Aggregation'!$D:$D,$A$1)*IF($A5="CH4",About!$D$58,IF($A5="N2O",About!$D$59,1))</f>
        <v>16.841882421743001</v>
      </c>
      <c r="AH5">
        <f>SUMIFS('EPA Export Aggregation'!AK:AK,'EPA Export Aggregation'!$A:$A,$B5,'EPA Export Aggregation'!$D:$D,$A$1)*IF($A5="CH4",About!$D$58,IF($A5="N2O",About!$D$59,1))</f>
        <v>18.019897262080999</v>
      </c>
    </row>
    <row r="6" spans="1:34" x14ac:dyDescent="0.25">
      <c r="A6" s="119" t="s">
        <v>479</v>
      </c>
      <c r="B6" s="120" t="s">
        <v>1958</v>
      </c>
      <c r="C6">
        <f>SUMIFS('EPA Export Aggregation'!F:F,'EPA Export Aggregation'!$A:$A,$B6,'EPA Export Aggregation'!$D:$D,$A$1)*IF($A6="CH4",About!$D$58,IF($A6="N2O",About!$D$59,1))</f>
        <v>6.5660605783832002</v>
      </c>
      <c r="D6">
        <f>SUMIFS('EPA Export Aggregation'!G:G,'EPA Export Aggregation'!$A:$A,$B6,'EPA Export Aggregation'!$D:$D,$A$1)*IF($A6="CH4",About!$D$58,IF($A6="N2O",About!$D$59,1))</f>
        <v>6.0653906994647997</v>
      </c>
      <c r="E6">
        <f>SUMIFS('EPA Export Aggregation'!H:H,'EPA Export Aggregation'!$A:$A,$B6,'EPA Export Aggregation'!$D:$D,$A$1)*IF($A6="CH4",About!$D$58,IF($A6="N2O",About!$D$59,1))</f>
        <v>6.0414851804984</v>
      </c>
      <c r="F6">
        <f>SUMIFS('EPA Export Aggregation'!I:I,'EPA Export Aggregation'!$A:$A,$B6,'EPA Export Aggregation'!$D:$D,$A$1)*IF($A6="CH4",About!$D$58,IF($A6="N2O",About!$D$59,1))</f>
        <v>6.5604585143002003</v>
      </c>
      <c r="G6">
        <f>SUMIFS('EPA Export Aggregation'!J:J,'EPA Export Aggregation'!$A:$A,$B6,'EPA Export Aggregation'!$D:$D,$A$1)*IF($A6="CH4",About!$D$58,IF($A6="N2O",About!$D$59,1))</f>
        <v>6.5153136726721996</v>
      </c>
      <c r="H6">
        <f>SUMIFS('EPA Export Aggregation'!K:K,'EPA Export Aggregation'!$A:$A,$B6,'EPA Export Aggregation'!$D:$D,$A$1)*IF($A6="CH4",About!$D$58,IF($A6="N2O",About!$D$59,1))</f>
        <v>7.7004867336442997</v>
      </c>
      <c r="I6">
        <f>SUMIFS('EPA Export Aggregation'!L:L,'EPA Export Aggregation'!$A:$A,$B6,'EPA Export Aggregation'!$D:$D,$A$1)*IF($A6="CH4",About!$D$58,IF($A6="N2O",About!$D$59,1))</f>
        <v>6.9199879510848996</v>
      </c>
      <c r="J6">
        <f>SUMIFS('EPA Export Aggregation'!M:M,'EPA Export Aggregation'!$A:$A,$B6,'EPA Export Aggregation'!$D:$D,$A$1)*IF($A6="CH4",About!$D$58,IF($A6="N2O",About!$D$59,1))</f>
        <v>7.3490694773928</v>
      </c>
      <c r="K6">
        <f>SUMIFS('EPA Export Aggregation'!N:N,'EPA Export Aggregation'!$A:$A,$B6,'EPA Export Aggregation'!$D:$D,$A$1)*IF($A6="CH4",About!$D$58,IF($A6="N2O",About!$D$59,1))</f>
        <v>9.0243661198754008</v>
      </c>
      <c r="L6">
        <f>SUMIFS('EPA Export Aggregation'!O:O,'EPA Export Aggregation'!$A:$A,$B6,'EPA Export Aggregation'!$D:$D,$A$1)*IF($A6="CH4",About!$D$58,IF($A6="N2O",About!$D$59,1))</f>
        <v>7.0382174430416002</v>
      </c>
      <c r="M6">
        <f>SUMIFS('EPA Export Aggregation'!P:P,'EPA Export Aggregation'!$A:$A,$B6,'EPA Export Aggregation'!$D:$D,$A$1)*IF($A6="CH4",About!$D$58,IF($A6="N2O",About!$D$59,1))</f>
        <v>7.9362358501542003</v>
      </c>
      <c r="N6">
        <f>SUMIFS('EPA Export Aggregation'!Q:Q,'EPA Export Aggregation'!$A:$A,$B6,'EPA Export Aggregation'!$D:$D,$A$1)*IF($A6="CH4",About!$D$58,IF($A6="N2O",About!$D$59,1))</f>
        <v>7.9224978971400004</v>
      </c>
      <c r="O6">
        <f>SUMIFS('EPA Export Aggregation'!R:R,'EPA Export Aggregation'!$A:$A,$B6,'EPA Export Aggregation'!$D:$D,$A$1)*IF($A6="CH4",About!$D$58,IF($A6="N2O",About!$D$59,1))</f>
        <v>6.2590088484019999</v>
      </c>
      <c r="P6">
        <f>SUMIFS('EPA Export Aggregation'!S:S,'EPA Export Aggregation'!$A:$A,$B6,'EPA Export Aggregation'!$D:$D,$A$1)*IF($A6="CH4",About!$D$58,IF($A6="N2O",About!$D$59,1))</f>
        <v>6.5586378497349003</v>
      </c>
      <c r="Q6">
        <f>SUMIFS('EPA Export Aggregation'!T:T,'EPA Export Aggregation'!$A:$A,$B6,'EPA Export Aggregation'!$D:$D,$A$1)*IF($A6="CH4",About!$D$58,IF($A6="N2O",About!$D$59,1))</f>
        <v>7.772092285466</v>
      </c>
      <c r="R6">
        <f>SUMIFS('EPA Export Aggregation'!U:U,'EPA Export Aggregation'!$A:$A,$B6,'EPA Export Aggregation'!$D:$D,$A$1)*IF($A6="CH4",About!$D$58,IF($A6="N2O",About!$D$59,1))</f>
        <v>8.9053547348694995</v>
      </c>
      <c r="S6">
        <f>SUMIFS('EPA Export Aggregation'!V:V,'EPA Export Aggregation'!$A:$A,$B6,'EPA Export Aggregation'!$D:$D,$A$1)*IF($A6="CH4",About!$D$58,IF($A6="N2O",About!$D$59,1))</f>
        <v>8.1066698741612999</v>
      </c>
      <c r="T6">
        <f>SUMIFS('EPA Export Aggregation'!W:W,'EPA Export Aggregation'!$A:$A,$B6,'EPA Export Aggregation'!$D:$D,$A$1)*IF($A6="CH4",About!$D$58,IF($A6="N2O",About!$D$59,1))</f>
        <v>8.2978557215721995</v>
      </c>
      <c r="U6">
        <f>SUMIFS('EPA Export Aggregation'!X:X,'EPA Export Aggregation'!$A:$A,$B6,'EPA Export Aggregation'!$D:$D,$A$1)*IF($A6="CH4",About!$D$58,IF($A6="N2O",About!$D$59,1))</f>
        <v>7.8078147365864004</v>
      </c>
      <c r="V6">
        <f>SUMIFS('EPA Export Aggregation'!Y:Y,'EPA Export Aggregation'!$A:$A,$B6,'EPA Export Aggregation'!$D:$D,$A$1)*IF($A6="CH4",About!$D$58,IF($A6="N2O",About!$D$59,1))</f>
        <v>6.9039168603594003</v>
      </c>
      <c r="W6">
        <f>SUMIFS('EPA Export Aggregation'!Z:Z,'EPA Export Aggregation'!$A:$A,$B6,'EPA Export Aggregation'!$D:$D,$A$1)*IF($A6="CH4",About!$D$58,IF($A6="N2O",About!$D$59,1))</f>
        <v>7.0977212134403</v>
      </c>
      <c r="X6">
        <f>SUMIFS('EPA Export Aggregation'!AA:AA,'EPA Export Aggregation'!$A:$A,$B6,'EPA Export Aggregation'!$D:$D,$A$1)*IF($A6="CH4",About!$D$58,IF($A6="N2O",About!$D$59,1))</f>
        <v>7.2636750586595999</v>
      </c>
      <c r="Y6">
        <f>SUMIFS('EPA Export Aggregation'!AB:AB,'EPA Export Aggregation'!$A:$A,$B6,'EPA Export Aggregation'!$D:$D,$A$1)*IF($A6="CH4",About!$D$58,IF($A6="N2O",About!$D$59,1))</f>
        <v>7.7137869690339</v>
      </c>
      <c r="Z6">
        <f>SUMIFS('EPA Export Aggregation'!AC:AC,'EPA Export Aggregation'!$A:$A,$B6,'EPA Export Aggregation'!$D:$D,$A$1)*IF($A6="CH4",About!$D$58,IF($A6="N2O",About!$D$59,1))</f>
        <v>8.2211593916302999</v>
      </c>
      <c r="AA6">
        <f>SUMIFS('EPA Export Aggregation'!AD:AD,'EPA Export Aggregation'!$A:$A,$B6,'EPA Export Aggregation'!$D:$D,$A$1)*IF($A6="CH4",About!$D$58,IF($A6="N2O",About!$D$59,1))</f>
        <v>7.8402176470927003</v>
      </c>
      <c r="AB6">
        <f>SUMIFS('EPA Export Aggregation'!AE:AE,'EPA Export Aggregation'!$A:$A,$B6,'EPA Export Aggregation'!$D:$D,$A$1)*IF($A6="CH4",About!$D$58,IF($A6="N2O",About!$D$59,1))</f>
        <v>7.6148986075970004</v>
      </c>
      <c r="AC6">
        <f>SUMIFS('EPA Export Aggregation'!AF:AF,'EPA Export Aggregation'!$A:$A,$B6,'EPA Export Aggregation'!$D:$D,$A$1)*IF($A6="CH4",About!$D$58,IF($A6="N2O",About!$D$59,1))</f>
        <v>7.3355105438788</v>
      </c>
      <c r="AD6">
        <f>SUMIFS('EPA Export Aggregation'!AG:AG,'EPA Export Aggregation'!$A:$A,$B6,'EPA Export Aggregation'!$D:$D,$A$1)*IF($A6="CH4",About!$D$58,IF($A6="N2O",About!$D$59,1))</f>
        <v>7.0638892834717</v>
      </c>
      <c r="AE6">
        <f>SUMIFS('EPA Export Aggregation'!AH:AH,'EPA Export Aggregation'!$A:$A,$B6,'EPA Export Aggregation'!$D:$D,$A$1)*IF($A6="CH4",About!$D$58,IF($A6="N2O",About!$D$59,1))</f>
        <v>6.8571368255094001</v>
      </c>
      <c r="AF6">
        <f>SUMIFS('EPA Export Aggregation'!AI:AI,'EPA Export Aggregation'!$A:$A,$B6,'EPA Export Aggregation'!$D:$D,$A$1)*IF($A6="CH4",About!$D$58,IF($A6="N2O",About!$D$59,1))</f>
        <v>6.8449151346342001</v>
      </c>
      <c r="AG6">
        <f>SUMIFS('EPA Export Aggregation'!AJ:AJ,'EPA Export Aggregation'!$A:$A,$B6,'EPA Export Aggregation'!$D:$D,$A$1)*IF($A6="CH4",About!$D$58,IF($A6="N2O",About!$D$59,1))</f>
        <v>6.3692094646889004</v>
      </c>
      <c r="AH6">
        <f>SUMIFS('EPA Export Aggregation'!AK:AK,'EPA Export Aggregation'!$A:$A,$B6,'EPA Export Aggregation'!$D:$D,$A$1)*IF($A6="CH4",About!$D$58,IF($A6="N2O",About!$D$59,1))</f>
        <v>6.3751857318285996</v>
      </c>
    </row>
    <row r="7" spans="1:34" x14ac:dyDescent="0.25">
      <c r="A7" s="119" t="s">
        <v>479</v>
      </c>
      <c r="B7" s="120" t="s">
        <v>1959</v>
      </c>
      <c r="C7">
        <f>SUMIFS('EPA Export Aggregation'!F:F,'EPA Export Aggregation'!$A:$A,$B7,'EPA Export Aggregation'!$D:$D,$A$1)*IF($A7="CH4",About!$D$58,IF($A7="N2O",About!$D$59,1))</f>
        <v>2.7642358469749002</v>
      </c>
      <c r="D7">
        <f>SUMIFS('EPA Export Aggregation'!G:G,'EPA Export Aggregation'!$A:$A,$B7,'EPA Export Aggregation'!$D:$D,$A$1)*IF($A7="CH4",About!$D$58,IF($A7="N2O",About!$D$59,1))</f>
        <v>3.1437910900895001</v>
      </c>
      <c r="E7">
        <f>SUMIFS('EPA Export Aggregation'!H:H,'EPA Export Aggregation'!$A:$A,$B7,'EPA Export Aggregation'!$D:$D,$A$1)*IF($A7="CH4",About!$D$58,IF($A7="N2O",About!$D$59,1))</f>
        <v>2.7565958110504001</v>
      </c>
      <c r="F7">
        <f>SUMIFS('EPA Export Aggregation'!I:I,'EPA Export Aggregation'!$A:$A,$B7,'EPA Export Aggregation'!$D:$D,$A$1)*IF($A7="CH4",About!$D$58,IF($A7="N2O",About!$D$59,1))</f>
        <v>3.1069374016217002</v>
      </c>
      <c r="G7">
        <f>SUMIFS('EPA Export Aggregation'!J:J,'EPA Export Aggregation'!$A:$A,$B7,'EPA Export Aggregation'!$D:$D,$A$1)*IF($A7="CH4",About!$D$58,IF($A7="N2O",About!$D$59,1))</f>
        <v>2.8841700816097</v>
      </c>
      <c r="H7">
        <f>SUMIFS('EPA Export Aggregation'!K:K,'EPA Export Aggregation'!$A:$A,$B7,'EPA Export Aggregation'!$D:$D,$A$1)*IF($A7="CH4",About!$D$58,IF($A7="N2O",About!$D$59,1))</f>
        <v>2.8555917636834001</v>
      </c>
      <c r="I7">
        <f>SUMIFS('EPA Export Aggregation'!L:L,'EPA Export Aggregation'!$A:$A,$B7,'EPA Export Aggregation'!$D:$D,$A$1)*IF($A7="CH4",About!$D$58,IF($A7="N2O",About!$D$59,1))</f>
        <v>3.1063778413148002</v>
      </c>
      <c r="J7">
        <f>SUMIFS('EPA Export Aggregation'!M:M,'EPA Export Aggregation'!$A:$A,$B7,'EPA Export Aggregation'!$D:$D,$A$1)*IF($A7="CH4",About!$D$58,IF($A7="N2O",About!$D$59,1))</f>
        <v>3.3648746996921002</v>
      </c>
      <c r="K7">
        <f>SUMIFS('EPA Export Aggregation'!N:N,'EPA Export Aggregation'!$A:$A,$B7,'EPA Export Aggregation'!$D:$D,$A$1)*IF($A7="CH4",About!$D$58,IF($A7="N2O",About!$D$59,1))</f>
        <v>3.2362601093369001</v>
      </c>
      <c r="L7">
        <f>SUMIFS('EPA Export Aggregation'!O:O,'EPA Export Aggregation'!$A:$A,$B7,'EPA Export Aggregation'!$D:$D,$A$1)*IF($A7="CH4",About!$D$58,IF($A7="N2O",About!$D$59,1))</f>
        <v>3.2286482660681002</v>
      </c>
      <c r="M7">
        <f>SUMIFS('EPA Export Aggregation'!P:P,'EPA Export Aggregation'!$A:$A,$B7,'EPA Export Aggregation'!$D:$D,$A$1)*IF($A7="CH4",About!$D$58,IF($A7="N2O",About!$D$59,1))</f>
        <v>3.2699144390649</v>
      </c>
      <c r="N7">
        <f>SUMIFS('EPA Export Aggregation'!Q:Q,'EPA Export Aggregation'!$A:$A,$B7,'EPA Export Aggregation'!$D:$D,$A$1)*IF($A7="CH4",About!$D$58,IF($A7="N2O",About!$D$59,1))</f>
        <v>3.3049981253821001</v>
      </c>
      <c r="O7">
        <f>SUMIFS('EPA Export Aggregation'!R:R,'EPA Export Aggregation'!$A:$A,$B7,'EPA Export Aggregation'!$D:$D,$A$1)*IF($A7="CH4",About!$D$58,IF($A7="N2O",About!$D$59,1))</f>
        <v>3.5424425877760002</v>
      </c>
      <c r="P7">
        <f>SUMIFS('EPA Export Aggregation'!S:S,'EPA Export Aggregation'!$A:$A,$B7,'EPA Export Aggregation'!$D:$D,$A$1)*IF($A7="CH4",About!$D$58,IF($A7="N2O",About!$D$59,1))</f>
        <v>3.2329995720243998</v>
      </c>
      <c r="Q7">
        <f>SUMIFS('EPA Export Aggregation'!T:T,'EPA Export Aggregation'!$A:$A,$B7,'EPA Export Aggregation'!$D:$D,$A$1)*IF($A7="CH4",About!$D$58,IF($A7="N2O",About!$D$59,1))</f>
        <v>3.5821512721665001</v>
      </c>
      <c r="R7">
        <f>SUMIFS('EPA Export Aggregation'!U:U,'EPA Export Aggregation'!$A:$A,$B7,'EPA Export Aggregation'!$D:$D,$A$1)*IF($A7="CH4",About!$D$58,IF($A7="N2O",About!$D$59,1))</f>
        <v>3.4007454084276998</v>
      </c>
      <c r="S7">
        <f>SUMIFS('EPA Export Aggregation'!V:V,'EPA Export Aggregation'!$A:$A,$B7,'EPA Export Aggregation'!$D:$D,$A$1)*IF($A7="CH4",About!$D$58,IF($A7="N2O",About!$D$59,1))</f>
        <v>3.5496027590965</v>
      </c>
      <c r="T7">
        <f>SUMIFS('EPA Export Aggregation'!W:W,'EPA Export Aggregation'!$A:$A,$B7,'EPA Export Aggregation'!$D:$D,$A$1)*IF($A7="CH4",About!$D$58,IF($A7="N2O",About!$D$59,1))</f>
        <v>3.5514687618537999</v>
      </c>
      <c r="U7">
        <f>SUMIFS('EPA Export Aggregation'!X:X,'EPA Export Aggregation'!$A:$A,$B7,'EPA Export Aggregation'!$D:$D,$A$1)*IF($A7="CH4",About!$D$58,IF($A7="N2O",About!$D$59,1))</f>
        <v>3.8918668367193998</v>
      </c>
      <c r="V7">
        <f>SUMIFS('EPA Export Aggregation'!Y:Y,'EPA Export Aggregation'!$A:$A,$B7,'EPA Export Aggregation'!$D:$D,$A$1)*IF($A7="CH4",About!$D$58,IF($A7="N2O",About!$D$59,1))</f>
        <v>3.7864953196706002</v>
      </c>
      <c r="W7">
        <f>SUMIFS('EPA Export Aggregation'!Z:Z,'EPA Export Aggregation'!$A:$A,$B7,'EPA Export Aggregation'!$D:$D,$A$1)*IF($A7="CH4",About!$D$58,IF($A7="N2O",About!$D$59,1))</f>
        <v>3.7943913763818999</v>
      </c>
      <c r="X7">
        <f>SUMIFS('EPA Export Aggregation'!AA:AA,'EPA Export Aggregation'!$A:$A,$B7,'EPA Export Aggregation'!$D:$D,$A$1)*IF($A7="CH4",About!$D$58,IF($A7="N2O",About!$D$59,1))</f>
        <v>4.0087504615089999</v>
      </c>
      <c r="Y7">
        <f>SUMIFS('EPA Export Aggregation'!AB:AB,'EPA Export Aggregation'!$A:$A,$B7,'EPA Export Aggregation'!$D:$D,$A$1)*IF($A7="CH4",About!$D$58,IF($A7="N2O",About!$D$59,1))</f>
        <v>3.4310161769310001</v>
      </c>
      <c r="Z7">
        <f>SUMIFS('EPA Export Aggregation'!AC:AC,'EPA Export Aggregation'!$A:$A,$B7,'EPA Export Aggregation'!$D:$D,$A$1)*IF($A7="CH4",About!$D$58,IF($A7="N2O",About!$D$59,1))</f>
        <v>4.0636103445045997</v>
      </c>
      <c r="AA7">
        <f>SUMIFS('EPA Export Aggregation'!AD:AD,'EPA Export Aggregation'!$A:$A,$B7,'EPA Export Aggregation'!$D:$D,$A$1)*IF($A7="CH4",About!$D$58,IF($A7="N2O",About!$D$59,1))</f>
        <v>3.5765596271394</v>
      </c>
      <c r="AB7">
        <f>SUMIFS('EPA Export Aggregation'!AE:AE,'EPA Export Aggregation'!$A:$A,$B7,'EPA Export Aggregation'!$D:$D,$A$1)*IF($A7="CH4",About!$D$58,IF($A7="N2O",About!$D$59,1))</f>
        <v>3.3448133197163998</v>
      </c>
      <c r="AC7">
        <f>SUMIFS('EPA Export Aggregation'!AF:AF,'EPA Export Aggregation'!$A:$A,$B7,'EPA Export Aggregation'!$D:$D,$A$1)*IF($A7="CH4",About!$D$58,IF($A7="N2O",About!$D$59,1))</f>
        <v>3.6370513385073</v>
      </c>
      <c r="AD7">
        <f>SUMIFS('EPA Export Aggregation'!AG:AG,'EPA Export Aggregation'!$A:$A,$B7,'EPA Export Aggregation'!$D:$D,$A$1)*IF($A7="CH4",About!$D$58,IF($A7="N2O",About!$D$59,1))</f>
        <v>3.8347881775174999</v>
      </c>
      <c r="AE7">
        <f>SUMIFS('EPA Export Aggregation'!AH:AH,'EPA Export Aggregation'!$A:$A,$B7,'EPA Export Aggregation'!$D:$D,$A$1)*IF($A7="CH4",About!$D$58,IF($A7="N2O",About!$D$59,1))</f>
        <v>3.8783346365372999</v>
      </c>
      <c r="AF7">
        <f>SUMIFS('EPA Export Aggregation'!AI:AI,'EPA Export Aggregation'!$A:$A,$B7,'EPA Export Aggregation'!$D:$D,$A$1)*IF($A7="CH4",About!$D$58,IF($A7="N2O",About!$D$59,1))</f>
        <v>4.3990334958616</v>
      </c>
      <c r="AG7">
        <f>SUMIFS('EPA Export Aggregation'!AJ:AJ,'EPA Export Aggregation'!$A:$A,$B7,'EPA Export Aggregation'!$D:$D,$A$1)*IF($A7="CH4",About!$D$58,IF($A7="N2O",About!$D$59,1))</f>
        <v>4.2032791013372002</v>
      </c>
      <c r="AH7">
        <f>SUMIFS('EPA Export Aggregation'!AK:AK,'EPA Export Aggregation'!$A:$A,$B7,'EPA Export Aggregation'!$D:$D,$A$1)*IF($A7="CH4",About!$D$58,IF($A7="N2O",About!$D$59,1))</f>
        <v>4.0644859178694999</v>
      </c>
    </row>
    <row r="8" spans="1:34" x14ac:dyDescent="0.25">
      <c r="A8" s="119" t="s">
        <v>479</v>
      </c>
      <c r="B8" s="120" t="s">
        <v>1960</v>
      </c>
      <c r="C8">
        <f>SUMIFS('EPA Export Aggregation'!F:F,'EPA Export Aggregation'!$A:$A,$B8,'EPA Export Aggregation'!$D:$D,$A$1)*IF($A8="CH4",About!$D$58,IF($A8="N2O",About!$D$59,1))</f>
        <v>1.7053016466872</v>
      </c>
      <c r="D8">
        <f>SUMIFS('EPA Export Aggregation'!G:G,'EPA Export Aggregation'!$A:$A,$B8,'EPA Export Aggregation'!$D:$D,$A$1)*IF($A8="CH4",About!$D$58,IF($A8="N2O",About!$D$59,1))</f>
        <v>1.9435211747012999</v>
      </c>
      <c r="E8">
        <f>SUMIFS('EPA Export Aggregation'!H:H,'EPA Export Aggregation'!$A:$A,$B8,'EPA Export Aggregation'!$D:$D,$A$1)*IF($A8="CH4",About!$D$58,IF($A8="N2O",About!$D$59,1))</f>
        <v>1.6032260121952999</v>
      </c>
      <c r="F8">
        <f>SUMIFS('EPA Export Aggregation'!I:I,'EPA Export Aggregation'!$A:$A,$B8,'EPA Export Aggregation'!$D:$D,$A$1)*IF($A8="CH4",About!$D$58,IF($A8="N2O",About!$D$59,1))</f>
        <v>1.7057255530796001</v>
      </c>
      <c r="G8">
        <f>SUMIFS('EPA Export Aggregation'!J:J,'EPA Export Aggregation'!$A:$A,$B8,'EPA Export Aggregation'!$D:$D,$A$1)*IF($A8="CH4",About!$D$58,IF($A8="N2O",About!$D$59,1))</f>
        <v>1.9013177389542999</v>
      </c>
      <c r="H8">
        <f>SUMIFS('EPA Export Aggregation'!K:K,'EPA Export Aggregation'!$A:$A,$B8,'EPA Export Aggregation'!$D:$D,$A$1)*IF($A8="CH4",About!$D$58,IF($A8="N2O",About!$D$59,1))</f>
        <v>1.8549235477882</v>
      </c>
      <c r="I8">
        <f>SUMIFS('EPA Export Aggregation'!L:L,'EPA Export Aggregation'!$A:$A,$B8,'EPA Export Aggregation'!$D:$D,$A$1)*IF($A8="CH4",About!$D$58,IF($A8="N2O",About!$D$59,1))</f>
        <v>2.0149496061512</v>
      </c>
      <c r="J8">
        <f>SUMIFS('EPA Export Aggregation'!M:M,'EPA Export Aggregation'!$A:$A,$B8,'EPA Export Aggregation'!$D:$D,$A$1)*IF($A8="CH4",About!$D$58,IF($A8="N2O",About!$D$59,1))</f>
        <v>2.1933342397260001</v>
      </c>
      <c r="K8">
        <f>SUMIFS('EPA Export Aggregation'!N:N,'EPA Export Aggregation'!$A:$A,$B8,'EPA Export Aggregation'!$D:$D,$A$1)*IF($A8="CH4",About!$D$58,IF($A8="N2O",About!$D$59,1))</f>
        <v>2.1588641457179998</v>
      </c>
      <c r="L8">
        <f>SUMIFS('EPA Export Aggregation'!O:O,'EPA Export Aggregation'!$A:$A,$B8,'EPA Export Aggregation'!$D:$D,$A$1)*IF($A8="CH4",About!$D$58,IF($A8="N2O",About!$D$59,1))</f>
        <v>2.1933777157438001</v>
      </c>
      <c r="M8">
        <f>SUMIFS('EPA Export Aggregation'!P:P,'EPA Export Aggregation'!$A:$A,$B8,'EPA Export Aggregation'!$D:$D,$A$1)*IF($A8="CH4",About!$D$58,IF($A8="N2O",About!$D$59,1))</f>
        <v>2.1011227528776999</v>
      </c>
      <c r="N8">
        <f>SUMIFS('EPA Export Aggregation'!Q:Q,'EPA Export Aggregation'!$A:$A,$B8,'EPA Export Aggregation'!$D:$D,$A$1)*IF($A8="CH4",About!$D$58,IF($A8="N2O",About!$D$59,1))</f>
        <v>2.2771351087595999</v>
      </c>
      <c r="O8">
        <f>SUMIFS('EPA Export Aggregation'!R:R,'EPA Export Aggregation'!$A:$A,$B8,'EPA Export Aggregation'!$D:$D,$A$1)*IF($A8="CH4",About!$D$58,IF($A8="N2O",About!$D$59,1))</f>
        <v>2.5869223922809002</v>
      </c>
      <c r="P8">
        <f>SUMIFS('EPA Export Aggregation'!S:S,'EPA Export Aggregation'!$A:$A,$B8,'EPA Export Aggregation'!$D:$D,$A$1)*IF($A8="CH4",About!$D$58,IF($A8="N2O",About!$D$59,1))</f>
        <v>2.1690006320325002</v>
      </c>
      <c r="Q8">
        <f>SUMIFS('EPA Export Aggregation'!T:T,'EPA Export Aggregation'!$A:$A,$B8,'EPA Export Aggregation'!$D:$D,$A$1)*IF($A8="CH4",About!$D$58,IF($A8="N2O",About!$D$59,1))</f>
        <v>2.4561958979471998</v>
      </c>
      <c r="R8">
        <f>SUMIFS('EPA Export Aggregation'!U:U,'EPA Export Aggregation'!$A:$A,$B8,'EPA Export Aggregation'!$D:$D,$A$1)*IF($A8="CH4",About!$D$58,IF($A8="N2O",About!$D$59,1))</f>
        <v>2.3135173112901</v>
      </c>
      <c r="S8">
        <f>SUMIFS('EPA Export Aggregation'!V:V,'EPA Export Aggregation'!$A:$A,$B8,'EPA Export Aggregation'!$D:$D,$A$1)*IF($A8="CH4",About!$D$58,IF($A8="N2O",About!$D$59,1))</f>
        <v>2.2655277521077002</v>
      </c>
      <c r="T8">
        <f>SUMIFS('EPA Export Aggregation'!W:W,'EPA Export Aggregation'!$A:$A,$B8,'EPA Export Aggregation'!$D:$D,$A$1)*IF($A8="CH4",About!$D$58,IF($A8="N2O",About!$D$59,1))</f>
        <v>2.2780304050549001</v>
      </c>
      <c r="U8">
        <f>SUMIFS('EPA Export Aggregation'!X:X,'EPA Export Aggregation'!$A:$A,$B8,'EPA Export Aggregation'!$D:$D,$A$1)*IF($A8="CH4",About!$D$58,IF($A8="N2O",About!$D$59,1))</f>
        <v>2.4117846908609</v>
      </c>
      <c r="V8">
        <f>SUMIFS('EPA Export Aggregation'!Y:Y,'EPA Export Aggregation'!$A:$A,$B8,'EPA Export Aggregation'!$D:$D,$A$1)*IF($A8="CH4",About!$D$58,IF($A8="N2O",About!$D$59,1))</f>
        <v>2.3737599585456999</v>
      </c>
      <c r="W8">
        <f>SUMIFS('EPA Export Aggregation'!Z:Z,'EPA Export Aggregation'!$A:$A,$B8,'EPA Export Aggregation'!$D:$D,$A$1)*IF($A8="CH4",About!$D$58,IF($A8="N2O",About!$D$59,1))</f>
        <v>2.4323255605574001</v>
      </c>
      <c r="X8">
        <f>SUMIFS('EPA Export Aggregation'!AA:AA,'EPA Export Aggregation'!$A:$A,$B8,'EPA Export Aggregation'!$D:$D,$A$1)*IF($A8="CH4",About!$D$58,IF($A8="N2O",About!$D$59,1))</f>
        <v>2.6088056208860002</v>
      </c>
      <c r="Y8">
        <f>SUMIFS('EPA Export Aggregation'!AB:AB,'EPA Export Aggregation'!$A:$A,$B8,'EPA Export Aggregation'!$D:$D,$A$1)*IF($A8="CH4",About!$D$58,IF($A8="N2O",About!$D$59,1))</f>
        <v>2.2994154306729002</v>
      </c>
      <c r="Z8">
        <f>SUMIFS('EPA Export Aggregation'!AC:AC,'EPA Export Aggregation'!$A:$A,$B8,'EPA Export Aggregation'!$D:$D,$A$1)*IF($A8="CH4",About!$D$58,IF($A8="N2O",About!$D$59,1))</f>
        <v>2.6825442804144002</v>
      </c>
      <c r="AA8">
        <f>SUMIFS('EPA Export Aggregation'!AD:AD,'EPA Export Aggregation'!$A:$A,$B8,'EPA Export Aggregation'!$D:$D,$A$1)*IF($A8="CH4",About!$D$58,IF($A8="N2O",About!$D$59,1))</f>
        <v>2.4901458758973001</v>
      </c>
      <c r="AB8">
        <f>SUMIFS('EPA Export Aggregation'!AE:AE,'EPA Export Aggregation'!$A:$A,$B8,'EPA Export Aggregation'!$D:$D,$A$1)*IF($A8="CH4",About!$D$58,IF($A8="N2O",About!$D$59,1))</f>
        <v>2.4179952537223999</v>
      </c>
      <c r="AC8">
        <f>SUMIFS('EPA Export Aggregation'!AF:AF,'EPA Export Aggregation'!$A:$A,$B8,'EPA Export Aggregation'!$D:$D,$A$1)*IF($A8="CH4",About!$D$58,IF($A8="N2O",About!$D$59,1))</f>
        <v>2.5935164664668</v>
      </c>
      <c r="AD8">
        <f>SUMIFS('EPA Export Aggregation'!AG:AG,'EPA Export Aggregation'!$A:$A,$B8,'EPA Export Aggregation'!$D:$D,$A$1)*IF($A8="CH4",About!$D$58,IF($A8="N2O",About!$D$59,1))</f>
        <v>2.6624265513493999</v>
      </c>
      <c r="AE8">
        <f>SUMIFS('EPA Export Aggregation'!AH:AH,'EPA Export Aggregation'!$A:$A,$B8,'EPA Export Aggregation'!$D:$D,$A$1)*IF($A8="CH4",About!$D$58,IF($A8="N2O",About!$D$59,1))</f>
        <v>2.7059661580898</v>
      </c>
      <c r="AF8">
        <f>SUMIFS('EPA Export Aggregation'!AI:AI,'EPA Export Aggregation'!$A:$A,$B8,'EPA Export Aggregation'!$D:$D,$A$1)*IF($A8="CH4",About!$D$58,IF($A8="N2O",About!$D$59,1))</f>
        <v>3.0345691799597998</v>
      </c>
      <c r="AG8">
        <f>SUMIFS('EPA Export Aggregation'!AJ:AJ,'EPA Export Aggregation'!$A:$A,$B8,'EPA Export Aggregation'!$D:$D,$A$1)*IF($A8="CH4",About!$D$58,IF($A8="N2O",About!$D$59,1))</f>
        <v>2.8614561762984998</v>
      </c>
      <c r="AH8">
        <f>SUMIFS('EPA Export Aggregation'!AK:AK,'EPA Export Aggregation'!$A:$A,$B8,'EPA Export Aggregation'!$D:$D,$A$1)*IF($A8="CH4",About!$D$58,IF($A8="N2O",About!$D$59,1))</f>
        <v>2.8959333703880001</v>
      </c>
    </row>
    <row r="9" spans="1:34" x14ac:dyDescent="0.25">
      <c r="A9" s="119" t="s">
        <v>479</v>
      </c>
      <c r="B9" s="120" t="s">
        <v>1961</v>
      </c>
      <c r="C9">
        <f>SUMIFS('EPA Export Aggregation'!F:F,'EPA Export Aggregation'!$A:$A,$B9,'EPA Export Aggregation'!$D:$D,$A$1)*IF($A9="CH4",About!$D$58,IF($A9="N2O",About!$D$59,1))</f>
        <v>0.19335945768070001</v>
      </c>
      <c r="D9">
        <f>SUMIFS('EPA Export Aggregation'!G:G,'EPA Export Aggregation'!$A:$A,$B9,'EPA Export Aggregation'!$D:$D,$A$1)*IF($A9="CH4",About!$D$58,IF($A9="N2O",About!$D$59,1))</f>
        <v>0.15939987605780001</v>
      </c>
      <c r="E9">
        <f>SUMIFS('EPA Export Aggregation'!H:H,'EPA Export Aggregation'!$A:$A,$B9,'EPA Export Aggregation'!$D:$D,$A$1)*IF($A9="CH4",About!$D$58,IF($A9="N2O",About!$D$59,1))</f>
        <v>0.1820807288421</v>
      </c>
      <c r="F9">
        <f>SUMIFS('EPA Export Aggregation'!I:I,'EPA Export Aggregation'!$A:$A,$B9,'EPA Export Aggregation'!$D:$D,$A$1)*IF($A9="CH4",About!$D$58,IF($A9="N2O",About!$D$59,1))</f>
        <v>0.18753398249700001</v>
      </c>
      <c r="G9">
        <f>SUMIFS('EPA Export Aggregation'!J:J,'EPA Export Aggregation'!$A:$A,$B9,'EPA Export Aggregation'!$D:$D,$A$1)*IF($A9="CH4",About!$D$58,IF($A9="N2O",About!$D$59,1))</f>
        <v>0.22435208340980001</v>
      </c>
      <c r="H9">
        <f>SUMIFS('EPA Export Aggregation'!K:K,'EPA Export Aggregation'!$A:$A,$B9,'EPA Export Aggregation'!$D:$D,$A$1)*IF($A9="CH4",About!$D$58,IF($A9="N2O",About!$D$59,1))</f>
        <v>0.34474197744899998</v>
      </c>
      <c r="I9">
        <f>SUMIFS('EPA Export Aggregation'!L:L,'EPA Export Aggregation'!$A:$A,$B9,'EPA Export Aggregation'!$D:$D,$A$1)*IF($A9="CH4",About!$D$58,IF($A9="N2O",About!$D$59,1))</f>
        <v>0.37243331261259999</v>
      </c>
      <c r="J9">
        <f>SUMIFS('EPA Export Aggregation'!M:M,'EPA Export Aggregation'!$A:$A,$B9,'EPA Export Aggregation'!$D:$D,$A$1)*IF($A9="CH4",About!$D$58,IF($A9="N2O",About!$D$59,1))</f>
        <v>0.1503099165989</v>
      </c>
      <c r="K9">
        <f>SUMIFS('EPA Export Aggregation'!N:N,'EPA Export Aggregation'!$A:$A,$B9,'EPA Export Aggregation'!$D:$D,$A$1)*IF($A9="CH4",About!$D$58,IF($A9="N2O",About!$D$59,1))</f>
        <v>0.21646895554689999</v>
      </c>
      <c r="L9">
        <f>SUMIFS('EPA Export Aggregation'!O:O,'EPA Export Aggregation'!$A:$A,$B9,'EPA Export Aggregation'!$D:$D,$A$1)*IF($A9="CH4",About!$D$58,IF($A9="N2O",About!$D$59,1))</f>
        <v>0.33332731564759999</v>
      </c>
      <c r="M9">
        <f>SUMIFS('EPA Export Aggregation'!P:P,'EPA Export Aggregation'!$A:$A,$B9,'EPA Export Aggregation'!$D:$D,$A$1)*IF($A9="CH4",About!$D$58,IF($A9="N2O",About!$D$59,1))</f>
        <v>0.3702087020482</v>
      </c>
      <c r="N9">
        <f>SUMIFS('EPA Export Aggregation'!Q:Q,'EPA Export Aggregation'!$A:$A,$B9,'EPA Export Aggregation'!$D:$D,$A$1)*IF($A9="CH4",About!$D$58,IF($A9="N2O",About!$D$59,1))</f>
        <v>0.27791667159729999</v>
      </c>
      <c r="O9">
        <f>SUMIFS('EPA Export Aggregation'!R:R,'EPA Export Aggregation'!$A:$A,$B9,'EPA Export Aggregation'!$D:$D,$A$1)*IF($A9="CH4",About!$D$58,IF($A9="N2O",About!$D$59,1))</f>
        <v>0.20516195262920001</v>
      </c>
      <c r="P9">
        <f>SUMIFS('EPA Export Aggregation'!S:S,'EPA Export Aggregation'!$A:$A,$B9,'EPA Export Aggregation'!$D:$D,$A$1)*IF($A9="CH4",About!$D$58,IF($A9="N2O",About!$D$59,1))</f>
        <v>0.15940564765910001</v>
      </c>
      <c r="Q9">
        <f>SUMIFS('EPA Export Aggregation'!T:T,'EPA Export Aggregation'!$A:$A,$B9,'EPA Export Aggregation'!$D:$D,$A$1)*IF($A9="CH4",About!$D$58,IF($A9="N2O",About!$D$59,1))</f>
        <v>0.19661754850490001</v>
      </c>
      <c r="R9">
        <f>SUMIFS('EPA Export Aggregation'!U:U,'EPA Export Aggregation'!$A:$A,$B9,'EPA Export Aggregation'!$D:$D,$A$1)*IF($A9="CH4",About!$D$58,IF($A9="N2O",About!$D$59,1))</f>
        <v>0.21079153917099999</v>
      </c>
      <c r="S9">
        <f>SUMIFS('EPA Export Aggregation'!V:V,'EPA Export Aggregation'!$A:$A,$B9,'EPA Export Aggregation'!$D:$D,$A$1)*IF($A9="CH4",About!$D$58,IF($A9="N2O",About!$D$59,1))</f>
        <v>0.22353317082990001</v>
      </c>
      <c r="T9">
        <f>SUMIFS('EPA Export Aggregation'!W:W,'EPA Export Aggregation'!$A:$A,$B9,'EPA Export Aggregation'!$D:$D,$A$1)*IF($A9="CH4",About!$D$58,IF($A9="N2O",About!$D$59,1))</f>
        <v>0.2156083587847</v>
      </c>
      <c r="U9">
        <f>SUMIFS('EPA Export Aggregation'!X:X,'EPA Export Aggregation'!$A:$A,$B9,'EPA Export Aggregation'!$D:$D,$A$1)*IF($A9="CH4",About!$D$58,IF($A9="N2O",About!$D$59,1))</f>
        <v>0.19969656810210001</v>
      </c>
      <c r="V9">
        <f>SUMIFS('EPA Export Aggregation'!Y:Y,'EPA Export Aggregation'!$A:$A,$B9,'EPA Export Aggregation'!$D:$D,$A$1)*IF($A9="CH4",About!$D$58,IF($A9="N2O",About!$D$59,1))</f>
        <v>0.19281874548969999</v>
      </c>
      <c r="W9">
        <f>SUMIFS('EPA Export Aggregation'!Z:Z,'EPA Export Aggregation'!$A:$A,$B9,'EPA Export Aggregation'!$D:$D,$A$1)*IF($A9="CH4",About!$D$58,IF($A9="N2O",About!$D$59,1))</f>
        <v>0.27819110375290002</v>
      </c>
      <c r="X9">
        <f>SUMIFS('EPA Export Aggregation'!AA:AA,'EPA Export Aggregation'!$A:$A,$B9,'EPA Export Aggregation'!$D:$D,$A$1)*IF($A9="CH4",About!$D$58,IF($A9="N2O",About!$D$59,1))</f>
        <v>0.26929389510759999</v>
      </c>
      <c r="Y9">
        <f>SUMIFS('EPA Export Aggregation'!AB:AB,'EPA Export Aggregation'!$A:$A,$B9,'EPA Export Aggregation'!$D:$D,$A$1)*IF($A9="CH4",About!$D$58,IF($A9="N2O",About!$D$59,1))</f>
        <v>0.24028897288539999</v>
      </c>
      <c r="Z9">
        <f>SUMIFS('EPA Export Aggregation'!AC:AC,'EPA Export Aggregation'!$A:$A,$B9,'EPA Export Aggregation'!$D:$D,$A$1)*IF($A9="CH4",About!$D$58,IF($A9="N2O",About!$D$59,1))</f>
        <v>0.25694823474040002</v>
      </c>
      <c r="AA9">
        <f>SUMIFS('EPA Export Aggregation'!AD:AD,'EPA Export Aggregation'!$A:$A,$B9,'EPA Export Aggregation'!$D:$D,$A$1)*IF($A9="CH4",About!$D$58,IF($A9="N2O",About!$D$59,1))</f>
        <v>0.2664132661659</v>
      </c>
      <c r="AB9">
        <f>SUMIFS('EPA Export Aggregation'!AE:AE,'EPA Export Aggregation'!$A:$A,$B9,'EPA Export Aggregation'!$D:$D,$A$1)*IF($A9="CH4",About!$D$58,IF($A9="N2O",About!$D$59,1))</f>
        <v>0.26528930092379999</v>
      </c>
      <c r="AC9">
        <f>SUMIFS('EPA Export Aggregation'!AF:AF,'EPA Export Aggregation'!$A:$A,$B9,'EPA Export Aggregation'!$D:$D,$A$1)*IF($A9="CH4",About!$D$58,IF($A9="N2O",About!$D$59,1))</f>
        <v>0.26418507096010002</v>
      </c>
      <c r="AD9">
        <f>SUMIFS('EPA Export Aggregation'!AG:AG,'EPA Export Aggregation'!$A:$A,$B9,'EPA Export Aggregation'!$D:$D,$A$1)*IF($A9="CH4",About!$D$58,IF($A9="N2O",About!$D$59,1))</f>
        <v>0.25479475073140001</v>
      </c>
      <c r="AE9">
        <f>SUMIFS('EPA Export Aggregation'!AH:AH,'EPA Export Aggregation'!$A:$A,$B9,'EPA Export Aggregation'!$D:$D,$A$1)*IF($A9="CH4",About!$D$58,IF($A9="N2O",About!$D$59,1))</f>
        <v>0.26081727309750002</v>
      </c>
      <c r="AF9">
        <f>SUMIFS('EPA Export Aggregation'!AI:AI,'EPA Export Aggregation'!$A:$A,$B9,'EPA Export Aggregation'!$D:$D,$A$1)*IF($A9="CH4",About!$D$58,IF($A9="N2O",About!$D$59,1))</f>
        <v>0.25430759676980003</v>
      </c>
      <c r="AG9">
        <f>SUMIFS('EPA Export Aggregation'!AJ:AJ,'EPA Export Aggregation'!$A:$A,$B9,'EPA Export Aggregation'!$D:$D,$A$1)*IF($A9="CH4",About!$D$58,IF($A9="N2O",About!$D$59,1))</f>
        <v>0.24899860766000001</v>
      </c>
      <c r="AH9">
        <f>SUMIFS('EPA Export Aggregation'!AK:AK,'EPA Export Aggregation'!$A:$A,$B9,'EPA Export Aggregation'!$D:$D,$A$1)*IF($A9="CH4",About!$D$58,IF($A9="N2O",About!$D$59,1))</f>
        <v>0.26706877408610002</v>
      </c>
    </row>
    <row r="10" spans="1:34" x14ac:dyDescent="0.25">
      <c r="A10" s="119" t="s">
        <v>479</v>
      </c>
      <c r="B10" s="120" t="s">
        <v>1962</v>
      </c>
      <c r="C10">
        <f>SUMIFS('EPA Export Aggregation'!F:F,'EPA Export Aggregation'!$A:$A,$B10,'EPA Export Aggregation'!$D:$D,$A$1)*IF($A10="CH4",About!$D$58,IF($A10="N2O",About!$D$59,1))</f>
        <v>0.34846771175579999</v>
      </c>
      <c r="D10">
        <f>SUMIFS('EPA Export Aggregation'!G:G,'EPA Export Aggregation'!$A:$A,$B10,'EPA Export Aggregation'!$D:$D,$A$1)*IF($A10="CH4",About!$D$58,IF($A10="N2O",About!$D$59,1))</f>
        <v>0.34781115916689997</v>
      </c>
      <c r="E10">
        <f>SUMIFS('EPA Export Aggregation'!H:H,'EPA Export Aggregation'!$A:$A,$B10,'EPA Export Aggregation'!$D:$D,$A$1)*IF($A10="CH4",About!$D$58,IF($A10="N2O",About!$D$59,1))</f>
        <v>0.4170204882804</v>
      </c>
      <c r="F10">
        <f>SUMIFS('EPA Export Aggregation'!I:I,'EPA Export Aggregation'!$A:$A,$B10,'EPA Export Aggregation'!$D:$D,$A$1)*IF($A10="CH4",About!$D$58,IF($A10="N2O",About!$D$59,1))</f>
        <v>0.49545260781189998</v>
      </c>
      <c r="G10">
        <f>SUMIFS('EPA Export Aggregation'!J:J,'EPA Export Aggregation'!$A:$A,$B10,'EPA Export Aggregation'!$D:$D,$A$1)*IF($A10="CH4",About!$D$58,IF($A10="N2O",About!$D$59,1))</f>
        <v>0.56226742745580005</v>
      </c>
      <c r="H10">
        <f>SUMIFS('EPA Export Aggregation'!K:K,'EPA Export Aggregation'!$A:$A,$B10,'EPA Export Aggregation'!$D:$D,$A$1)*IF($A10="CH4",About!$D$58,IF($A10="N2O",About!$D$59,1))</f>
        <v>0.45858517936170001</v>
      </c>
      <c r="I10">
        <f>SUMIFS('EPA Export Aggregation'!L:L,'EPA Export Aggregation'!$A:$A,$B10,'EPA Export Aggregation'!$D:$D,$A$1)*IF($A10="CH4",About!$D$58,IF($A10="N2O",About!$D$59,1))</f>
        <v>0.4306257391178</v>
      </c>
      <c r="J10">
        <f>SUMIFS('EPA Export Aggregation'!M:M,'EPA Export Aggregation'!$A:$A,$B10,'EPA Export Aggregation'!$D:$D,$A$1)*IF($A10="CH4",About!$D$58,IF($A10="N2O",About!$D$59,1))</f>
        <v>0.46343640417670001</v>
      </c>
      <c r="K10">
        <f>SUMIFS('EPA Export Aggregation'!N:N,'EPA Export Aggregation'!$A:$A,$B10,'EPA Export Aggregation'!$D:$D,$A$1)*IF($A10="CH4",About!$D$58,IF($A10="N2O",About!$D$59,1))</f>
        <v>0.47814813240780002</v>
      </c>
      <c r="L10">
        <f>SUMIFS('EPA Export Aggregation'!O:O,'EPA Export Aggregation'!$A:$A,$B10,'EPA Export Aggregation'!$D:$D,$A$1)*IF($A10="CH4",About!$D$58,IF($A10="N2O",About!$D$59,1))</f>
        <v>0.42307810780069999</v>
      </c>
      <c r="M10">
        <f>SUMIFS('EPA Export Aggregation'!P:P,'EPA Export Aggregation'!$A:$A,$B10,'EPA Export Aggregation'!$D:$D,$A$1)*IF($A10="CH4",About!$D$58,IF($A10="N2O",About!$D$59,1))</f>
        <v>0.4702978505848</v>
      </c>
      <c r="N10">
        <f>SUMIFS('EPA Export Aggregation'!Q:Q,'EPA Export Aggregation'!$A:$A,$B10,'EPA Export Aggregation'!$D:$D,$A$1)*IF($A10="CH4",About!$D$58,IF($A10="N2O",About!$D$59,1))</f>
        <v>0.48498410153780003</v>
      </c>
      <c r="O10">
        <f>SUMIFS('EPA Export Aggregation'!R:R,'EPA Export Aggregation'!$A:$A,$B10,'EPA Export Aggregation'!$D:$D,$A$1)*IF($A10="CH4",About!$D$58,IF($A10="N2O",About!$D$59,1))</f>
        <v>0.464091765401</v>
      </c>
      <c r="P10">
        <f>SUMIFS('EPA Export Aggregation'!S:S,'EPA Export Aggregation'!$A:$A,$B10,'EPA Export Aggregation'!$D:$D,$A$1)*IF($A10="CH4",About!$D$58,IF($A10="N2O",About!$D$59,1))</f>
        <v>0.43169470097410001</v>
      </c>
      <c r="Q10">
        <f>SUMIFS('EPA Export Aggregation'!T:T,'EPA Export Aggregation'!$A:$A,$B10,'EPA Export Aggregation'!$D:$D,$A$1)*IF($A10="CH4",About!$D$58,IF($A10="N2O",About!$D$59,1))</f>
        <v>0.4473485804133</v>
      </c>
      <c r="R10">
        <f>SUMIFS('EPA Export Aggregation'!U:U,'EPA Export Aggregation'!$A:$A,$B10,'EPA Export Aggregation'!$D:$D,$A$1)*IF($A10="CH4",About!$D$58,IF($A10="N2O",About!$D$59,1))</f>
        <v>0.47638036650030002</v>
      </c>
      <c r="S10">
        <f>SUMIFS('EPA Export Aggregation'!V:V,'EPA Export Aggregation'!$A:$A,$B10,'EPA Export Aggregation'!$D:$D,$A$1)*IF($A10="CH4",About!$D$58,IF($A10="N2O",About!$D$59,1))</f>
        <v>0.53416774141769996</v>
      </c>
      <c r="T10">
        <f>SUMIFS('EPA Export Aggregation'!W:W,'EPA Export Aggregation'!$A:$A,$B10,'EPA Export Aggregation'!$D:$D,$A$1)*IF($A10="CH4",About!$D$58,IF($A10="N2O",About!$D$59,1))</f>
        <v>0.53073763327839996</v>
      </c>
      <c r="U10">
        <f>SUMIFS('EPA Export Aggregation'!X:X,'EPA Export Aggregation'!$A:$A,$B10,'EPA Export Aggregation'!$D:$D,$A$1)*IF($A10="CH4",About!$D$58,IF($A10="N2O",About!$D$59,1))</f>
        <v>0.57604049046119998</v>
      </c>
      <c r="V10">
        <f>SUMIFS('EPA Export Aggregation'!Y:Y,'EPA Export Aggregation'!$A:$A,$B10,'EPA Export Aggregation'!$D:$D,$A$1)*IF($A10="CH4",About!$D$58,IF($A10="N2O",About!$D$59,1))</f>
        <v>0.54611466029290001</v>
      </c>
      <c r="W10">
        <f>SUMIFS('EPA Export Aggregation'!Z:Z,'EPA Export Aggregation'!$A:$A,$B10,'EPA Export Aggregation'!$D:$D,$A$1)*IF($A10="CH4",About!$D$58,IF($A10="N2O",About!$D$59,1))</f>
        <v>0.52744554012919997</v>
      </c>
      <c r="X10">
        <f>SUMIFS('EPA Export Aggregation'!AA:AA,'EPA Export Aggregation'!$A:$A,$B10,'EPA Export Aggregation'!$D:$D,$A$1)*IF($A10="CH4",About!$D$58,IF($A10="N2O",About!$D$59,1))</f>
        <v>0.61653942076580004</v>
      </c>
      <c r="Y10">
        <f>SUMIFS('EPA Export Aggregation'!AB:AB,'EPA Export Aggregation'!$A:$A,$B10,'EPA Export Aggregation'!$D:$D,$A$1)*IF($A10="CH4",About!$D$58,IF($A10="N2O",About!$D$59,1))</f>
        <v>0.60895462063350003</v>
      </c>
      <c r="Z10">
        <f>SUMIFS('EPA Export Aggregation'!AC:AC,'EPA Export Aggregation'!$A:$A,$B10,'EPA Export Aggregation'!$D:$D,$A$1)*IF($A10="CH4",About!$D$58,IF($A10="N2O",About!$D$59,1))</f>
        <v>0.58692887265960003</v>
      </c>
      <c r="AA10">
        <f>SUMIFS('EPA Export Aggregation'!AD:AD,'EPA Export Aggregation'!$A:$A,$B10,'EPA Export Aggregation'!$D:$D,$A$1)*IF($A10="CH4",About!$D$58,IF($A10="N2O",About!$D$59,1))</f>
        <v>0.46814214933920001</v>
      </c>
      <c r="AB10">
        <f>SUMIFS('EPA Export Aggregation'!AE:AE,'EPA Export Aggregation'!$A:$A,$B10,'EPA Export Aggregation'!$D:$D,$A$1)*IF($A10="CH4",About!$D$58,IF($A10="N2O",About!$D$59,1))</f>
        <v>0.38763387922659998</v>
      </c>
      <c r="AC10">
        <f>SUMIFS('EPA Export Aggregation'!AF:AF,'EPA Export Aggregation'!$A:$A,$B10,'EPA Export Aggregation'!$D:$D,$A$1)*IF($A10="CH4",About!$D$58,IF($A10="N2O",About!$D$59,1))</f>
        <v>0.3338496695448</v>
      </c>
      <c r="AD10">
        <f>SUMIFS('EPA Export Aggregation'!AG:AG,'EPA Export Aggregation'!$A:$A,$B10,'EPA Export Aggregation'!$D:$D,$A$1)*IF($A10="CH4",About!$D$58,IF($A10="N2O",About!$D$59,1))</f>
        <v>0.3020593640866</v>
      </c>
      <c r="AE10">
        <f>SUMIFS('EPA Export Aggregation'!AH:AH,'EPA Export Aggregation'!$A:$A,$B10,'EPA Export Aggregation'!$D:$D,$A$1)*IF($A10="CH4",About!$D$58,IF($A10="N2O",About!$D$59,1))</f>
        <v>0.29926529421370002</v>
      </c>
      <c r="AF10">
        <f>SUMIFS('EPA Export Aggregation'!AI:AI,'EPA Export Aggregation'!$A:$A,$B10,'EPA Export Aggregation'!$D:$D,$A$1)*IF($A10="CH4",About!$D$58,IF($A10="N2O",About!$D$59,1))</f>
        <v>0.40267728784950002</v>
      </c>
      <c r="AG10">
        <f>SUMIFS('EPA Export Aggregation'!AJ:AJ,'EPA Export Aggregation'!$A:$A,$B10,'EPA Export Aggregation'!$D:$D,$A$1)*IF($A10="CH4",About!$D$58,IF($A10="N2O",About!$D$59,1))</f>
        <v>0.21598744061770001</v>
      </c>
      <c r="AH10">
        <f>SUMIFS('EPA Export Aggregation'!AK:AK,'EPA Export Aggregation'!$A:$A,$B10,'EPA Export Aggregation'!$D:$D,$A$1)*IF($A10="CH4",About!$D$58,IF($A10="N2O",About!$D$59,1))</f>
        <v>0.20405213228630001</v>
      </c>
    </row>
    <row r="11" spans="1:34" x14ac:dyDescent="0.25">
      <c r="A11" s="119" t="s">
        <v>479</v>
      </c>
      <c r="B11" s="120" t="s">
        <v>1963</v>
      </c>
      <c r="C11">
        <f>SUMIFS('EPA Export Aggregation'!F:F,'EPA Export Aggregation'!$A:$A,$B11,'EPA Export Aggregation'!$D:$D,$A$1)*IF($A11="CH4",About!$D$58,IF($A11="N2O",About!$D$59,1))</f>
        <v>0.27086805443860001</v>
      </c>
      <c r="D11">
        <f>SUMIFS('EPA Export Aggregation'!G:G,'EPA Export Aggregation'!$A:$A,$B11,'EPA Export Aggregation'!$D:$D,$A$1)*IF($A11="CH4",About!$D$58,IF($A11="N2O",About!$D$59,1))</f>
        <v>0.30759518440419997</v>
      </c>
      <c r="E11">
        <f>SUMIFS('EPA Export Aggregation'!H:H,'EPA Export Aggregation'!$A:$A,$B11,'EPA Export Aggregation'!$D:$D,$A$1)*IF($A11="CH4",About!$D$58,IF($A11="N2O",About!$D$59,1))</f>
        <v>0.2707759867349</v>
      </c>
      <c r="F11">
        <f>SUMIFS('EPA Export Aggregation'!I:I,'EPA Export Aggregation'!$A:$A,$B11,'EPA Export Aggregation'!$D:$D,$A$1)*IF($A11="CH4",About!$D$58,IF($A11="N2O",About!$D$59,1))</f>
        <v>0.2524848991832</v>
      </c>
      <c r="G11">
        <f>SUMIFS('EPA Export Aggregation'!J:J,'EPA Export Aggregation'!$A:$A,$B11,'EPA Export Aggregation'!$D:$D,$A$1)*IF($A11="CH4",About!$D$58,IF($A11="N2O",About!$D$59,1))</f>
        <v>0.26913478806180002</v>
      </c>
      <c r="H11">
        <f>SUMIFS('EPA Export Aggregation'!K:K,'EPA Export Aggregation'!$A:$A,$B11,'EPA Export Aggregation'!$D:$D,$A$1)*IF($A11="CH4",About!$D$58,IF($A11="N2O",About!$D$59,1))</f>
        <v>0.27185485417979999</v>
      </c>
      <c r="I11">
        <f>SUMIFS('EPA Export Aggregation'!L:L,'EPA Export Aggregation'!$A:$A,$B11,'EPA Export Aggregation'!$D:$D,$A$1)*IF($A11="CH4",About!$D$58,IF($A11="N2O",About!$D$59,1))</f>
        <v>0.27941754607219998</v>
      </c>
      <c r="J11">
        <f>SUMIFS('EPA Export Aggregation'!M:M,'EPA Export Aggregation'!$A:$A,$B11,'EPA Export Aggregation'!$D:$D,$A$1)*IF($A11="CH4",About!$D$58,IF($A11="N2O",About!$D$59,1))</f>
        <v>0.28954899420469998</v>
      </c>
      <c r="K11">
        <f>SUMIFS('EPA Export Aggregation'!N:N,'EPA Export Aggregation'!$A:$A,$B11,'EPA Export Aggregation'!$D:$D,$A$1)*IF($A11="CH4",About!$D$58,IF($A11="N2O",About!$D$59,1))</f>
        <v>0.32584447177819997</v>
      </c>
      <c r="L11">
        <f>SUMIFS('EPA Export Aggregation'!O:O,'EPA Export Aggregation'!$A:$A,$B11,'EPA Export Aggregation'!$D:$D,$A$1)*IF($A11="CH4",About!$D$58,IF($A11="N2O",About!$D$59,1))</f>
        <v>0.3449479544465</v>
      </c>
      <c r="M11">
        <f>SUMIFS('EPA Export Aggregation'!P:P,'EPA Export Aggregation'!$A:$A,$B11,'EPA Export Aggregation'!$D:$D,$A$1)*IF($A11="CH4",About!$D$58,IF($A11="N2O",About!$D$59,1))</f>
        <v>0.36238240978550001</v>
      </c>
      <c r="N11">
        <f>SUMIFS('EPA Export Aggregation'!Q:Q,'EPA Export Aggregation'!$A:$A,$B11,'EPA Export Aggregation'!$D:$D,$A$1)*IF($A11="CH4",About!$D$58,IF($A11="N2O",About!$D$59,1))</f>
        <v>0.350545833955</v>
      </c>
      <c r="O11">
        <f>SUMIFS('EPA Export Aggregation'!R:R,'EPA Export Aggregation'!$A:$A,$B11,'EPA Export Aggregation'!$D:$D,$A$1)*IF($A11="CH4",About!$D$58,IF($A11="N2O",About!$D$59,1))</f>
        <v>0.34728595699940001</v>
      </c>
      <c r="P11">
        <f>SUMIFS('EPA Export Aggregation'!S:S,'EPA Export Aggregation'!$A:$A,$B11,'EPA Export Aggregation'!$D:$D,$A$1)*IF($A11="CH4",About!$D$58,IF($A11="N2O",About!$D$59,1))</f>
        <v>0.35887945867510002</v>
      </c>
      <c r="Q11">
        <f>SUMIFS('EPA Export Aggregation'!T:T,'EPA Export Aggregation'!$A:$A,$B11,'EPA Export Aggregation'!$D:$D,$A$1)*IF($A11="CH4",About!$D$58,IF($A11="N2O",About!$D$59,1))</f>
        <v>0.36122513609630003</v>
      </c>
      <c r="R11">
        <f>SUMIFS('EPA Export Aggregation'!U:U,'EPA Export Aggregation'!$A:$A,$B11,'EPA Export Aggregation'!$D:$D,$A$1)*IF($A11="CH4",About!$D$58,IF($A11="N2O",About!$D$59,1))</f>
        <v>0.36382644150080001</v>
      </c>
      <c r="S11">
        <f>SUMIFS('EPA Export Aggregation'!V:V,'EPA Export Aggregation'!$A:$A,$B11,'EPA Export Aggregation'!$D:$D,$A$1)*IF($A11="CH4",About!$D$58,IF($A11="N2O",About!$D$59,1))</f>
        <v>0.36427478555539999</v>
      </c>
      <c r="T11">
        <f>SUMIFS('EPA Export Aggregation'!W:W,'EPA Export Aggregation'!$A:$A,$B11,'EPA Export Aggregation'!$D:$D,$A$1)*IF($A11="CH4",About!$D$58,IF($A11="N2O",About!$D$59,1))</f>
        <v>0.3540695957942</v>
      </c>
      <c r="U11">
        <f>SUMIFS('EPA Export Aggregation'!X:X,'EPA Export Aggregation'!$A:$A,$B11,'EPA Export Aggregation'!$D:$D,$A$1)*IF($A11="CH4",About!$D$58,IF($A11="N2O",About!$D$59,1))</f>
        <v>0.33656598866069998</v>
      </c>
      <c r="V11">
        <f>SUMIFS('EPA Export Aggregation'!Y:Y,'EPA Export Aggregation'!$A:$A,$B11,'EPA Export Aggregation'!$D:$D,$A$1)*IF($A11="CH4",About!$D$58,IF($A11="N2O",About!$D$59,1))</f>
        <v>0.1842136300469</v>
      </c>
      <c r="W11">
        <f>SUMIFS('EPA Export Aggregation'!Z:Z,'EPA Export Aggregation'!$A:$A,$B11,'EPA Export Aggregation'!$D:$D,$A$1)*IF($A11="CH4",About!$D$58,IF($A11="N2O",About!$D$59,1))</f>
        <v>0.48609195093070001</v>
      </c>
      <c r="X11">
        <f>SUMIFS('EPA Export Aggregation'!AA:AA,'EPA Export Aggregation'!$A:$A,$B11,'EPA Export Aggregation'!$D:$D,$A$1)*IF($A11="CH4",About!$D$58,IF($A11="N2O",About!$D$59,1))</f>
        <v>0.53880836174610003</v>
      </c>
      <c r="Y11">
        <f>SUMIFS('EPA Export Aggregation'!AB:AB,'EPA Export Aggregation'!$A:$A,$B11,'EPA Export Aggregation'!$D:$D,$A$1)*IF($A11="CH4",About!$D$58,IF($A11="N2O",About!$D$59,1))</f>
        <v>0.57025805574510002</v>
      </c>
      <c r="Z11">
        <f>SUMIFS('EPA Export Aggregation'!AC:AC,'EPA Export Aggregation'!$A:$A,$B11,'EPA Export Aggregation'!$D:$D,$A$1)*IF($A11="CH4",About!$D$58,IF($A11="N2O",About!$D$59,1))</f>
        <v>0.48945384239489997</v>
      </c>
      <c r="AA11">
        <f>SUMIFS('EPA Export Aggregation'!AD:AD,'EPA Export Aggregation'!$A:$A,$B11,'EPA Export Aggregation'!$D:$D,$A$1)*IF($A11="CH4",About!$D$58,IF($A11="N2O",About!$D$59,1))</f>
        <v>0.64032642062120004</v>
      </c>
      <c r="AB11">
        <f>SUMIFS('EPA Export Aggregation'!AE:AE,'EPA Export Aggregation'!$A:$A,$B11,'EPA Export Aggregation'!$D:$D,$A$1)*IF($A11="CH4",About!$D$58,IF($A11="N2O",About!$D$59,1))</f>
        <v>0.695676179693</v>
      </c>
      <c r="AC11">
        <f>SUMIFS('EPA Export Aggregation'!AF:AF,'EPA Export Aggregation'!$A:$A,$B11,'EPA Export Aggregation'!$D:$D,$A$1)*IF($A11="CH4",About!$D$58,IF($A11="N2O",About!$D$59,1))</f>
        <v>0.65340594149340003</v>
      </c>
      <c r="AD11">
        <f>SUMIFS('EPA Export Aggregation'!AG:AG,'EPA Export Aggregation'!$A:$A,$B11,'EPA Export Aggregation'!$D:$D,$A$1)*IF($A11="CH4",About!$D$58,IF($A11="N2O",About!$D$59,1))</f>
        <v>0.77994577985059999</v>
      </c>
      <c r="AE11">
        <f>SUMIFS('EPA Export Aggregation'!AH:AH,'EPA Export Aggregation'!$A:$A,$B11,'EPA Export Aggregation'!$D:$D,$A$1)*IF($A11="CH4",About!$D$58,IF($A11="N2O",About!$D$59,1))</f>
        <v>0.80366944899470005</v>
      </c>
      <c r="AF11">
        <f>SUMIFS('EPA Export Aggregation'!AI:AI,'EPA Export Aggregation'!$A:$A,$B11,'EPA Export Aggregation'!$D:$D,$A$1)*IF($A11="CH4",About!$D$58,IF($A11="N2O",About!$D$59,1))</f>
        <v>0.79782945414780004</v>
      </c>
      <c r="AG11">
        <f>SUMIFS('EPA Export Aggregation'!AJ:AJ,'EPA Export Aggregation'!$A:$A,$B11,'EPA Export Aggregation'!$D:$D,$A$1)*IF($A11="CH4",About!$D$58,IF($A11="N2O",About!$D$59,1))</f>
        <v>0.76956940184309996</v>
      </c>
      <c r="AH11">
        <f>SUMIFS('EPA Export Aggregation'!AK:AK,'EPA Export Aggregation'!$A:$A,$B11,'EPA Export Aggregation'!$D:$D,$A$1)*IF($A11="CH4",About!$D$58,IF($A11="N2O",About!$D$59,1))</f>
        <v>0.78745882888709995</v>
      </c>
    </row>
    <row r="12" spans="1:34" x14ac:dyDescent="0.25">
      <c r="A12" s="119" t="s">
        <v>479</v>
      </c>
      <c r="B12" s="120" t="s">
        <v>1964</v>
      </c>
      <c r="C12">
        <f>SUMIFS('EPA Export Aggregation'!F:F,'EPA Export Aggregation'!$A:$A,$B12,'EPA Export Aggregation'!$D:$D,$A$1)*IF($A12="CH4",About!$D$58,IF($A12="N2O",About!$D$59,1))</f>
        <v>0.31471380470780003</v>
      </c>
      <c r="D12">
        <f>SUMIFS('EPA Export Aggregation'!G:G,'EPA Export Aggregation'!$A:$A,$B12,'EPA Export Aggregation'!$D:$D,$A$1)*IF($A12="CH4",About!$D$58,IF($A12="N2O",About!$D$59,1))</f>
        <v>0.31360155770420001</v>
      </c>
      <c r="E12">
        <f>SUMIFS('EPA Export Aggregation'!H:H,'EPA Export Aggregation'!$A:$A,$B12,'EPA Export Aggregation'!$D:$D,$A$1)*IF($A12="CH4",About!$D$58,IF($A12="N2O",About!$D$59,1))</f>
        <v>0.32473250374969997</v>
      </c>
      <c r="F12">
        <f>SUMIFS('EPA Export Aggregation'!I:I,'EPA Export Aggregation'!$A:$A,$B12,'EPA Export Aggregation'!$D:$D,$A$1)*IF($A12="CH4",About!$D$58,IF($A12="N2O",About!$D$59,1))</f>
        <v>0.33870712119579999</v>
      </c>
      <c r="G12">
        <f>SUMIFS('EPA Export Aggregation'!J:J,'EPA Export Aggregation'!$A:$A,$B12,'EPA Export Aggregation'!$D:$D,$A$1)*IF($A12="CH4",About!$D$58,IF($A12="N2O",About!$D$59,1))</f>
        <v>0.36118910057199999</v>
      </c>
      <c r="H12">
        <f>SUMIFS('EPA Export Aggregation'!K:K,'EPA Export Aggregation'!$A:$A,$B12,'EPA Export Aggregation'!$D:$D,$A$1)*IF($A12="CH4",About!$D$58,IF($A12="N2O",About!$D$59,1))</f>
        <v>0.39162979063230002</v>
      </c>
      <c r="I12">
        <f>SUMIFS('EPA Export Aggregation'!L:L,'EPA Export Aggregation'!$A:$A,$B12,'EPA Export Aggregation'!$D:$D,$A$1)*IF($A12="CH4",About!$D$58,IF($A12="N2O",About!$D$59,1))</f>
        <v>0.40637220289330001</v>
      </c>
      <c r="J12">
        <f>SUMIFS('EPA Export Aggregation'!M:M,'EPA Export Aggregation'!$A:$A,$B12,'EPA Export Aggregation'!$D:$D,$A$1)*IF($A12="CH4",About!$D$58,IF($A12="N2O",About!$D$59,1))</f>
        <v>0.42274949320189997</v>
      </c>
      <c r="K12">
        <f>SUMIFS('EPA Export Aggregation'!N:N,'EPA Export Aggregation'!$A:$A,$B12,'EPA Export Aggregation'!$D:$D,$A$1)*IF($A12="CH4",About!$D$58,IF($A12="N2O",About!$D$59,1))</f>
        <v>0.4280555543888</v>
      </c>
      <c r="L12">
        <f>SUMIFS('EPA Export Aggregation'!O:O,'EPA Export Aggregation'!$A:$A,$B12,'EPA Export Aggregation'!$D:$D,$A$1)*IF($A12="CH4",About!$D$58,IF($A12="N2O",About!$D$59,1))</f>
        <v>0.41515411524169998</v>
      </c>
      <c r="M12">
        <f>SUMIFS('EPA Export Aggregation'!P:P,'EPA Export Aggregation'!$A:$A,$B12,'EPA Export Aggregation'!$D:$D,$A$1)*IF($A12="CH4",About!$D$58,IF($A12="N2O",About!$D$59,1))</f>
        <v>0.41579306224489998</v>
      </c>
      <c r="N12">
        <f>SUMIFS('EPA Export Aggregation'!Q:Q,'EPA Export Aggregation'!$A:$A,$B12,'EPA Export Aggregation'!$D:$D,$A$1)*IF($A12="CH4",About!$D$58,IF($A12="N2O",About!$D$59,1))</f>
        <v>0.41384134412040002</v>
      </c>
      <c r="O12">
        <f>SUMIFS('EPA Export Aggregation'!R:R,'EPA Export Aggregation'!$A:$A,$B12,'EPA Export Aggregation'!$D:$D,$A$1)*IF($A12="CH4",About!$D$58,IF($A12="N2O",About!$D$59,1))</f>
        <v>0.41244419393640003</v>
      </c>
      <c r="P12">
        <f>SUMIFS('EPA Export Aggregation'!S:S,'EPA Export Aggregation'!$A:$A,$B12,'EPA Export Aggregation'!$D:$D,$A$1)*IF($A12="CH4",About!$D$58,IF($A12="N2O",About!$D$59,1))</f>
        <v>0.30004579101250001</v>
      </c>
      <c r="Q12">
        <f>SUMIFS('EPA Export Aggregation'!T:T,'EPA Export Aggregation'!$A:$A,$B12,'EPA Export Aggregation'!$D:$D,$A$1)*IF($A12="CH4",About!$D$58,IF($A12="N2O",About!$D$59,1))</f>
        <v>0.33185051448129999</v>
      </c>
      <c r="R12">
        <f>SUMIFS('EPA Export Aggregation'!U:U,'EPA Export Aggregation'!$A:$A,$B12,'EPA Export Aggregation'!$D:$D,$A$1)*IF($A12="CH4",About!$D$58,IF($A12="N2O",About!$D$59,1))</f>
        <v>0.32071991688509999</v>
      </c>
      <c r="S12">
        <f>SUMIFS('EPA Export Aggregation'!V:V,'EPA Export Aggregation'!$A:$A,$B12,'EPA Export Aggregation'!$D:$D,$A$1)*IF($A12="CH4",About!$D$58,IF($A12="N2O",About!$D$59,1))</f>
        <v>0.34650738060660002</v>
      </c>
      <c r="T12">
        <f>SUMIFS('EPA Export Aggregation'!W:W,'EPA Export Aggregation'!$A:$A,$B12,'EPA Export Aggregation'!$D:$D,$A$1)*IF($A12="CH4",About!$D$58,IF($A12="N2O",About!$D$59,1))</f>
        <v>0.34204874063599999</v>
      </c>
      <c r="U12">
        <f>SUMIFS('EPA Export Aggregation'!X:X,'EPA Export Aggregation'!$A:$A,$B12,'EPA Export Aggregation'!$D:$D,$A$1)*IF($A12="CH4",About!$D$58,IF($A12="N2O",About!$D$59,1))</f>
        <v>0.33290105465999997</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0.42197287166359998</v>
      </c>
      <c r="X12">
        <f>SUMIFS('EPA Export Aggregation'!AA:AA,'EPA Export Aggregation'!$A:$A,$B12,'EPA Export Aggregation'!$D:$D,$A$1)*IF($A12="CH4",About!$D$58,IF($A12="N2O",About!$D$59,1))</f>
        <v>0.49961411035800002</v>
      </c>
      <c r="Y12">
        <f>SUMIFS('EPA Export Aggregation'!AB:AB,'EPA Export Aggregation'!$A:$A,$B12,'EPA Export Aggregation'!$D:$D,$A$1)*IF($A12="CH4",About!$D$58,IF($A12="N2O",About!$D$59,1))</f>
        <v>0.50069495724419999</v>
      </c>
      <c r="Z12">
        <f>SUMIFS('EPA Export Aggregation'!AC:AC,'EPA Export Aggregation'!$A:$A,$B12,'EPA Export Aggregation'!$D:$D,$A$1)*IF($A12="CH4",About!$D$58,IF($A12="N2O",About!$D$59,1))</f>
        <v>0.60929928301269998</v>
      </c>
      <c r="AA12">
        <f>SUMIFS('EPA Export Aggregation'!AD:AD,'EPA Export Aggregation'!$A:$A,$B12,'EPA Export Aggregation'!$D:$D,$A$1)*IF($A12="CH4",About!$D$58,IF($A12="N2O",About!$D$59,1))</f>
        <v>0.51567496381559996</v>
      </c>
      <c r="AB12">
        <f>SUMIFS('EPA Export Aggregation'!AE:AE,'EPA Export Aggregation'!$A:$A,$B12,'EPA Export Aggregation'!$D:$D,$A$1)*IF($A12="CH4",About!$D$58,IF($A12="N2O",About!$D$59,1))</f>
        <v>0.465704808799</v>
      </c>
      <c r="AC12">
        <f>SUMIFS('EPA Export Aggregation'!AF:AF,'EPA Export Aggregation'!$A:$A,$B12,'EPA Export Aggregation'!$D:$D,$A$1)*IF($A12="CH4",About!$D$58,IF($A12="N2O",About!$D$59,1))</f>
        <v>0.39890631700500001</v>
      </c>
      <c r="AD12">
        <f>SUMIFS('EPA Export Aggregation'!AG:AG,'EPA Export Aggregation'!$A:$A,$B12,'EPA Export Aggregation'!$D:$D,$A$1)*IF($A12="CH4",About!$D$58,IF($A12="N2O",About!$D$59,1))</f>
        <v>0.44566481991099999</v>
      </c>
      <c r="AE12">
        <f>SUMIFS('EPA Export Aggregation'!AH:AH,'EPA Export Aggregation'!$A:$A,$B12,'EPA Export Aggregation'!$D:$D,$A$1)*IF($A12="CH4",About!$D$58,IF($A12="N2O",About!$D$59,1))</f>
        <v>0.42465944794010002</v>
      </c>
      <c r="AF12">
        <f>SUMIFS('EPA Export Aggregation'!AI:AI,'EPA Export Aggregation'!$A:$A,$B12,'EPA Export Aggregation'!$D:$D,$A$1)*IF($A12="CH4",About!$D$58,IF($A12="N2O",About!$D$59,1))</f>
        <v>0.44123108584819998</v>
      </c>
      <c r="AG12">
        <f>SUMIFS('EPA Export Aggregation'!AJ:AJ,'EPA Export Aggregation'!$A:$A,$B12,'EPA Export Aggregation'!$D:$D,$A$1)*IF($A12="CH4",About!$D$58,IF($A12="N2O",About!$D$59,1))</f>
        <v>0.3502427378745</v>
      </c>
      <c r="AH12">
        <f>SUMIFS('EPA Export Aggregation'!AK:AK,'EPA Export Aggregation'!$A:$A,$B12,'EPA Export Aggregation'!$D:$D,$A$1)*IF($A12="CH4",About!$D$58,IF($A12="N2O",About!$D$59,1))</f>
        <v>0.34657026795110002</v>
      </c>
    </row>
    <row r="13" spans="1:34" x14ac:dyDescent="0.25">
      <c r="A13" s="119" t="s">
        <v>479</v>
      </c>
      <c r="B13" s="120" t="s">
        <v>1965</v>
      </c>
      <c r="C13">
        <f>SUMIFS('EPA Export Aggregation'!F:F,'EPA Export Aggregation'!$A:$A,$B13,'EPA Export Aggregation'!$D:$D,$A$1)*IF($A13="CH4",About!$D$58,IF($A13="N2O",About!$D$59,1))</f>
        <v>4.2570986222399999E-2</v>
      </c>
      <c r="D13">
        <f>SUMIFS('EPA Export Aggregation'!G:G,'EPA Export Aggregation'!$A:$A,$B13,'EPA Export Aggregation'!$D:$D,$A$1)*IF($A13="CH4",About!$D$58,IF($A13="N2O",About!$D$59,1))</f>
        <v>3.8873190111099999E-2</v>
      </c>
      <c r="E13">
        <f>SUMIFS('EPA Export Aggregation'!H:H,'EPA Export Aggregation'!$A:$A,$B13,'EPA Export Aggregation'!$D:$D,$A$1)*IF($A13="CH4",About!$D$58,IF($A13="N2O",About!$D$59,1))</f>
        <v>3.9173723711099999E-2</v>
      </c>
      <c r="F13">
        <f>SUMIFS('EPA Export Aggregation'!I:I,'EPA Export Aggregation'!$A:$A,$B13,'EPA Export Aggregation'!$D:$D,$A$1)*IF($A13="CH4",About!$D$58,IF($A13="N2O",About!$D$59,1))</f>
        <v>3.7191482249999998E-2</v>
      </c>
      <c r="G13">
        <f>SUMIFS('EPA Export Aggregation'!J:J,'EPA Export Aggregation'!$A:$A,$B13,'EPA Export Aggregation'!$D:$D,$A$1)*IF($A13="CH4",About!$D$58,IF($A13="N2O",About!$D$59,1))</f>
        <v>4.00047335669E-2</v>
      </c>
      <c r="H13">
        <f>SUMIFS('EPA Export Aggregation'!K:K,'EPA Export Aggregation'!$A:$A,$B13,'EPA Export Aggregation'!$D:$D,$A$1)*IF($A13="CH4",About!$D$58,IF($A13="N2O",About!$D$59,1))</f>
        <v>5.4755824342300002E-2</v>
      </c>
      <c r="I13">
        <f>SUMIFS('EPA Export Aggregation'!L:L,'EPA Export Aggregation'!$A:$A,$B13,'EPA Export Aggregation'!$D:$D,$A$1)*IF($A13="CH4",About!$D$58,IF($A13="N2O",About!$D$59,1))</f>
        <v>6.01647901244E-2</v>
      </c>
      <c r="J13">
        <f>SUMIFS('EPA Export Aggregation'!M:M,'EPA Export Aggregation'!$A:$A,$B13,'EPA Export Aggregation'!$D:$D,$A$1)*IF($A13="CH4",About!$D$58,IF($A13="N2O",About!$D$59,1))</f>
        <v>5.8914750703500003E-2</v>
      </c>
      <c r="K13">
        <f>SUMIFS('EPA Export Aggregation'!N:N,'EPA Export Aggregation'!$A:$A,$B13,'EPA Export Aggregation'!$D:$D,$A$1)*IF($A13="CH4",About!$D$58,IF($A13="N2O",About!$D$59,1))</f>
        <v>6.0714817707800003E-2</v>
      </c>
      <c r="L13">
        <f>SUMIFS('EPA Export Aggregation'!O:O,'EPA Export Aggregation'!$A:$A,$B13,'EPA Export Aggregation'!$D:$D,$A$1)*IF($A13="CH4",About!$D$58,IF($A13="N2O",About!$D$59,1))</f>
        <v>6.7190055459199996E-2</v>
      </c>
      <c r="M13">
        <f>SUMIFS('EPA Export Aggregation'!P:P,'EPA Export Aggregation'!$A:$A,$B13,'EPA Export Aggregation'!$D:$D,$A$1)*IF($A13="CH4",About!$D$58,IF($A13="N2O",About!$D$59,1))</f>
        <v>4.5166951508700003E-2</v>
      </c>
      <c r="N13">
        <f>SUMIFS('EPA Export Aggregation'!Q:Q,'EPA Export Aggregation'!$A:$A,$B13,'EPA Export Aggregation'!$D:$D,$A$1)*IF($A13="CH4",About!$D$58,IF($A13="N2O",About!$D$59,1))</f>
        <v>4.7218740326799999E-2</v>
      </c>
      <c r="O13">
        <f>SUMIFS('EPA Export Aggregation'!R:R,'EPA Export Aggregation'!$A:$A,$B13,'EPA Export Aggregation'!$D:$D,$A$1)*IF($A13="CH4",About!$D$58,IF($A13="N2O",About!$D$59,1))</f>
        <v>5.0026575854999998E-2</v>
      </c>
      <c r="P13">
        <f>SUMIFS('EPA Export Aggregation'!S:S,'EPA Export Aggregation'!$A:$A,$B13,'EPA Export Aggregation'!$D:$D,$A$1)*IF($A13="CH4",About!$D$58,IF($A13="N2O",About!$D$59,1))</f>
        <v>3.9033267253399999E-2</v>
      </c>
      <c r="Q13">
        <f>SUMIFS('EPA Export Aggregation'!T:T,'EPA Export Aggregation'!$A:$A,$B13,'EPA Export Aggregation'!$D:$D,$A$1)*IF($A13="CH4",About!$D$58,IF($A13="N2O",About!$D$59,1))</f>
        <v>5.4102582790399999E-2</v>
      </c>
      <c r="R13">
        <f>SUMIFS('EPA Export Aggregation'!U:U,'EPA Export Aggregation'!$A:$A,$B13,'EPA Export Aggregation'!$D:$D,$A$1)*IF($A13="CH4",About!$D$58,IF($A13="N2O",About!$D$59,1))</f>
        <v>6.1163884901799997E-2</v>
      </c>
      <c r="S13">
        <f>SUMIFS('EPA Export Aggregation'!V:V,'EPA Export Aggregation'!$A:$A,$B13,'EPA Export Aggregation'!$D:$D,$A$1)*IF($A13="CH4",About!$D$58,IF($A13="N2O",About!$D$59,1))</f>
        <v>7.1445884081500002E-2</v>
      </c>
      <c r="T13">
        <f>SUMIFS('EPA Export Aggregation'!W:W,'EPA Export Aggregation'!$A:$A,$B13,'EPA Export Aggregation'!$D:$D,$A$1)*IF($A13="CH4",About!$D$58,IF($A13="N2O",About!$D$59,1))</f>
        <v>6.6913547516799995E-2</v>
      </c>
      <c r="U13">
        <f>SUMIFS('EPA Export Aggregation'!X:X,'EPA Export Aggregation'!$A:$A,$B13,'EPA Export Aggregation'!$D:$D,$A$1)*IF($A13="CH4",About!$D$58,IF($A13="N2O",About!$D$59,1))</f>
        <v>5.7894465504700003E-2</v>
      </c>
      <c r="V13">
        <f>SUMIFS('EPA Export Aggregation'!Y:Y,'EPA Export Aggregation'!$A:$A,$B13,'EPA Export Aggregation'!$D:$D,$A$1)*IF($A13="CH4",About!$D$58,IF($A13="N2O",About!$D$59,1))</f>
        <v>7.5791914371600003E-2</v>
      </c>
      <c r="W13">
        <f>SUMIFS('EPA Export Aggregation'!Z:Z,'EPA Export Aggregation'!$A:$A,$B13,'EPA Export Aggregation'!$D:$D,$A$1)*IF($A13="CH4",About!$D$58,IF($A13="N2O",About!$D$59,1))</f>
        <v>9.3993469881999997E-2</v>
      </c>
      <c r="X13">
        <f>SUMIFS('EPA Export Aggregation'!AA:AA,'EPA Export Aggregation'!$A:$A,$B13,'EPA Export Aggregation'!$D:$D,$A$1)*IF($A13="CH4",About!$D$58,IF($A13="N2O",About!$D$59,1))</f>
        <v>8.6684443938799996E-2</v>
      </c>
      <c r="Y13">
        <f>SUMIFS('EPA Export Aggregation'!AB:AB,'EPA Export Aggregation'!$A:$A,$B13,'EPA Export Aggregation'!$D:$D,$A$1)*IF($A13="CH4",About!$D$58,IF($A13="N2O",About!$D$59,1))</f>
        <v>8.0246558634299997E-2</v>
      </c>
      <c r="Z13">
        <f>SUMIFS('EPA Export Aggregation'!AC:AC,'EPA Export Aggregation'!$A:$A,$B13,'EPA Export Aggregation'!$D:$D,$A$1)*IF($A13="CH4",About!$D$58,IF($A13="N2O",About!$D$59,1))</f>
        <v>9.8701156245599997E-2</v>
      </c>
      <c r="AA13">
        <f>SUMIFS('EPA Export Aggregation'!AD:AD,'EPA Export Aggregation'!$A:$A,$B13,'EPA Export Aggregation'!$D:$D,$A$1)*IF($A13="CH4",About!$D$58,IF($A13="N2O",About!$D$59,1))</f>
        <v>0.1147018980601</v>
      </c>
      <c r="AB13">
        <f>SUMIFS('EPA Export Aggregation'!AE:AE,'EPA Export Aggregation'!$A:$A,$B13,'EPA Export Aggregation'!$D:$D,$A$1)*IF($A13="CH4",About!$D$58,IF($A13="N2O",About!$D$59,1))</f>
        <v>0.1116242269773</v>
      </c>
      <c r="AC13">
        <f>SUMIFS('EPA Export Aggregation'!AF:AF,'EPA Export Aggregation'!$A:$A,$B13,'EPA Export Aggregation'!$D:$D,$A$1)*IF($A13="CH4",About!$D$58,IF($A13="N2O",About!$D$59,1))</f>
        <v>0.1007073655475</v>
      </c>
      <c r="AD13">
        <f>SUMIFS('EPA Export Aggregation'!AG:AG,'EPA Export Aggregation'!$A:$A,$B13,'EPA Export Aggregation'!$D:$D,$A$1)*IF($A13="CH4",About!$D$58,IF($A13="N2O",About!$D$59,1))</f>
        <v>9.3144458873899993E-2</v>
      </c>
      <c r="AE13">
        <f>SUMIFS('EPA Export Aggregation'!AH:AH,'EPA Export Aggregation'!$A:$A,$B13,'EPA Export Aggregation'!$D:$D,$A$1)*IF($A13="CH4",About!$D$58,IF($A13="N2O",About!$D$59,1))</f>
        <v>7.0201035459600006E-2</v>
      </c>
      <c r="AF13">
        <f>SUMIFS('EPA Export Aggregation'!AI:AI,'EPA Export Aggregation'!$A:$A,$B13,'EPA Export Aggregation'!$D:$D,$A$1)*IF($A13="CH4",About!$D$58,IF($A13="N2O",About!$D$59,1))</f>
        <v>8.1283384834300004E-2</v>
      </c>
      <c r="AG13">
        <f>SUMIFS('EPA Export Aggregation'!AJ:AJ,'EPA Export Aggregation'!$A:$A,$B13,'EPA Export Aggregation'!$D:$D,$A$1)*IF($A13="CH4",About!$D$58,IF($A13="N2O",About!$D$59,1))</f>
        <v>8.2241123024399995E-2</v>
      </c>
      <c r="AH13">
        <f>SUMIFS('EPA Export Aggregation'!AK:AK,'EPA Export Aggregation'!$A:$A,$B13,'EPA Export Aggregation'!$D:$D,$A$1)*IF($A13="CH4",About!$D$58,IF($A13="N2O",About!$D$59,1))</f>
        <v>7.9103123521800003E-2</v>
      </c>
    </row>
    <row r="14" spans="1:34" x14ac:dyDescent="0.25">
      <c r="A14" s="119" t="s">
        <v>479</v>
      </c>
      <c r="B14" s="120" t="s">
        <v>1966</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1.0052344180000001E-2</v>
      </c>
      <c r="D16">
        <f>SUMIFS('EPA Export Aggregation'!G:G,'EPA Export Aggregation'!$A:$A,$B16,'EPA Export Aggregation'!$D:$D,$A$1)*IF($A16="CH4",About!$D$58,IF($A16="N2O",About!$D$59,1))</f>
        <v>1.0180617392299999E-2</v>
      </c>
      <c r="E16">
        <f>SUMIFS('EPA Export Aggregation'!H:H,'EPA Export Aggregation'!$A:$A,$B16,'EPA Export Aggregation'!$D:$D,$A$1)*IF($A16="CH4",About!$D$58,IF($A16="N2O",About!$D$59,1))</f>
        <v>1.03168495302E-2</v>
      </c>
      <c r="F16">
        <f>SUMIFS('EPA Export Aggregation'!I:I,'EPA Export Aggregation'!$A:$A,$B16,'EPA Export Aggregation'!$D:$D,$A$1)*IF($A16="CH4",About!$D$58,IF($A16="N2O",About!$D$59,1))</f>
        <v>1.0575115723E-2</v>
      </c>
      <c r="G16">
        <f>SUMIFS('EPA Export Aggregation'!J:J,'EPA Export Aggregation'!$A:$A,$B16,'EPA Export Aggregation'!$D:$D,$A$1)*IF($A16="CH4",About!$D$58,IF($A16="N2O",About!$D$59,1))</f>
        <v>1.0836242490499999E-2</v>
      </c>
      <c r="H16">
        <f>SUMIFS('EPA Export Aggregation'!K:K,'EPA Export Aggregation'!$A:$A,$B16,'EPA Export Aggregation'!$D:$D,$A$1)*IF($A16="CH4",About!$D$58,IF($A16="N2O",About!$D$59,1))</f>
        <v>1.10091611197E-2</v>
      </c>
      <c r="I16">
        <f>SUMIFS('EPA Export Aggregation'!L:L,'EPA Export Aggregation'!$A:$A,$B16,'EPA Export Aggregation'!$D:$D,$A$1)*IF($A16="CH4",About!$D$58,IF($A16="N2O",About!$D$59,1))</f>
        <v>1.12368746549E-2</v>
      </c>
      <c r="J16">
        <f>SUMIFS('EPA Export Aggregation'!M:M,'EPA Export Aggregation'!$A:$A,$B16,'EPA Export Aggregation'!$D:$D,$A$1)*IF($A16="CH4",About!$D$58,IF($A16="N2O",About!$D$59,1))</f>
        <v>1.1368258019E-2</v>
      </c>
      <c r="K16">
        <f>SUMIFS('EPA Export Aggregation'!N:N,'EPA Export Aggregation'!$A:$A,$B16,'EPA Export Aggregation'!$D:$D,$A$1)*IF($A16="CH4",About!$D$58,IF($A16="N2O",About!$D$59,1))</f>
        <v>1.1458941249299999E-2</v>
      </c>
      <c r="L16">
        <f>SUMIFS('EPA Export Aggregation'!O:O,'EPA Export Aggregation'!$A:$A,$B16,'EPA Export Aggregation'!$D:$D,$A$1)*IF($A16="CH4",About!$D$58,IF($A16="N2O",About!$D$59,1))</f>
        <v>1.1508644039400001E-2</v>
      </c>
      <c r="M16">
        <f>SUMIFS('EPA Export Aggregation'!P:P,'EPA Export Aggregation'!$A:$A,$B16,'EPA Export Aggregation'!$D:$D,$A$1)*IF($A16="CH4",About!$D$58,IF($A16="N2O",About!$D$59,1))</f>
        <v>1.15836677977E-2</v>
      </c>
      <c r="N16">
        <f>SUMIFS('EPA Export Aggregation'!Q:Q,'EPA Export Aggregation'!$A:$A,$B16,'EPA Export Aggregation'!$D:$D,$A$1)*IF($A16="CH4",About!$D$58,IF($A16="N2O",About!$D$59,1))</f>
        <v>7.0562857727000002E-3</v>
      </c>
      <c r="O16">
        <f>SUMIFS('EPA Export Aggregation'!R:R,'EPA Export Aggregation'!$A:$A,$B16,'EPA Export Aggregation'!$D:$D,$A$1)*IF($A16="CH4",About!$D$58,IF($A16="N2O",About!$D$59,1))</f>
        <v>8.3422863037999999E-3</v>
      </c>
      <c r="P16">
        <f>SUMIFS('EPA Export Aggregation'!S:S,'EPA Export Aggregation'!$A:$A,$B16,'EPA Export Aggregation'!$D:$D,$A$1)*IF($A16="CH4",About!$D$58,IF($A16="N2O",About!$D$59,1))</f>
        <v>1.0943381249399999E-2</v>
      </c>
      <c r="Q16">
        <f>SUMIFS('EPA Export Aggregation'!T:T,'EPA Export Aggregation'!$A:$A,$B16,'EPA Export Aggregation'!$D:$D,$A$1)*IF($A16="CH4",About!$D$58,IF($A16="N2O",About!$D$59,1))</f>
        <v>1.01824856022E-2</v>
      </c>
      <c r="R16">
        <f>SUMIFS('EPA Export Aggregation'!U:U,'EPA Export Aggregation'!$A:$A,$B16,'EPA Export Aggregation'!$D:$D,$A$1)*IF($A16="CH4",About!$D$58,IF($A16="N2O",About!$D$59,1))</f>
        <v>1.1273149826999999E-2</v>
      </c>
      <c r="S16">
        <f>SUMIFS('EPA Export Aggregation'!V:V,'EPA Export Aggregation'!$A:$A,$B16,'EPA Export Aggregation'!$D:$D,$A$1)*IF($A16="CH4",About!$D$58,IF($A16="N2O",About!$D$59,1))</f>
        <v>1.46745187919E-2</v>
      </c>
      <c r="T16">
        <f>SUMIFS('EPA Export Aggregation'!W:W,'EPA Export Aggregation'!$A:$A,$B16,'EPA Export Aggregation'!$D:$D,$A$1)*IF($A16="CH4",About!$D$58,IF($A16="N2O",About!$D$59,1))</f>
        <v>1.6346247400399999E-2</v>
      </c>
      <c r="U16">
        <f>SUMIFS('EPA Export Aggregation'!X:X,'EPA Export Aggregation'!$A:$A,$B16,'EPA Export Aggregation'!$D:$D,$A$1)*IF($A16="CH4",About!$D$58,IF($A16="N2O",About!$D$59,1))</f>
        <v>1.5841012286399999E-2</v>
      </c>
      <c r="V16">
        <f>SUMIFS('EPA Export Aggregation'!Y:Y,'EPA Export Aggregation'!$A:$A,$B16,'EPA Export Aggregation'!$D:$D,$A$1)*IF($A16="CH4",About!$D$58,IF($A16="N2O",About!$D$59,1))</f>
        <v>1.57220293315E-2</v>
      </c>
      <c r="W16">
        <f>SUMIFS('EPA Export Aggregation'!Z:Z,'EPA Export Aggregation'!$A:$A,$B16,'EPA Export Aggregation'!$D:$D,$A$1)*IF($A16="CH4",About!$D$58,IF($A16="N2O",About!$D$59,1))</f>
        <v>3.9184352314100002E-2</v>
      </c>
      <c r="X16">
        <f>SUMIFS('EPA Export Aggregation'!AA:AA,'EPA Export Aggregation'!$A:$A,$B16,'EPA Export Aggregation'!$D:$D,$A$1)*IF($A16="CH4",About!$D$58,IF($A16="N2O",About!$D$59,1))</f>
        <v>3.6410159325499999E-2</v>
      </c>
      <c r="Y16">
        <f>SUMIFS('EPA Export Aggregation'!AB:AB,'EPA Export Aggregation'!$A:$A,$B16,'EPA Export Aggregation'!$D:$D,$A$1)*IF($A16="CH4",About!$D$58,IF($A16="N2O",About!$D$59,1))</f>
        <v>3.6084649557999997E-2</v>
      </c>
      <c r="Z16">
        <f>SUMIFS('EPA Export Aggregation'!AC:AC,'EPA Export Aggregation'!$A:$A,$B16,'EPA Export Aggregation'!$D:$D,$A$1)*IF($A16="CH4",About!$D$58,IF($A16="N2O",About!$D$59,1))</f>
        <v>3.79292251655E-2</v>
      </c>
      <c r="AA16">
        <f>SUMIFS('EPA Export Aggregation'!AD:AD,'EPA Export Aggregation'!$A:$A,$B16,'EPA Export Aggregation'!$D:$D,$A$1)*IF($A16="CH4",About!$D$58,IF($A16="N2O",About!$D$59,1))</f>
        <v>4.0762853395900002E-2</v>
      </c>
      <c r="AB16">
        <f>SUMIFS('EPA Export Aggregation'!AE:AE,'EPA Export Aggregation'!$A:$A,$B16,'EPA Export Aggregation'!$D:$D,$A$1)*IF($A16="CH4",About!$D$58,IF($A16="N2O",About!$D$59,1))</f>
        <v>4.54081935788E-2</v>
      </c>
      <c r="AC16">
        <f>SUMIFS('EPA Export Aggregation'!AF:AF,'EPA Export Aggregation'!$A:$A,$B16,'EPA Export Aggregation'!$D:$D,$A$1)*IF($A16="CH4",About!$D$58,IF($A16="N2O",About!$D$59,1))</f>
        <v>4.3215482592399997E-2</v>
      </c>
      <c r="AD16">
        <f>SUMIFS('EPA Export Aggregation'!AG:AG,'EPA Export Aggregation'!$A:$A,$B16,'EPA Export Aggregation'!$D:$D,$A$1)*IF($A16="CH4",About!$D$58,IF($A16="N2O",About!$D$59,1))</f>
        <v>4.3227293149E-2</v>
      </c>
      <c r="AE16">
        <f>SUMIFS('EPA Export Aggregation'!AH:AH,'EPA Export Aggregation'!$A:$A,$B16,'EPA Export Aggregation'!$D:$D,$A$1)*IF($A16="CH4",About!$D$58,IF($A16="N2O",About!$D$59,1))</f>
        <v>3.9438451724900001E-2</v>
      </c>
      <c r="AF16">
        <f>SUMIFS('EPA Export Aggregation'!AI:AI,'EPA Export Aggregation'!$A:$A,$B16,'EPA Export Aggregation'!$D:$D,$A$1)*IF($A16="CH4",About!$D$58,IF($A16="N2O",About!$D$59,1))</f>
        <v>4.70037068344E-2</v>
      </c>
      <c r="AG16">
        <f>SUMIFS('EPA Export Aggregation'!AJ:AJ,'EPA Export Aggregation'!$A:$A,$B16,'EPA Export Aggregation'!$D:$D,$A$1)*IF($A16="CH4",About!$D$58,IF($A16="N2O",About!$D$59,1))</f>
        <v>4.8663721775000002E-2</v>
      </c>
      <c r="AH16">
        <f>SUMIFS('EPA Export Aggregation'!AK:AK,'EPA Export Aggregation'!$A:$A,$B16,'EPA Export Aggregation'!$D:$D,$A$1)*IF($A16="CH4",About!$D$58,IF($A16="N2O",About!$D$59,1))</f>
        <v>4.9642339012700001E-2</v>
      </c>
    </row>
    <row r="17" spans="1:34" x14ac:dyDescent="0.25">
      <c r="A17" s="119" t="s">
        <v>479</v>
      </c>
      <c r="B17" s="120" t="s">
        <v>1969</v>
      </c>
      <c r="C17">
        <f>SUMIFS('EPA Export Aggregation'!F:F,'EPA Export Aggregation'!$A:$A,$B17,'EPA Export Aggregation'!$D:$D,$A$1)*IF($A17="CH4",About!$D$58,IF($A17="N2O",About!$D$59,1))</f>
        <v>6.24958005643E-2</v>
      </c>
      <c r="D17">
        <f>SUMIFS('EPA Export Aggregation'!G:G,'EPA Export Aggregation'!$A:$A,$B17,'EPA Export Aggregation'!$D:$D,$A$1)*IF($A17="CH4",About!$D$58,IF($A17="N2O",About!$D$59,1))</f>
        <v>4.8636244375900001E-2</v>
      </c>
      <c r="E17">
        <f>SUMIFS('EPA Export Aggregation'!H:H,'EPA Export Aggregation'!$A:$A,$B17,'EPA Export Aggregation'!$D:$D,$A$1)*IF($A17="CH4",About!$D$58,IF($A17="N2O",About!$D$59,1))</f>
        <v>4.32613287537E-2</v>
      </c>
      <c r="F17">
        <f>SUMIFS('EPA Export Aggregation'!I:I,'EPA Export Aggregation'!$A:$A,$B17,'EPA Export Aggregation'!$D:$D,$A$1)*IF($A17="CH4",About!$D$58,IF($A17="N2O",About!$D$59,1))</f>
        <v>5.6012217566999999E-2</v>
      </c>
      <c r="G17">
        <f>SUMIFS('EPA Export Aggregation'!J:J,'EPA Export Aggregation'!$A:$A,$B17,'EPA Export Aggregation'!$D:$D,$A$1)*IF($A17="CH4",About!$D$58,IF($A17="N2O",About!$D$59,1))</f>
        <v>6.2142344883499998E-2</v>
      </c>
      <c r="H17">
        <f>SUMIFS('EPA Export Aggregation'!K:K,'EPA Export Aggregation'!$A:$A,$B17,'EPA Export Aggregation'!$D:$D,$A$1)*IF($A17="CH4",About!$D$58,IF($A17="N2O",About!$D$59,1))</f>
        <v>9.4242066245899994E-2</v>
      </c>
      <c r="I17">
        <f>SUMIFS('EPA Export Aggregation'!L:L,'EPA Export Aggregation'!$A:$A,$B17,'EPA Export Aggregation'!$D:$D,$A$1)*IF($A17="CH4",About!$D$58,IF($A17="N2O",About!$D$59,1))</f>
        <v>0.1164889812817</v>
      </c>
      <c r="J17">
        <f>SUMIFS('EPA Export Aggregation'!M:M,'EPA Export Aggregation'!$A:$A,$B17,'EPA Export Aggregation'!$D:$D,$A$1)*IF($A17="CH4",About!$D$58,IF($A17="N2O",About!$D$59,1))</f>
        <v>0.15245543786509999</v>
      </c>
      <c r="K17">
        <f>SUMIFS('EPA Export Aggregation'!N:N,'EPA Export Aggregation'!$A:$A,$B17,'EPA Export Aggregation'!$D:$D,$A$1)*IF($A17="CH4",About!$D$58,IF($A17="N2O",About!$D$59,1))</f>
        <v>4.7752562291599999E-2</v>
      </c>
      <c r="L17">
        <f>SUMIFS('EPA Export Aggregation'!O:O,'EPA Export Aggregation'!$A:$A,$B17,'EPA Export Aggregation'!$D:$D,$A$1)*IF($A17="CH4",About!$D$58,IF($A17="N2O",About!$D$59,1))</f>
        <v>4.3572478233599998E-2</v>
      </c>
      <c r="M17">
        <f>SUMIFS('EPA Export Aggregation'!P:P,'EPA Export Aggregation'!$A:$A,$B17,'EPA Export Aggregation'!$D:$D,$A$1)*IF($A17="CH4",About!$D$58,IF($A17="N2O",About!$D$59,1))</f>
        <v>5.7189066449299997E-2</v>
      </c>
      <c r="N17">
        <f>SUMIFS('EPA Export Aggregation'!Q:Q,'EPA Export Aggregation'!$A:$A,$B17,'EPA Export Aggregation'!$D:$D,$A$1)*IF($A17="CH4",About!$D$58,IF($A17="N2O",About!$D$59,1))</f>
        <v>5.2117914602300003E-2</v>
      </c>
      <c r="O17">
        <f>SUMIFS('EPA Export Aggregation'!R:R,'EPA Export Aggregation'!$A:$A,$B17,'EPA Export Aggregation'!$D:$D,$A$1)*IF($A17="CH4",About!$D$58,IF($A17="N2O",About!$D$59,1))</f>
        <v>4.9133645538200002E-2</v>
      </c>
      <c r="P17">
        <f>SUMIFS('EPA Export Aggregation'!S:S,'EPA Export Aggregation'!$A:$A,$B17,'EPA Export Aggregation'!$D:$D,$A$1)*IF($A17="CH4",About!$D$58,IF($A17="N2O",About!$D$59,1))</f>
        <v>4.76758621299E-2</v>
      </c>
      <c r="Q17">
        <f>SUMIFS('EPA Export Aggregation'!T:T,'EPA Export Aggregation'!$A:$A,$B17,'EPA Export Aggregation'!$D:$D,$A$1)*IF($A17="CH4",About!$D$58,IF($A17="N2O",About!$D$59,1))</f>
        <v>4.5545607084699999E-2</v>
      </c>
      <c r="R17">
        <f>SUMIFS('EPA Export Aggregation'!U:U,'EPA Export Aggregation'!$A:$A,$B17,'EPA Export Aggregation'!$D:$D,$A$1)*IF($A17="CH4",About!$D$58,IF($A17="N2O",About!$D$59,1))</f>
        <v>4.9115167901700001E-2</v>
      </c>
      <c r="S17">
        <f>SUMIFS('EPA Export Aggregation'!V:V,'EPA Export Aggregation'!$A:$A,$B17,'EPA Export Aggregation'!$D:$D,$A$1)*IF($A17="CH4",About!$D$58,IF($A17="N2O",About!$D$59,1))</f>
        <v>6.4942384715099999E-2</v>
      </c>
      <c r="T17">
        <f>SUMIFS('EPA Export Aggregation'!W:W,'EPA Export Aggregation'!$A:$A,$B17,'EPA Export Aggregation'!$D:$D,$A$1)*IF($A17="CH4",About!$D$58,IF($A17="N2O",About!$D$59,1))</f>
        <v>6.3726465615800004E-2</v>
      </c>
      <c r="U17">
        <f>SUMIFS('EPA Export Aggregation'!X:X,'EPA Export Aggregation'!$A:$A,$B17,'EPA Export Aggregation'!$D:$D,$A$1)*IF($A17="CH4",About!$D$58,IF($A17="N2O",About!$D$59,1))</f>
        <v>6.2067900834000003E-2</v>
      </c>
      <c r="V17">
        <f>SUMIFS('EPA Export Aggregation'!Y:Y,'EPA Export Aggregation'!$A:$A,$B17,'EPA Export Aggregation'!$D:$D,$A$1)*IF($A17="CH4",About!$D$58,IF($A17="N2O",About!$D$59,1))</f>
        <v>5.3405931528699997E-2</v>
      </c>
      <c r="W17">
        <f>SUMIFS('EPA Export Aggregation'!Z:Z,'EPA Export Aggregation'!$A:$A,$B17,'EPA Export Aggregation'!$D:$D,$A$1)*IF($A17="CH4",About!$D$58,IF($A17="N2O",About!$D$59,1))</f>
        <v>5.2411335155099999E-2</v>
      </c>
      <c r="X17">
        <f>SUMIFS('EPA Export Aggregation'!AA:AA,'EPA Export Aggregation'!$A:$A,$B17,'EPA Export Aggregation'!$D:$D,$A$1)*IF($A17="CH4",About!$D$58,IF($A17="N2O",About!$D$59,1))</f>
        <v>3.99951043324E-2</v>
      </c>
      <c r="Y17">
        <f>SUMIFS('EPA Export Aggregation'!AB:AB,'EPA Export Aggregation'!$A:$A,$B17,'EPA Export Aggregation'!$D:$D,$A$1)*IF($A17="CH4",About!$D$58,IF($A17="N2O",About!$D$59,1))</f>
        <v>4.4764351203300003E-2</v>
      </c>
      <c r="Z17">
        <f>SUMIFS('EPA Export Aggregation'!AC:AC,'EPA Export Aggregation'!$A:$A,$B17,'EPA Export Aggregation'!$D:$D,$A$1)*IF($A17="CH4",About!$D$58,IF($A17="N2O",About!$D$59,1))</f>
        <v>4.3036013565400003E-2</v>
      </c>
      <c r="AA17">
        <f>SUMIFS('EPA Export Aggregation'!AD:AD,'EPA Export Aggregation'!$A:$A,$B17,'EPA Export Aggregation'!$D:$D,$A$1)*IF($A17="CH4",About!$D$58,IF($A17="N2O",About!$D$59,1))</f>
        <v>3.9652274145700002E-2</v>
      </c>
      <c r="AB17">
        <f>SUMIFS('EPA Export Aggregation'!AE:AE,'EPA Export Aggregation'!$A:$A,$B17,'EPA Export Aggregation'!$D:$D,$A$1)*IF($A17="CH4",About!$D$58,IF($A17="N2O",About!$D$59,1))</f>
        <v>3.0591485815399999E-2</v>
      </c>
      <c r="AC17">
        <f>SUMIFS('EPA Export Aggregation'!AF:AF,'EPA Export Aggregation'!$A:$A,$B17,'EPA Export Aggregation'!$D:$D,$A$1)*IF($A17="CH4",About!$D$58,IF($A17="N2O",About!$D$59,1))</f>
        <v>4.04912066421E-2</v>
      </c>
      <c r="AD17">
        <f>SUMIFS('EPA Export Aggregation'!AG:AG,'EPA Export Aggregation'!$A:$A,$B17,'EPA Export Aggregation'!$D:$D,$A$1)*IF($A17="CH4",About!$D$58,IF($A17="N2O",About!$D$59,1))</f>
        <v>1.71213974148E-2</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1972</v>
      </c>
      <c r="C20">
        <f>SUMIFS('EPA Export Aggregation'!F:F,'EPA Export Aggregation'!$A:$A,$B20,'EPA Export Aggregation'!$D:$D,$A$1)*IF($A20="CH4",About!$D$58,IF($A20="N2O",About!$D$59,1))</f>
        <v>0.54595241422639995</v>
      </c>
      <c r="D20">
        <f>SUMIFS('EPA Export Aggregation'!G:G,'EPA Export Aggregation'!$A:$A,$B20,'EPA Export Aggregation'!$D:$D,$A$1)*IF($A20="CH4",About!$D$58,IF($A20="N2O",About!$D$59,1))</f>
        <v>0.51357219737040005</v>
      </c>
      <c r="E20">
        <f>SUMIFS('EPA Export Aggregation'!H:H,'EPA Export Aggregation'!$A:$A,$B20,'EPA Export Aggregation'!$D:$D,$A$1)*IF($A20="CH4",About!$D$58,IF($A20="N2O",About!$D$59,1))</f>
        <v>0.47970243492789999</v>
      </c>
      <c r="F20">
        <f>SUMIFS('EPA Export Aggregation'!I:I,'EPA Export Aggregation'!$A:$A,$B20,'EPA Export Aggregation'!$D:$D,$A$1)*IF($A20="CH4",About!$D$58,IF($A20="N2O",About!$D$59,1))</f>
        <v>0.42435549968179997</v>
      </c>
      <c r="G20">
        <f>SUMIFS('EPA Export Aggregation'!J:J,'EPA Export Aggregation'!$A:$A,$B20,'EPA Export Aggregation'!$D:$D,$A$1)*IF($A20="CH4",About!$D$58,IF($A20="N2O",About!$D$59,1))</f>
        <v>0.49592434172720001</v>
      </c>
      <c r="H20">
        <f>SUMIFS('EPA Export Aggregation'!K:K,'EPA Export Aggregation'!$A:$A,$B20,'EPA Export Aggregation'!$D:$D,$A$1)*IF($A20="CH4",About!$D$58,IF($A20="N2O",About!$D$59,1))</f>
        <v>0.50285666240320004</v>
      </c>
      <c r="I20">
        <f>SUMIFS('EPA Export Aggregation'!L:L,'EPA Export Aggregation'!$A:$A,$B20,'EPA Export Aggregation'!$D:$D,$A$1)*IF($A20="CH4",About!$D$58,IF($A20="N2O",About!$D$59,1))</f>
        <v>0.4857450268363</v>
      </c>
      <c r="J20">
        <f>SUMIFS('EPA Export Aggregation'!M:M,'EPA Export Aggregation'!$A:$A,$B20,'EPA Export Aggregation'!$D:$D,$A$1)*IF($A20="CH4",About!$D$58,IF($A20="N2O",About!$D$59,1))</f>
        <v>0.47634137601510002</v>
      </c>
      <c r="K20">
        <f>SUMIFS('EPA Export Aggregation'!N:N,'EPA Export Aggregation'!$A:$A,$B20,'EPA Export Aggregation'!$D:$D,$A$1)*IF($A20="CH4",About!$D$58,IF($A20="N2O",About!$D$59,1))</f>
        <v>0.40711711421469998</v>
      </c>
      <c r="L20">
        <f>SUMIFS('EPA Export Aggregation'!O:O,'EPA Export Aggregation'!$A:$A,$B20,'EPA Export Aggregation'!$D:$D,$A$1)*IF($A20="CH4",About!$D$58,IF($A20="N2O",About!$D$59,1))</f>
        <v>0.28272232464390001</v>
      </c>
      <c r="M20">
        <f>SUMIFS('EPA Export Aggregation'!P:P,'EPA Export Aggregation'!$A:$A,$B20,'EPA Export Aggregation'!$D:$D,$A$1)*IF($A20="CH4",About!$D$58,IF($A20="N2O",About!$D$59,1))</f>
        <v>0.2768194607933</v>
      </c>
      <c r="N20">
        <f>SUMIFS('EPA Export Aggregation'!Q:Q,'EPA Export Aggregation'!$A:$A,$B20,'EPA Export Aggregation'!$D:$D,$A$1)*IF($A20="CH4",About!$D$58,IF($A20="N2O",About!$D$59,1))</f>
        <v>0.1102929831008</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3.5204532721199999E-2</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1974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119" t="s">
        <v>479</v>
      </c>
      <c r="B23" s="120" t="s">
        <v>1975</v>
      </c>
      <c r="C23">
        <f>SUMIFS('EPA Export Aggregation'!F:F,'EPA Export Aggregation'!$A:$A,$B23,'EPA Export Aggregation'!$D:$D,$A$1)*IF($A23="CH4",About!$D$58,IF($A23="N2O",About!$D$59,1))</f>
        <v>2.58447362232E-2</v>
      </c>
      <c r="D23">
        <f>SUMIFS('EPA Export Aggregation'!G:G,'EPA Export Aggregation'!$A:$A,$B23,'EPA Export Aggregation'!$D:$D,$A$1)*IF($A23="CH4",About!$D$58,IF($A23="N2O",About!$D$59,1))</f>
        <v>2.4257883975700001E-2</v>
      </c>
      <c r="E23">
        <f>SUMIFS('EPA Export Aggregation'!H:H,'EPA Export Aggregation'!$A:$A,$B23,'EPA Export Aggregation'!$D:$D,$A$1)*IF($A23="CH4",About!$D$58,IF($A23="N2O",About!$D$59,1))</f>
        <v>2.7243413663199999E-2</v>
      </c>
      <c r="F23">
        <f>SUMIFS('EPA Export Aggregation'!I:I,'EPA Export Aggregation'!$A:$A,$B23,'EPA Export Aggregation'!$D:$D,$A$1)*IF($A23="CH4",About!$D$58,IF($A23="N2O",About!$D$59,1))</f>
        <v>3.2867403583100002E-2</v>
      </c>
      <c r="G23">
        <f>SUMIFS('EPA Export Aggregation'!J:J,'EPA Export Aggregation'!$A:$A,$B23,'EPA Export Aggregation'!$D:$D,$A$1)*IF($A23="CH4",About!$D$58,IF($A23="N2O",About!$D$59,1))</f>
        <v>3.1325830271700002E-2</v>
      </c>
      <c r="H23">
        <f>SUMIFS('EPA Export Aggregation'!K:K,'EPA Export Aggregation'!$A:$A,$B23,'EPA Export Aggregation'!$D:$D,$A$1)*IF($A23="CH4",About!$D$58,IF($A23="N2O",About!$D$59,1))</f>
        <v>3.1703757806299998E-2</v>
      </c>
      <c r="I23">
        <f>SUMIFS('EPA Export Aggregation'!L:L,'EPA Export Aggregation'!$A:$A,$B23,'EPA Export Aggregation'!$D:$D,$A$1)*IF($A23="CH4",About!$D$58,IF($A23="N2O",About!$D$59,1))</f>
        <v>2.9186002386900001E-2</v>
      </c>
      <c r="J23">
        <f>SUMIFS('EPA Export Aggregation'!M:M,'EPA Export Aggregation'!$A:$A,$B23,'EPA Export Aggregation'!$D:$D,$A$1)*IF($A23="CH4",About!$D$58,IF($A23="N2O",About!$D$59,1))</f>
        <v>3.01123676973E-2</v>
      </c>
      <c r="K23">
        <f>SUMIFS('EPA Export Aggregation'!N:N,'EPA Export Aggregation'!$A:$A,$B23,'EPA Export Aggregation'!$D:$D,$A$1)*IF($A23="CH4",About!$D$58,IF($A23="N2O",About!$D$59,1))</f>
        <v>3.7472829436999998E-2</v>
      </c>
      <c r="L23">
        <f>SUMIFS('EPA Export Aggregation'!O:O,'EPA Export Aggregation'!$A:$A,$B23,'EPA Export Aggregation'!$D:$D,$A$1)*IF($A23="CH4",About!$D$58,IF($A23="N2O",About!$D$59,1))</f>
        <v>3.6179829031799997E-2</v>
      </c>
      <c r="M23">
        <f>SUMIFS('EPA Export Aggregation'!P:P,'EPA Export Aggregation'!$A:$A,$B23,'EPA Export Aggregation'!$D:$D,$A$1)*IF($A23="CH4",About!$D$58,IF($A23="N2O",About!$D$59,1))</f>
        <v>3.3159382133299997E-2</v>
      </c>
      <c r="N23">
        <f>SUMIFS('EPA Export Aggregation'!Q:Q,'EPA Export Aggregation'!$A:$A,$B23,'EPA Export Aggregation'!$D:$D,$A$1)*IF($A23="CH4",About!$D$58,IF($A23="N2O",About!$D$59,1))</f>
        <v>3.2156246248099998E-2</v>
      </c>
      <c r="O23">
        <f>SUMIFS('EPA Export Aggregation'!R:R,'EPA Export Aggregation'!$A:$A,$B23,'EPA Export Aggregation'!$D:$D,$A$1)*IF($A23="CH4",About!$D$58,IF($A23="N2O",About!$D$59,1))</f>
        <v>2.9474155536399999E-2</v>
      </c>
      <c r="P23">
        <f>SUMIFS('EPA Export Aggregation'!S:S,'EPA Export Aggregation'!$A:$A,$B23,'EPA Export Aggregation'!$D:$D,$A$1)*IF($A23="CH4",About!$D$58,IF($A23="N2O",About!$D$59,1))</f>
        <v>2.85282310594E-2</v>
      </c>
      <c r="Q23">
        <f>SUMIFS('EPA Export Aggregation'!T:T,'EPA Export Aggregation'!$A:$A,$B23,'EPA Export Aggregation'!$D:$D,$A$1)*IF($A23="CH4",About!$D$58,IF($A23="N2O",About!$D$59,1))</f>
        <v>2.9698186999900001E-2</v>
      </c>
      <c r="R23">
        <f>SUMIFS('EPA Export Aggregation'!U:U,'EPA Export Aggregation'!$A:$A,$B23,'EPA Export Aggregation'!$D:$D,$A$1)*IF($A23="CH4",About!$D$58,IF($A23="N2O",About!$D$59,1))</f>
        <v>2.9953233170299999E-2</v>
      </c>
      <c r="S23">
        <f>SUMIFS('EPA Export Aggregation'!V:V,'EPA Export Aggregation'!$A:$A,$B23,'EPA Export Aggregation'!$D:$D,$A$1)*IF($A23="CH4",About!$D$58,IF($A23="N2O",About!$D$59,1))</f>
        <v>2.9372894300999999E-2</v>
      </c>
      <c r="T23">
        <f>SUMIFS('EPA Export Aggregation'!W:W,'EPA Export Aggregation'!$A:$A,$B23,'EPA Export Aggregation'!$D:$D,$A$1)*IF($A23="CH4",About!$D$58,IF($A23="N2O",About!$D$59,1))</f>
        <v>4.2049974347600001E-2</v>
      </c>
      <c r="U23">
        <f>SUMIFS('EPA Export Aggregation'!X:X,'EPA Export Aggregation'!$A:$A,$B23,'EPA Export Aggregation'!$D:$D,$A$1)*IF($A23="CH4",About!$D$58,IF($A23="N2O",About!$D$59,1))</f>
        <v>3.5117585561699999E-2</v>
      </c>
      <c r="V23">
        <f>SUMIFS('EPA Export Aggregation'!Y:Y,'EPA Export Aggregation'!$A:$A,$B23,'EPA Export Aggregation'!$D:$D,$A$1)*IF($A23="CH4",About!$D$58,IF($A23="N2O",About!$D$59,1))</f>
        <v>3.0020471394199999E-2</v>
      </c>
      <c r="W23">
        <f>SUMIFS('EPA Export Aggregation'!Z:Z,'EPA Export Aggregation'!$A:$A,$B23,'EPA Export Aggregation'!$D:$D,$A$1)*IF($A23="CH4",About!$D$58,IF($A23="N2O",About!$D$59,1))</f>
        <v>4.1884148382399997E-2</v>
      </c>
      <c r="X23">
        <f>SUMIFS('EPA Export Aggregation'!AA:AA,'EPA Export Aggregation'!$A:$A,$B23,'EPA Export Aggregation'!$D:$D,$A$1)*IF($A23="CH4",About!$D$58,IF($A23="N2O",About!$D$59,1))</f>
        <v>4.5419097425500002E-2</v>
      </c>
      <c r="Y23">
        <f>SUMIFS('EPA Export Aggregation'!AB:AB,'EPA Export Aggregation'!$A:$A,$B23,'EPA Export Aggregation'!$D:$D,$A$1)*IF($A23="CH4",About!$D$58,IF($A23="N2O",About!$D$59,1))</f>
        <v>4.3272703866499999E-2</v>
      </c>
      <c r="Z23">
        <f>SUMIFS('EPA Export Aggregation'!AC:AC,'EPA Export Aggregation'!$A:$A,$B23,'EPA Export Aggregation'!$D:$D,$A$1)*IF($A23="CH4",About!$D$58,IF($A23="N2O",About!$D$59,1))</f>
        <v>4.12706510624E-2</v>
      </c>
      <c r="AA23">
        <f>SUMIFS('EPA Export Aggregation'!AD:AD,'EPA Export Aggregation'!$A:$A,$B23,'EPA Export Aggregation'!$D:$D,$A$1)*IF($A23="CH4",About!$D$58,IF($A23="N2O",About!$D$59,1))</f>
        <v>1.64903187499E-2</v>
      </c>
      <c r="AB23">
        <f>SUMIFS('EPA Export Aggregation'!AE:AE,'EPA Export Aggregation'!$A:$A,$B23,'EPA Export Aggregation'!$D:$D,$A$1)*IF($A23="CH4",About!$D$58,IF($A23="N2O",About!$D$59,1))</f>
        <v>4.2526782690000001E-2</v>
      </c>
      <c r="AC23">
        <f>SUMIFS('EPA Export Aggregation'!AF:AF,'EPA Export Aggregation'!$A:$A,$B23,'EPA Export Aggregation'!$D:$D,$A$1)*IF($A23="CH4",About!$D$58,IF($A23="N2O",About!$D$59,1))</f>
        <v>4.9261837470500003E-2</v>
      </c>
      <c r="AD23">
        <f>SUMIFS('EPA Export Aggregation'!AG:AG,'EPA Export Aggregation'!$A:$A,$B23,'EPA Export Aggregation'!$D:$D,$A$1)*IF($A23="CH4",About!$D$58,IF($A23="N2O",About!$D$59,1))</f>
        <v>4.87104951619E-2</v>
      </c>
      <c r="AE23">
        <f>SUMIFS('EPA Export Aggregation'!AH:AH,'EPA Export Aggregation'!$A:$A,$B23,'EPA Export Aggregation'!$D:$D,$A$1)*IF($A23="CH4",About!$D$58,IF($A23="N2O",About!$D$59,1))</f>
        <v>5.83516593115E-2</v>
      </c>
      <c r="AF23">
        <f>SUMIFS('EPA Export Aggregation'!AI:AI,'EPA Export Aggregation'!$A:$A,$B23,'EPA Export Aggregation'!$D:$D,$A$1)*IF($A23="CH4",About!$D$58,IF($A23="N2O",About!$D$59,1))</f>
        <v>5.93948651582E-2</v>
      </c>
      <c r="AG23">
        <f>SUMIFS('EPA Export Aggregation'!AJ:AJ,'EPA Export Aggregation'!$A:$A,$B23,'EPA Export Aggregation'!$D:$D,$A$1)*IF($A23="CH4",About!$D$58,IF($A23="N2O",About!$D$59,1))</f>
        <v>5.6930438690600001E-2</v>
      </c>
      <c r="AH23">
        <f>SUMIFS('EPA Export Aggregation'!AK:AK,'EPA Export Aggregation'!$A:$A,$B23,'EPA Export Aggregation'!$D:$D,$A$1)*IF($A23="CH4",About!$D$58,IF($A23="N2O",About!$D$59,1))</f>
        <v>4.9634904422300001E-2</v>
      </c>
    </row>
    <row r="24" spans="1:34" x14ac:dyDescent="0.2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119" t="s">
        <v>479</v>
      </c>
      <c r="B26" s="120" t="s">
        <v>1978</v>
      </c>
      <c r="C26">
        <f>SUMIFS('EPA Export Aggregation'!F:F,'EPA Export Aggregation'!$A:$A,$B26,'EPA Export Aggregation'!$D:$D,$A$1)*IF($A26="CH4",About!$D$58,IF($A26="N2O",About!$D$59,1))</f>
        <v>4.9748929889999996E-4</v>
      </c>
      <c r="D26">
        <f>SUMIFS('EPA Export Aggregation'!G:G,'EPA Export Aggregation'!$A:$A,$B26,'EPA Export Aggregation'!$D:$D,$A$1)*IF($A26="CH4",About!$D$58,IF($A26="N2O",About!$D$59,1))</f>
        <v>3.762505806E-4</v>
      </c>
      <c r="E26">
        <f>SUMIFS('EPA Export Aggregation'!H:H,'EPA Export Aggregation'!$A:$A,$B26,'EPA Export Aggregation'!$D:$D,$A$1)*IF($A26="CH4",About!$D$58,IF($A26="N2O",About!$D$59,1))</f>
        <v>4.6774018229999998E-4</v>
      </c>
      <c r="F26">
        <f>SUMIFS('EPA Export Aggregation'!I:I,'EPA Export Aggregation'!$A:$A,$B26,'EPA Export Aggregation'!$D:$D,$A$1)*IF($A26="CH4",About!$D$58,IF($A26="N2O",About!$D$59,1))</f>
        <v>5.2858819779999999E-4</v>
      </c>
      <c r="G26">
        <f>SUMIFS('EPA Export Aggregation'!J:J,'EPA Export Aggregation'!$A:$A,$B26,'EPA Export Aggregation'!$D:$D,$A$1)*IF($A26="CH4",About!$D$58,IF($A26="N2O",About!$D$59,1))</f>
        <v>5.6244009179999999E-4</v>
      </c>
      <c r="H26">
        <f>SUMIFS('EPA Export Aggregation'!K:K,'EPA Export Aggregation'!$A:$A,$B26,'EPA Export Aggregation'!$D:$D,$A$1)*IF($A26="CH4",About!$D$58,IF($A26="N2O",About!$D$59,1))</f>
        <v>7.7036487450000003E-4</v>
      </c>
      <c r="I26">
        <f>SUMIFS('EPA Export Aggregation'!L:L,'EPA Export Aggregation'!$A:$A,$B26,'EPA Export Aggregation'!$D:$D,$A$1)*IF($A26="CH4",About!$D$58,IF($A26="N2O",About!$D$59,1))</f>
        <v>8.7197157479999995E-4</v>
      </c>
      <c r="J26">
        <f>SUMIFS('EPA Export Aggregation'!M:M,'EPA Export Aggregation'!$A:$A,$B26,'EPA Export Aggregation'!$D:$D,$A$1)*IF($A26="CH4",About!$D$58,IF($A26="N2O",About!$D$59,1))</f>
        <v>1.0988442144E-3</v>
      </c>
      <c r="K26">
        <f>SUMIFS('EPA Export Aggregation'!N:N,'EPA Export Aggregation'!$A:$A,$B26,'EPA Export Aggregation'!$D:$D,$A$1)*IF($A26="CH4",About!$D$58,IF($A26="N2O",About!$D$59,1))</f>
        <v>1.2647138426E-3</v>
      </c>
      <c r="L26">
        <f>SUMIFS('EPA Export Aggregation'!O:O,'EPA Export Aggregation'!$A:$A,$B26,'EPA Export Aggregation'!$D:$D,$A$1)*IF($A26="CH4",About!$D$58,IF($A26="N2O",About!$D$59,1))</f>
        <v>8.2797469969999996E-4</v>
      </c>
      <c r="M26">
        <f>SUMIFS('EPA Export Aggregation'!P:P,'EPA Export Aggregation'!$A:$A,$B26,'EPA Export Aggregation'!$D:$D,$A$1)*IF($A26="CH4",About!$D$58,IF($A26="N2O",About!$D$59,1))</f>
        <v>9.1407767329999997E-4</v>
      </c>
      <c r="N26">
        <f>SUMIFS('EPA Export Aggregation'!Q:Q,'EPA Export Aggregation'!$A:$A,$B26,'EPA Export Aggregation'!$D:$D,$A$1)*IF($A26="CH4",About!$D$58,IF($A26="N2O",About!$D$59,1))</f>
        <v>6.713140653E-4</v>
      </c>
      <c r="O26">
        <f>SUMIFS('EPA Export Aggregation'!R:R,'EPA Export Aggregation'!$A:$A,$B26,'EPA Export Aggregation'!$D:$D,$A$1)*IF($A26="CH4",About!$D$58,IF($A26="N2O",About!$D$59,1))</f>
        <v>7.9371769439999995E-4</v>
      </c>
      <c r="P26">
        <f>SUMIFS('EPA Export Aggregation'!S:S,'EPA Export Aggregation'!$A:$A,$B26,'EPA Export Aggregation'!$D:$D,$A$1)*IF($A26="CH4",About!$D$58,IF($A26="N2O",About!$D$59,1))</f>
        <v>8.4152952669999995E-4</v>
      </c>
      <c r="Q26">
        <f>SUMIFS('EPA Export Aggregation'!T:T,'EPA Export Aggregation'!$A:$A,$B26,'EPA Export Aggregation'!$D:$D,$A$1)*IF($A26="CH4",About!$D$58,IF($A26="N2O",About!$D$59,1))</f>
        <v>1.0212490748000001E-3</v>
      </c>
      <c r="R26">
        <f>SUMIFS('EPA Export Aggregation'!U:U,'EPA Export Aggregation'!$A:$A,$B26,'EPA Export Aggregation'!$D:$D,$A$1)*IF($A26="CH4",About!$D$58,IF($A26="N2O",About!$D$59,1))</f>
        <v>9.9265129970000005E-4</v>
      </c>
      <c r="S26">
        <f>SUMIFS('EPA Export Aggregation'!V:V,'EPA Export Aggregation'!$A:$A,$B26,'EPA Export Aggregation'!$D:$D,$A$1)*IF($A26="CH4",About!$D$58,IF($A26="N2O",About!$D$59,1))</f>
        <v>9.1764931400000003E-4</v>
      </c>
      <c r="T26">
        <f>SUMIFS('EPA Export Aggregation'!W:W,'EPA Export Aggregation'!$A:$A,$B26,'EPA Export Aggregation'!$D:$D,$A$1)*IF($A26="CH4",About!$D$58,IF($A26="N2O",About!$D$59,1))</f>
        <v>8.4068188860000003E-4</v>
      </c>
      <c r="U26">
        <f>SUMIFS('EPA Export Aggregation'!X:X,'EPA Export Aggregation'!$A:$A,$B26,'EPA Export Aggregation'!$D:$D,$A$1)*IF($A26="CH4",About!$D$58,IF($A26="N2O",About!$D$59,1))</f>
        <v>6.8847809880000005E-4</v>
      </c>
      <c r="V26">
        <f>SUMIFS('EPA Export Aggregation'!Y:Y,'EPA Export Aggregation'!$A:$A,$B26,'EPA Export Aggregation'!$D:$D,$A$1)*IF($A26="CH4",About!$D$58,IF($A26="N2O",About!$D$59,1))</f>
        <v>4.4447985720000001E-4</v>
      </c>
      <c r="W26">
        <f>SUMIFS('EPA Export Aggregation'!Z:Z,'EPA Export Aggregation'!$A:$A,$B26,'EPA Export Aggregation'!$D:$D,$A$1)*IF($A26="CH4",About!$D$58,IF($A26="N2O",About!$D$59,1))</f>
        <v>7.5242875980000002E-4</v>
      </c>
      <c r="X26">
        <f>SUMIFS('EPA Export Aggregation'!AA:AA,'EPA Export Aggregation'!$A:$A,$B26,'EPA Export Aggregation'!$D:$D,$A$1)*IF($A26="CH4",About!$D$58,IF($A26="N2O",About!$D$59,1))</f>
        <v>6.6793028140000005E-4</v>
      </c>
      <c r="Y26">
        <f>SUMIFS('EPA Export Aggregation'!AB:AB,'EPA Export Aggregation'!$A:$A,$B26,'EPA Export Aggregation'!$D:$D,$A$1)*IF($A26="CH4",About!$D$58,IF($A26="N2O",About!$D$59,1))</f>
        <v>5.640770612E-4</v>
      </c>
      <c r="Z26">
        <f>SUMIFS('EPA Export Aggregation'!AC:AC,'EPA Export Aggregation'!$A:$A,$B26,'EPA Export Aggregation'!$D:$D,$A$1)*IF($A26="CH4",About!$D$58,IF($A26="N2O",About!$D$59,1))</f>
        <v>6.6761660259999996E-4</v>
      </c>
      <c r="AA26">
        <f>SUMIFS('EPA Export Aggregation'!AD:AD,'EPA Export Aggregation'!$A:$A,$B26,'EPA Export Aggregation'!$D:$D,$A$1)*IF($A26="CH4",About!$D$58,IF($A26="N2O",About!$D$59,1))</f>
        <v>7.0543208820000002E-4</v>
      </c>
      <c r="AB26">
        <f>SUMIFS('EPA Export Aggregation'!AE:AE,'EPA Export Aggregation'!$A:$A,$B26,'EPA Export Aggregation'!$D:$D,$A$1)*IF($A26="CH4",About!$D$58,IF($A26="N2O",About!$D$59,1))</f>
        <v>7.7563701889999997E-4</v>
      </c>
      <c r="AC26">
        <f>SUMIFS('EPA Export Aggregation'!AF:AF,'EPA Export Aggregation'!$A:$A,$B26,'EPA Export Aggregation'!$D:$D,$A$1)*IF($A26="CH4",About!$D$58,IF($A26="N2O",About!$D$59,1))</f>
        <v>7.2767853680000001E-4</v>
      </c>
      <c r="AD26">
        <f>SUMIFS('EPA Export Aggregation'!AG:AG,'EPA Export Aggregation'!$A:$A,$B26,'EPA Export Aggregation'!$D:$D,$A$1)*IF($A26="CH4",About!$D$58,IF($A26="N2O",About!$D$59,1))</f>
        <v>8.4839436899999997E-4</v>
      </c>
      <c r="AE26">
        <f>SUMIFS('EPA Export Aggregation'!AH:AH,'EPA Export Aggregation'!$A:$A,$B26,'EPA Export Aggregation'!$D:$D,$A$1)*IF($A26="CH4",About!$D$58,IF($A26="N2O",About!$D$59,1))</f>
        <v>8.8478969140000005E-4</v>
      </c>
      <c r="AF26">
        <f>SUMIFS('EPA Export Aggregation'!AI:AI,'EPA Export Aggregation'!$A:$A,$B26,'EPA Export Aggregation'!$D:$D,$A$1)*IF($A26="CH4",About!$D$58,IF($A26="N2O",About!$D$59,1))</f>
        <v>8.0876748439999999E-4</v>
      </c>
      <c r="AG26">
        <f>SUMIFS('EPA Export Aggregation'!AJ:AJ,'EPA Export Aggregation'!$A:$A,$B26,'EPA Export Aggregation'!$D:$D,$A$1)*IF($A26="CH4",About!$D$58,IF($A26="N2O",About!$D$59,1))</f>
        <v>6.123750121E-4</v>
      </c>
      <c r="AH26">
        <f>SUMIFS('EPA Export Aggregation'!AK:AK,'EPA Export Aggregation'!$A:$A,$B26,'EPA Export Aggregation'!$D:$D,$A$1)*IF($A26="CH4",About!$D$58,IF($A26="N2O",About!$D$59,1))</f>
        <v>8.0024583930000004E-4</v>
      </c>
    </row>
    <row r="27" spans="1:34" x14ac:dyDescent="0.25">
      <c r="A27" s="119" t="s">
        <v>479</v>
      </c>
      <c r="B27" s="120" t="s">
        <v>1979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1981</v>
      </c>
      <c r="C29">
        <f>SUMIFS('EPA Export Aggregation'!F:F,'EPA Export Aggregation'!$A:$A,$B29,'EPA Export Aggregation'!$D:$D,$A$1)*IF($A29="CH4",About!$D$58,IF($A29="N2O",About!$D$59,1))</f>
        <v>5.3767696548800002E-2</v>
      </c>
      <c r="D29">
        <f>SUMIFS('EPA Export Aggregation'!G:G,'EPA Export Aggregation'!$A:$A,$B29,'EPA Export Aggregation'!$D:$D,$A$1)*IF($A29="CH4",About!$D$58,IF($A29="N2O",About!$D$59,1))</f>
        <v>5.3099041270000001E-2</v>
      </c>
      <c r="E29">
        <f>SUMIFS('EPA Export Aggregation'!H:H,'EPA Export Aggregation'!$A:$A,$B29,'EPA Export Aggregation'!$D:$D,$A$1)*IF($A29="CH4",About!$D$58,IF($A29="N2O",About!$D$59,1))</f>
        <v>5.2622743035600002E-2</v>
      </c>
      <c r="F29">
        <f>SUMIFS('EPA Export Aggregation'!I:I,'EPA Export Aggregation'!$A:$A,$B29,'EPA Export Aggregation'!$D:$D,$A$1)*IF($A29="CH4",About!$D$58,IF($A29="N2O",About!$D$59,1))</f>
        <v>5.3322927283399997E-2</v>
      </c>
      <c r="G29">
        <f>SUMIFS('EPA Export Aggregation'!J:J,'EPA Export Aggregation'!$A:$A,$B29,'EPA Export Aggregation'!$D:$D,$A$1)*IF($A29="CH4",About!$D$58,IF($A29="N2O",About!$D$59,1))</f>
        <v>5.4422149107899997E-2</v>
      </c>
      <c r="H29">
        <f>SUMIFS('EPA Export Aggregation'!K:K,'EPA Export Aggregation'!$A:$A,$B29,'EPA Export Aggregation'!$D:$D,$A$1)*IF($A29="CH4",About!$D$58,IF($A29="N2O",About!$D$59,1))</f>
        <v>5.34452678706E-2</v>
      </c>
      <c r="I29">
        <f>SUMIFS('EPA Export Aggregation'!L:L,'EPA Export Aggregation'!$A:$A,$B29,'EPA Export Aggregation'!$D:$D,$A$1)*IF($A29="CH4",About!$D$58,IF($A29="N2O",About!$D$59,1))</f>
        <v>5.4743285636100002E-2</v>
      </c>
      <c r="J29">
        <f>SUMIFS('EPA Export Aggregation'!M:M,'EPA Export Aggregation'!$A:$A,$B29,'EPA Export Aggregation'!$D:$D,$A$1)*IF($A29="CH4",About!$D$58,IF($A29="N2O",About!$D$59,1))</f>
        <v>5.89705762661E-2</v>
      </c>
      <c r="K29">
        <f>SUMIFS('EPA Export Aggregation'!N:N,'EPA Export Aggregation'!$A:$A,$B29,'EPA Export Aggregation'!$D:$D,$A$1)*IF($A29="CH4",About!$D$58,IF($A29="N2O",About!$D$59,1))</f>
        <v>6.0348101912800003E-2</v>
      </c>
      <c r="L29">
        <f>SUMIFS('EPA Export Aggregation'!O:O,'EPA Export Aggregation'!$A:$A,$B29,'EPA Export Aggregation'!$D:$D,$A$1)*IF($A29="CH4",About!$D$58,IF($A29="N2O",About!$D$59,1))</f>
        <v>5.5056594990399998E-2</v>
      </c>
      <c r="M29">
        <f>SUMIFS('EPA Export Aggregation'!P:P,'EPA Export Aggregation'!$A:$A,$B29,'EPA Export Aggregation'!$D:$D,$A$1)*IF($A29="CH4",About!$D$58,IF($A29="N2O",About!$D$59,1))</f>
        <v>5.4351635586000001E-2</v>
      </c>
      <c r="N29">
        <f>SUMIFS('EPA Export Aggregation'!Q:Q,'EPA Export Aggregation'!$A:$A,$B29,'EPA Export Aggregation'!$D:$D,$A$1)*IF($A29="CH4",About!$D$58,IF($A29="N2O",About!$D$59,1))</f>
        <v>5.6176522766599998E-2</v>
      </c>
      <c r="O29">
        <f>SUMIFS('EPA Export Aggregation'!R:R,'EPA Export Aggregation'!$A:$A,$B29,'EPA Export Aggregation'!$D:$D,$A$1)*IF($A29="CH4",About!$D$58,IF($A29="N2O",About!$D$59,1))</f>
        <v>5.5676437631100001E-2</v>
      </c>
      <c r="P29">
        <f>SUMIFS('EPA Export Aggregation'!S:S,'EPA Export Aggregation'!$A:$A,$B29,'EPA Export Aggregation'!$D:$D,$A$1)*IF($A29="CH4",About!$D$58,IF($A29="N2O",About!$D$59,1))</f>
        <v>5.70769973143E-2</v>
      </c>
      <c r="Q29">
        <f>SUMIFS('EPA Export Aggregation'!T:T,'EPA Export Aggregation'!$A:$A,$B29,'EPA Export Aggregation'!$D:$D,$A$1)*IF($A29="CH4",About!$D$58,IF($A29="N2O",About!$D$59,1))</f>
        <v>6.2477410086200003E-2</v>
      </c>
      <c r="R29">
        <f>SUMIFS('EPA Export Aggregation'!U:U,'EPA Export Aggregation'!$A:$A,$B29,'EPA Export Aggregation'!$D:$D,$A$1)*IF($A29="CH4",About!$D$58,IF($A29="N2O",About!$D$59,1))</f>
        <v>6.9062982060900002E-2</v>
      </c>
      <c r="S29">
        <f>SUMIFS('EPA Export Aggregation'!V:V,'EPA Export Aggregation'!$A:$A,$B29,'EPA Export Aggregation'!$D:$D,$A$1)*IF($A29="CH4",About!$D$58,IF($A29="N2O",About!$D$59,1))</f>
        <v>8.0429807349999993E-2</v>
      </c>
      <c r="T29">
        <f>SUMIFS('EPA Export Aggregation'!W:W,'EPA Export Aggregation'!$A:$A,$B29,'EPA Export Aggregation'!$D:$D,$A$1)*IF($A29="CH4",About!$D$58,IF($A29="N2O",About!$D$59,1))</f>
        <v>8.4683993661599996E-2</v>
      </c>
      <c r="U29">
        <f>SUMIFS('EPA Export Aggregation'!X:X,'EPA Export Aggregation'!$A:$A,$B29,'EPA Export Aggregation'!$D:$D,$A$1)*IF($A29="CH4",About!$D$58,IF($A29="N2O",About!$D$59,1))</f>
        <v>0.1053806587336</v>
      </c>
      <c r="V29">
        <f>SUMIFS('EPA Export Aggregation'!Y:Y,'EPA Export Aggregation'!$A:$A,$B29,'EPA Export Aggregation'!$D:$D,$A$1)*IF($A29="CH4",About!$D$58,IF($A29="N2O",About!$D$59,1))</f>
        <v>9.9378955326399995E-2</v>
      </c>
      <c r="W29">
        <f>SUMIFS('EPA Export Aggregation'!Z:Z,'EPA Export Aggregation'!$A:$A,$B29,'EPA Export Aggregation'!$D:$D,$A$1)*IF($A29="CH4",About!$D$58,IF($A29="N2O",About!$D$59,1))</f>
        <v>0.1120431641836</v>
      </c>
      <c r="X29">
        <f>SUMIFS('EPA Export Aggregation'!AA:AA,'EPA Export Aggregation'!$A:$A,$B29,'EPA Export Aggregation'!$D:$D,$A$1)*IF($A29="CH4",About!$D$58,IF($A29="N2O",About!$D$59,1))</f>
        <v>0.13418891502069999</v>
      </c>
      <c r="Y29">
        <f>SUMIFS('EPA Export Aggregation'!AB:AB,'EPA Export Aggregation'!$A:$A,$B29,'EPA Export Aggregation'!$D:$D,$A$1)*IF($A29="CH4",About!$D$58,IF($A29="N2O",About!$D$59,1))</f>
        <v>0.17156520669620001</v>
      </c>
      <c r="Z29">
        <f>SUMIFS('EPA Export Aggregation'!AC:AC,'EPA Export Aggregation'!$A:$A,$B29,'EPA Export Aggregation'!$D:$D,$A$1)*IF($A29="CH4",About!$D$58,IF($A29="N2O",About!$D$59,1))</f>
        <v>0.2075031424214</v>
      </c>
      <c r="AA29">
        <f>SUMIFS('EPA Export Aggregation'!AD:AD,'EPA Export Aggregation'!$A:$A,$B29,'EPA Export Aggregation'!$D:$D,$A$1)*IF($A29="CH4",About!$D$58,IF($A29="N2O",About!$D$59,1))</f>
        <v>0.24186517818469999</v>
      </c>
      <c r="AB29">
        <f>SUMIFS('EPA Export Aggregation'!AE:AE,'EPA Export Aggregation'!$A:$A,$B29,'EPA Export Aggregation'!$D:$D,$A$1)*IF($A29="CH4",About!$D$58,IF($A29="N2O",About!$D$59,1))</f>
        <v>0.16303939644400001</v>
      </c>
      <c r="AC29">
        <f>SUMIFS('EPA Export Aggregation'!AF:AF,'EPA Export Aggregation'!$A:$A,$B29,'EPA Export Aggregation'!$D:$D,$A$1)*IF($A29="CH4",About!$D$58,IF($A29="N2O",About!$D$59,1))</f>
        <v>0.13242599818940001</v>
      </c>
      <c r="AD29">
        <f>SUMIFS('EPA Export Aggregation'!AG:AG,'EPA Export Aggregation'!$A:$A,$B29,'EPA Export Aggregation'!$D:$D,$A$1)*IF($A29="CH4",About!$D$58,IF($A29="N2O",About!$D$59,1))</f>
        <v>0.14180361882279999</v>
      </c>
      <c r="AE29">
        <f>SUMIFS('EPA Export Aggregation'!AH:AH,'EPA Export Aggregation'!$A:$A,$B29,'EPA Export Aggregation'!$D:$D,$A$1)*IF($A29="CH4",About!$D$58,IF($A29="N2O",About!$D$59,1))</f>
        <v>0.16917863868130001</v>
      </c>
      <c r="AF29">
        <f>SUMIFS('EPA Export Aggregation'!AI:AI,'EPA Export Aggregation'!$A:$A,$B29,'EPA Export Aggregation'!$D:$D,$A$1)*IF($A29="CH4",About!$D$58,IF($A29="N2O",About!$D$59,1))</f>
        <v>0.21025332271819999</v>
      </c>
      <c r="AG29">
        <f>SUMIFS('EPA Export Aggregation'!AJ:AJ,'EPA Export Aggregation'!$A:$A,$B29,'EPA Export Aggregation'!$D:$D,$A$1)*IF($A29="CH4",About!$D$58,IF($A29="N2O",About!$D$59,1))</f>
        <v>0.14293037727579999</v>
      </c>
      <c r="AH29">
        <f>SUMIFS('EPA Export Aggregation'!AK:AK,'EPA Export Aggregation'!$A:$A,$B29,'EPA Export Aggregation'!$D:$D,$A$1)*IF($A29="CH4",About!$D$58,IF($A29="N2O",About!$D$59,1))</f>
        <v>0.12884486215679999</v>
      </c>
    </row>
    <row r="30" spans="1:34" x14ac:dyDescent="0.25">
      <c r="A30" s="119" t="s">
        <v>479</v>
      </c>
      <c r="B30" s="120" t="s">
        <v>1982</v>
      </c>
      <c r="C30">
        <f>SUMIFS('EPA Export Aggregation'!F:F,'EPA Export Aggregation'!$A:$A,$B30,'EPA Export Aggregation'!$D:$D,$A$1)*IF($A30="CH4",About!$D$58,IF($A30="N2O",About!$D$59,1))</f>
        <v>1.2646545499999999E-5</v>
      </c>
      <c r="D30">
        <f>SUMIFS('EPA Export Aggregation'!G:G,'EPA Export Aggregation'!$A:$A,$B30,'EPA Export Aggregation'!$D:$D,$A$1)*IF($A30="CH4",About!$D$58,IF($A30="N2O",About!$D$59,1))</f>
        <v>1.27311118E-5</v>
      </c>
      <c r="E30">
        <f>SUMIFS('EPA Export Aggregation'!H:H,'EPA Export Aggregation'!$A:$A,$B30,'EPA Export Aggregation'!$D:$D,$A$1)*IF($A30="CH4",About!$D$58,IF($A30="N2O",About!$D$59,1))</f>
        <v>1.28997639E-5</v>
      </c>
      <c r="F30">
        <f>SUMIFS('EPA Export Aggregation'!I:I,'EPA Export Aggregation'!$A:$A,$B30,'EPA Export Aggregation'!$D:$D,$A$1)*IF($A30="CH4",About!$D$58,IF($A30="N2O",About!$D$59,1))</f>
        <v>1.32588898E-5</v>
      </c>
      <c r="G30">
        <f>SUMIFS('EPA Export Aggregation'!J:J,'EPA Export Aggregation'!$A:$A,$B30,'EPA Export Aggregation'!$D:$D,$A$1)*IF($A30="CH4",About!$D$58,IF($A30="N2O",About!$D$59,1))</f>
        <v>1.34689989E-5</v>
      </c>
      <c r="H30">
        <f>SUMIFS('EPA Export Aggregation'!K:K,'EPA Export Aggregation'!$A:$A,$B30,'EPA Export Aggregation'!$D:$D,$A$1)*IF($A30="CH4",About!$D$58,IF($A30="N2O",About!$D$59,1))</f>
        <v>1.36645499E-5</v>
      </c>
      <c r="I30">
        <f>SUMIFS('EPA Export Aggregation'!L:L,'EPA Export Aggregation'!$A:$A,$B30,'EPA Export Aggregation'!$D:$D,$A$1)*IF($A30="CH4",About!$D$58,IF($A30="N2O",About!$D$59,1))</f>
        <v>1.38599371E-5</v>
      </c>
      <c r="J30">
        <f>SUMIFS('EPA Export Aggregation'!M:M,'EPA Export Aggregation'!$A:$A,$B30,'EPA Export Aggregation'!$D:$D,$A$1)*IF($A30="CH4",About!$D$58,IF($A30="N2O",About!$D$59,1))</f>
        <v>1.40765451E-5</v>
      </c>
      <c r="K30">
        <f>SUMIFS('EPA Export Aggregation'!N:N,'EPA Export Aggregation'!$A:$A,$B30,'EPA Export Aggregation'!$D:$D,$A$1)*IF($A30="CH4",About!$D$58,IF($A30="N2O",About!$D$59,1))</f>
        <v>1.42767391E-5</v>
      </c>
      <c r="L30">
        <f>SUMIFS('EPA Export Aggregation'!O:O,'EPA Export Aggregation'!$A:$A,$B30,'EPA Export Aggregation'!$D:$D,$A$1)*IF($A30="CH4",About!$D$58,IF($A30="N2O",About!$D$59,1))</f>
        <v>1.4322901200000001E-5</v>
      </c>
      <c r="M30">
        <f>SUMIFS('EPA Export Aggregation'!P:P,'EPA Export Aggregation'!$A:$A,$B30,'EPA Export Aggregation'!$D:$D,$A$1)*IF($A30="CH4",About!$D$58,IF($A30="N2O",About!$D$59,1))</f>
        <v>1.4417527099999999E-5</v>
      </c>
      <c r="N30">
        <f>SUMIFS('EPA Export Aggregation'!Q:Q,'EPA Export Aggregation'!$A:$A,$B30,'EPA Export Aggregation'!$D:$D,$A$1)*IF($A30="CH4",About!$D$58,IF($A30="N2O",About!$D$59,1))</f>
        <v>1.4468030899999999E-5</v>
      </c>
      <c r="O30">
        <f>SUMIFS('EPA Export Aggregation'!R:R,'EPA Export Aggregation'!$A:$A,$B30,'EPA Export Aggregation'!$D:$D,$A$1)*IF($A30="CH4",About!$D$58,IF($A30="N2O",About!$D$59,1))</f>
        <v>1.4596808300000001E-5</v>
      </c>
      <c r="P30">
        <f>SUMIFS('EPA Export Aggregation'!S:S,'EPA Export Aggregation'!$A:$A,$B30,'EPA Export Aggregation'!$D:$D,$A$1)*IF($A30="CH4",About!$D$58,IF($A30="N2O",About!$D$59,1))</f>
        <v>1.4662658700000001E-5</v>
      </c>
      <c r="Q30">
        <f>SUMIFS('EPA Export Aggregation'!T:T,'EPA Export Aggregation'!$A:$A,$B30,'EPA Export Aggregation'!$D:$D,$A$1)*IF($A30="CH4",About!$D$58,IF($A30="N2O",About!$D$59,1))</f>
        <v>1.47739045E-5</v>
      </c>
      <c r="R30">
        <f>SUMIFS('EPA Export Aggregation'!U:U,'EPA Export Aggregation'!$A:$A,$B30,'EPA Export Aggregation'!$D:$D,$A$1)*IF($A30="CH4",About!$D$58,IF($A30="N2O",About!$D$59,1))</f>
        <v>1.4784719099999999E-5</v>
      </c>
      <c r="S30">
        <f>SUMIFS('EPA Export Aggregation'!V:V,'EPA Export Aggregation'!$A:$A,$B30,'EPA Export Aggregation'!$D:$D,$A$1)*IF($A30="CH4",About!$D$58,IF($A30="N2O",About!$D$59,1))</f>
        <v>1.50457396E-5</v>
      </c>
      <c r="T30">
        <f>SUMIFS('EPA Export Aggregation'!W:W,'EPA Export Aggregation'!$A:$A,$B30,'EPA Export Aggregation'!$D:$D,$A$1)*IF($A30="CH4",About!$D$58,IF($A30="N2O",About!$D$59,1))</f>
        <v>1.72141646E-5</v>
      </c>
      <c r="U30">
        <f>SUMIFS('EPA Export Aggregation'!X:X,'EPA Export Aggregation'!$A:$A,$B30,'EPA Export Aggregation'!$D:$D,$A$1)*IF($A30="CH4",About!$D$58,IF($A30="N2O",About!$D$59,1))</f>
        <v>1.9119777799999999E-5</v>
      </c>
      <c r="V30">
        <f>SUMIFS('EPA Export Aggregation'!Y:Y,'EPA Export Aggregation'!$A:$A,$B30,'EPA Export Aggregation'!$D:$D,$A$1)*IF($A30="CH4",About!$D$58,IF($A30="N2O",About!$D$59,1))</f>
        <v>2.0364888199999999E-5</v>
      </c>
      <c r="W30">
        <f>SUMIFS('EPA Export Aggregation'!Z:Z,'EPA Export Aggregation'!$A:$A,$B30,'EPA Export Aggregation'!$D:$D,$A$1)*IF($A30="CH4",About!$D$58,IF($A30="N2O",About!$D$59,1))</f>
        <v>2.0967022600000001E-5</v>
      </c>
      <c r="X30">
        <f>SUMIFS('EPA Export Aggregation'!AA:AA,'EPA Export Aggregation'!$A:$A,$B30,'EPA Export Aggregation'!$D:$D,$A$1)*IF($A30="CH4",About!$D$58,IF($A30="N2O",About!$D$59,1))</f>
        <v>2.1065777800000001E-5</v>
      </c>
      <c r="Y30">
        <f>SUMIFS('EPA Export Aggregation'!AB:AB,'EPA Export Aggregation'!$A:$A,$B30,'EPA Export Aggregation'!$D:$D,$A$1)*IF($A30="CH4",About!$D$58,IF($A30="N2O",About!$D$59,1))</f>
        <v>2.1133625800000002E-5</v>
      </c>
      <c r="Z30">
        <f>SUMIFS('EPA Export Aggregation'!AC:AC,'EPA Export Aggregation'!$A:$A,$B30,'EPA Export Aggregation'!$D:$D,$A$1)*IF($A30="CH4",About!$D$58,IF($A30="N2O",About!$D$59,1))</f>
        <v>2.1357420400000001E-5</v>
      </c>
      <c r="AA30">
        <f>SUMIFS('EPA Export Aggregation'!AD:AD,'EPA Export Aggregation'!$A:$A,$B30,'EPA Export Aggregation'!$D:$D,$A$1)*IF($A30="CH4",About!$D$58,IF($A30="N2O",About!$D$59,1))</f>
        <v>2.1658709400000001E-5</v>
      </c>
      <c r="AB30">
        <f>SUMIFS('EPA Export Aggregation'!AE:AE,'EPA Export Aggregation'!$A:$A,$B30,'EPA Export Aggregation'!$D:$D,$A$1)*IF($A30="CH4",About!$D$58,IF($A30="N2O",About!$D$59,1))</f>
        <v>2.2025497500000001E-5</v>
      </c>
      <c r="AC30">
        <f>SUMIFS('EPA Export Aggregation'!AF:AF,'EPA Export Aggregation'!$A:$A,$B30,'EPA Export Aggregation'!$D:$D,$A$1)*IF($A30="CH4",About!$D$58,IF($A30="N2O",About!$D$59,1))</f>
        <v>2.2173188299999998E-5</v>
      </c>
      <c r="AD30">
        <f>SUMIFS('EPA Export Aggregation'!AG:AG,'EPA Export Aggregation'!$A:$A,$B30,'EPA Export Aggregation'!$D:$D,$A$1)*IF($A30="CH4",About!$D$58,IF($A30="N2O",About!$D$59,1))</f>
        <v>2.2391038700000001E-5</v>
      </c>
      <c r="AE30">
        <f>SUMIFS('EPA Export Aggregation'!AH:AH,'EPA Export Aggregation'!$A:$A,$B30,'EPA Export Aggregation'!$D:$D,$A$1)*IF($A30="CH4",About!$D$58,IF($A30="N2O",About!$D$59,1))</f>
        <v>2.2728300899999998E-5</v>
      </c>
      <c r="AF30">
        <f>SUMIFS('EPA Export Aggregation'!AI:AI,'EPA Export Aggregation'!$A:$A,$B30,'EPA Export Aggregation'!$D:$D,$A$1)*IF($A30="CH4",About!$D$58,IF($A30="N2O",About!$D$59,1))</f>
        <v>2.3312790899999999E-5</v>
      </c>
      <c r="AG30">
        <f>SUMIFS('EPA Export Aggregation'!AJ:AJ,'EPA Export Aggregation'!$A:$A,$B30,'EPA Export Aggregation'!$D:$D,$A$1)*IF($A30="CH4",About!$D$58,IF($A30="N2O",About!$D$59,1))</f>
        <v>2.2993662500000001E-5</v>
      </c>
      <c r="AH30">
        <f>SUMIFS('EPA Export Aggregation'!AK:AK,'EPA Export Aggregation'!$A:$A,$B30,'EPA Export Aggregation'!$D:$D,$A$1)*IF($A30="CH4",About!$D$58,IF($A30="N2O",About!$D$59,1))</f>
        <v>2.2993662500000001E-5</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0.21722610448329999</v>
      </c>
      <c r="D32">
        <f>SUMIFS('EPA Export Aggregation'!G:G,'EPA Export Aggregation'!$A:$A,$B32,'EPA Export Aggregation'!$D:$D,$A$1)*IF($A32="CH4",About!$D$58,IF($A32="N2O",About!$D$59,1))</f>
        <v>0.21612308395909999</v>
      </c>
      <c r="E32">
        <f>SUMIFS('EPA Export Aggregation'!H:H,'EPA Export Aggregation'!$A:$A,$B32,'EPA Export Aggregation'!$D:$D,$A$1)*IF($A32="CH4",About!$D$58,IF($A32="N2O",About!$D$59,1))</f>
        <v>0.2101549550514</v>
      </c>
      <c r="F32">
        <f>SUMIFS('EPA Export Aggregation'!I:I,'EPA Export Aggregation'!$A:$A,$B32,'EPA Export Aggregation'!$D:$D,$A$1)*IF($A32="CH4",About!$D$58,IF($A32="N2O",About!$D$59,1))</f>
        <v>0.21515794100050001</v>
      </c>
      <c r="G32">
        <f>SUMIFS('EPA Export Aggregation'!J:J,'EPA Export Aggregation'!$A:$A,$B32,'EPA Export Aggregation'!$D:$D,$A$1)*IF($A32="CH4",About!$D$58,IF($A32="N2O",About!$D$59,1))</f>
        <v>0.240291051516</v>
      </c>
      <c r="H32">
        <f>SUMIFS('EPA Export Aggregation'!K:K,'EPA Export Aggregation'!$A:$A,$B32,'EPA Export Aggregation'!$D:$D,$A$1)*IF($A32="CH4",About!$D$58,IF($A32="N2O",About!$D$59,1))</f>
        <v>0.2478546208248</v>
      </c>
      <c r="I32">
        <f>SUMIFS('EPA Export Aggregation'!L:L,'EPA Export Aggregation'!$A:$A,$B32,'EPA Export Aggregation'!$D:$D,$A$1)*IF($A32="CH4",About!$D$58,IF($A32="N2O",About!$D$59,1))</f>
        <v>0.27089987106239999</v>
      </c>
      <c r="J32">
        <f>SUMIFS('EPA Export Aggregation'!M:M,'EPA Export Aggregation'!$A:$A,$B32,'EPA Export Aggregation'!$D:$D,$A$1)*IF($A32="CH4",About!$D$58,IF($A32="N2O",About!$D$59,1))</f>
        <v>0.26278479149150002</v>
      </c>
      <c r="K32">
        <f>SUMIFS('EPA Export Aggregation'!N:N,'EPA Export Aggregation'!$A:$A,$B32,'EPA Export Aggregation'!$D:$D,$A$1)*IF($A32="CH4",About!$D$58,IF($A32="N2O",About!$D$59,1))</f>
        <v>0.25679696578869998</v>
      </c>
      <c r="L32">
        <f>SUMIFS('EPA Export Aggregation'!O:O,'EPA Export Aggregation'!$A:$A,$B32,'EPA Export Aggregation'!$D:$D,$A$1)*IF($A32="CH4",About!$D$58,IF($A32="N2O",About!$D$59,1))</f>
        <v>0.25973178825490001</v>
      </c>
      <c r="M32">
        <f>SUMIFS('EPA Export Aggregation'!P:P,'EPA Export Aggregation'!$A:$A,$B32,'EPA Export Aggregation'!$D:$D,$A$1)*IF($A32="CH4",About!$D$58,IF($A32="N2O",About!$D$59,1))</f>
        <v>0.26448856426549999</v>
      </c>
      <c r="N32">
        <f>SUMIFS('EPA Export Aggregation'!Q:Q,'EPA Export Aggregation'!$A:$A,$B32,'EPA Export Aggregation'!$D:$D,$A$1)*IF($A32="CH4",About!$D$58,IF($A32="N2O",About!$D$59,1))</f>
        <v>0.26557663492220002</v>
      </c>
      <c r="O32">
        <f>SUMIFS('EPA Export Aggregation'!R:R,'EPA Export Aggregation'!$A:$A,$B32,'EPA Export Aggregation'!$D:$D,$A$1)*IF($A32="CH4",About!$D$58,IF($A32="N2O",About!$D$59,1))</f>
        <v>0.24676312706529999</v>
      </c>
      <c r="P32">
        <f>SUMIFS('EPA Export Aggregation'!S:S,'EPA Export Aggregation'!$A:$A,$B32,'EPA Export Aggregation'!$D:$D,$A$1)*IF($A32="CH4",About!$D$58,IF($A32="N2O",About!$D$59,1))</f>
        <v>0.22696647097539999</v>
      </c>
      <c r="Q32">
        <f>SUMIFS('EPA Export Aggregation'!T:T,'EPA Export Aggregation'!$A:$A,$B32,'EPA Export Aggregation'!$D:$D,$A$1)*IF($A32="CH4",About!$D$58,IF($A32="N2O",About!$D$59,1))</f>
        <v>0.21416412935660001</v>
      </c>
      <c r="R32">
        <f>SUMIFS('EPA Export Aggregation'!U:U,'EPA Export Aggregation'!$A:$A,$B32,'EPA Export Aggregation'!$D:$D,$A$1)*IF($A32="CH4",About!$D$58,IF($A32="N2O",About!$D$59,1))</f>
        <v>0.2414959340159</v>
      </c>
      <c r="S32">
        <f>SUMIFS('EPA Export Aggregation'!V:V,'EPA Export Aggregation'!$A:$A,$B32,'EPA Export Aggregation'!$D:$D,$A$1)*IF($A32="CH4",About!$D$58,IF($A32="N2O",About!$D$59,1))</f>
        <v>0.25623262306470002</v>
      </c>
      <c r="T32">
        <f>SUMIFS('EPA Export Aggregation'!W:W,'EPA Export Aggregation'!$A:$A,$B32,'EPA Export Aggregation'!$D:$D,$A$1)*IF($A32="CH4",About!$D$58,IF($A32="N2O",About!$D$59,1))</f>
        <v>0.239380872464</v>
      </c>
      <c r="U32">
        <f>SUMIFS('EPA Export Aggregation'!X:X,'EPA Export Aggregation'!$A:$A,$B32,'EPA Export Aggregation'!$D:$D,$A$1)*IF($A32="CH4",About!$D$58,IF($A32="N2O",About!$D$59,1))</f>
        <v>0.2399578605305</v>
      </c>
      <c r="V32">
        <f>SUMIFS('EPA Export Aggregation'!Y:Y,'EPA Export Aggregation'!$A:$A,$B32,'EPA Export Aggregation'!$D:$D,$A$1)*IF($A32="CH4",About!$D$58,IF($A32="N2O",About!$D$59,1))</f>
        <v>0.21388344017829999</v>
      </c>
      <c r="W32">
        <f>SUMIFS('EPA Export Aggregation'!Z:Z,'EPA Export Aggregation'!$A:$A,$B32,'EPA Export Aggregation'!$D:$D,$A$1)*IF($A32="CH4",About!$D$58,IF($A32="N2O",About!$D$59,1))</f>
        <v>0.19057585817549999</v>
      </c>
      <c r="X32">
        <f>SUMIFS('EPA Export Aggregation'!AA:AA,'EPA Export Aggregation'!$A:$A,$B32,'EPA Export Aggregation'!$D:$D,$A$1)*IF($A32="CH4",About!$D$58,IF($A32="N2O",About!$D$59,1))</f>
        <v>0.19350151178360001</v>
      </c>
      <c r="Y32">
        <f>SUMIFS('EPA Export Aggregation'!AB:AB,'EPA Export Aggregation'!$A:$A,$B32,'EPA Export Aggregation'!$D:$D,$A$1)*IF($A32="CH4",About!$D$58,IF($A32="N2O",About!$D$59,1))</f>
        <v>0.1623833308131</v>
      </c>
      <c r="Z32">
        <f>SUMIFS('EPA Export Aggregation'!AC:AC,'EPA Export Aggregation'!$A:$A,$B32,'EPA Export Aggregation'!$D:$D,$A$1)*IF($A32="CH4",About!$D$58,IF($A32="N2O",About!$D$59,1))</f>
        <v>0.16043847444189999</v>
      </c>
      <c r="AA32">
        <f>SUMIFS('EPA Export Aggregation'!AD:AD,'EPA Export Aggregation'!$A:$A,$B32,'EPA Export Aggregation'!$D:$D,$A$1)*IF($A32="CH4",About!$D$58,IF($A32="N2O",About!$D$59,1))</f>
        <v>0.17156457870530001</v>
      </c>
      <c r="AB32">
        <f>SUMIFS('EPA Export Aggregation'!AE:AE,'EPA Export Aggregation'!$A:$A,$B32,'EPA Export Aggregation'!$D:$D,$A$1)*IF($A32="CH4",About!$D$58,IF($A32="N2O",About!$D$59,1))</f>
        <v>0.13912760496330001</v>
      </c>
      <c r="AC32">
        <f>SUMIFS('EPA Export Aggregation'!AF:AF,'EPA Export Aggregation'!$A:$A,$B32,'EPA Export Aggregation'!$D:$D,$A$1)*IF($A32="CH4",About!$D$58,IF($A32="N2O",About!$D$59,1))</f>
        <v>0.1314464672874</v>
      </c>
      <c r="AD32">
        <f>SUMIFS('EPA Export Aggregation'!AG:AG,'EPA Export Aggregation'!$A:$A,$B32,'EPA Export Aggregation'!$D:$D,$A$1)*IF($A32="CH4",About!$D$58,IF($A32="N2O",About!$D$59,1))</f>
        <v>0.13448757025460001</v>
      </c>
      <c r="AE32">
        <f>SUMIFS('EPA Export Aggregation'!AH:AH,'EPA Export Aggregation'!$A:$A,$B32,'EPA Export Aggregation'!$D:$D,$A$1)*IF($A32="CH4",About!$D$58,IF($A32="N2O",About!$D$59,1))</f>
        <v>0.12962436982289999</v>
      </c>
      <c r="AF32">
        <f>SUMIFS('EPA Export Aggregation'!AI:AI,'EPA Export Aggregation'!$A:$A,$B32,'EPA Export Aggregation'!$D:$D,$A$1)*IF($A32="CH4",About!$D$58,IF($A32="N2O",About!$D$59,1))</f>
        <v>0.13968227502530001</v>
      </c>
      <c r="AG32">
        <f>SUMIFS('EPA Export Aggregation'!AJ:AJ,'EPA Export Aggregation'!$A:$A,$B32,'EPA Export Aggregation'!$D:$D,$A$1)*IF($A32="CH4",About!$D$58,IF($A32="N2O",About!$D$59,1))</f>
        <v>0.1244486244861</v>
      </c>
      <c r="AH32">
        <f>SUMIFS('EPA Export Aggregation'!AK:AK,'EPA Export Aggregation'!$A:$A,$B32,'EPA Export Aggregation'!$D:$D,$A$1)*IF($A32="CH4",About!$D$58,IF($A32="N2O",About!$D$59,1))</f>
        <v>0.1184995246855</v>
      </c>
    </row>
    <row r="33" spans="1:34" x14ac:dyDescent="0.25">
      <c r="A33" s="119" t="s">
        <v>479</v>
      </c>
      <c r="B33" s="120" t="s">
        <v>1985</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121">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3.7527205055000001E-3</v>
      </c>
      <c r="K33">
        <f>SUMIFS('EPA Export Aggregation'!N:N,'EPA Export Aggregation'!$A:$A,$B33,'EPA Export Aggregation'!$D:$D,$A$1)*IF($A33="CH4",About!$D$58,IF($A33="N2O",About!$D$59,1))</f>
        <v>3.3933985461999999E-3</v>
      </c>
      <c r="L33">
        <f>SUMIFS('EPA Export Aggregation'!O:O,'EPA Export Aggregation'!$A:$A,$B33,'EPA Export Aggregation'!$D:$D,$A$1)*IF($A33="CH4",About!$D$58,IF($A33="N2O",About!$D$59,1))</f>
        <v>1.436455985E-2</v>
      </c>
      <c r="M33">
        <f>SUMIFS('EPA Export Aggregation'!P:P,'EPA Export Aggregation'!$A:$A,$B33,'EPA Export Aggregation'!$D:$D,$A$1)*IF($A33="CH4",About!$D$58,IF($A33="N2O",About!$D$59,1))</f>
        <v>1.8439800597999999E-2</v>
      </c>
      <c r="N33">
        <f>SUMIFS('EPA Export Aggregation'!Q:Q,'EPA Export Aggregation'!$A:$A,$B33,'EPA Export Aggregation'!$D:$D,$A$1)*IF($A33="CH4",About!$D$58,IF($A33="N2O",About!$D$59,1))</f>
        <v>5.5852563577000001E-3</v>
      </c>
      <c r="O33" s="121">
        <f>SUMIFS('EPA Export Aggregation'!R:R,'EPA Export Aggregation'!$A:$A,$B33,'EPA Export Aggregation'!$D:$D,$A$1)*IF($A33="CH4",About!$D$58,IF($A33="N2O",About!$D$59,1))</f>
        <v>0</v>
      </c>
      <c r="P33" s="121">
        <f>SUMIFS('EPA Export Aggregation'!S:S,'EPA Export Aggregation'!$A:$A,$B33,'EPA Export Aggregation'!$D:$D,$A$1)*IF($A33="CH4",About!$D$58,IF($A33="N2O",About!$D$59,1))</f>
        <v>5.4980500898999998E-3</v>
      </c>
      <c r="Q33">
        <f>SUMIFS('EPA Export Aggregation'!T:T,'EPA Export Aggregation'!$A:$A,$B33,'EPA Export Aggregation'!$D:$D,$A$1)*IF($A33="CH4",About!$D$58,IF($A33="N2O",About!$D$59,1))</f>
        <v>4.8277338499000001E-3</v>
      </c>
      <c r="R33" s="121">
        <f>SUMIFS('EPA Export Aggregation'!U:U,'EPA Export Aggregation'!$A:$A,$B33,'EPA Export Aggregation'!$D:$D,$A$1)*IF($A33="CH4",About!$D$58,IF($A33="N2O",About!$D$59,1))</f>
        <v>3.3702650256300003E-2</v>
      </c>
      <c r="S33" s="121">
        <f>SUMIFS('EPA Export Aggregation'!V:V,'EPA Export Aggregation'!$A:$A,$B33,'EPA Export Aggregation'!$D:$D,$A$1)*IF($A33="CH4",About!$D$58,IF($A33="N2O",About!$D$59,1))</f>
        <v>0</v>
      </c>
      <c r="T33" s="121">
        <f>SUMIFS('EPA Export Aggregation'!W:W,'EPA Export Aggregation'!$A:$A,$B33,'EPA Export Aggregation'!$D:$D,$A$1)*IF($A33="CH4",About!$D$58,IF($A33="N2O",About!$D$59,1))</f>
        <v>2.9037947912E-3</v>
      </c>
      <c r="U33">
        <f>SUMIFS('EPA Export Aggregation'!X:X,'EPA Export Aggregation'!$A:$A,$B33,'EPA Export Aggregation'!$D:$D,$A$1)*IF($A33="CH4",About!$D$58,IF($A33="N2O",About!$D$59,1))</f>
        <v>0</v>
      </c>
      <c r="V33" s="121">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121">
        <f>SUMIFS('EPA Export Aggregation'!AB:AB,'EPA Export Aggregation'!$A:$A,$B33,'EPA Export Aggregation'!$D:$D,$A$1)*IF($A33="CH4",About!$D$58,IF($A33="N2O",About!$D$59,1))</f>
        <v>0</v>
      </c>
      <c r="Z33">
        <f>SUMIFS('EPA Export Aggregation'!AC:AC,'EPA Export Aggregation'!$A:$A,$B33,'EPA Export Aggregation'!$D:$D,$A$1)*IF($A33="CH4",About!$D$58,IF($A33="N2O",About!$D$59,1))</f>
        <v>0</v>
      </c>
      <c r="AA33" s="121">
        <f>SUMIFS('EPA Export Aggregation'!AD:AD,'EPA Export Aggregation'!$A:$A,$B33,'EPA Export Aggregation'!$D:$D,$A$1)*IF($A33="CH4",About!$D$58,IF($A33="N2O",About!$D$59,1))</f>
        <v>0</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25">
      <c r="A34" s="119" t="s">
        <v>479</v>
      </c>
      <c r="B34" s="120" t="s">
        <v>1986</v>
      </c>
      <c r="C34">
        <f>SUMIFS('EPA Export Aggregation'!F:F,'EPA Export Aggregation'!$A:$A,$B34,'EPA Export Aggregation'!$D:$D,$A$1)*IF($A34="CH4",About!$D$58,IF($A34="N2O",About!$D$59,1))</f>
        <v>5.0993670204999998E-3</v>
      </c>
      <c r="D34">
        <f>SUMIFS('EPA Export Aggregation'!G:G,'EPA Export Aggregation'!$A:$A,$B34,'EPA Export Aggregation'!$D:$D,$A$1)*IF($A34="CH4",About!$D$58,IF($A34="N2O",About!$D$59,1))</f>
        <v>2.4492707974000001E-3</v>
      </c>
      <c r="E34">
        <f>SUMIFS('EPA Export Aggregation'!H:H,'EPA Export Aggregation'!$A:$A,$B34,'EPA Export Aggregation'!$D:$D,$A$1)*IF($A34="CH4",About!$D$58,IF($A34="N2O",About!$D$59,1))</f>
        <v>2.7261545254000001E-3</v>
      </c>
      <c r="F34">
        <f>SUMIFS('EPA Export Aggregation'!I:I,'EPA Export Aggregation'!$A:$A,$B34,'EPA Export Aggregation'!$D:$D,$A$1)*IF($A34="CH4",About!$D$58,IF($A34="N2O",About!$D$59,1))</f>
        <v>3.4793636335999998E-3</v>
      </c>
      <c r="G34">
        <f>SUMIFS('EPA Export Aggregation'!J:J,'EPA Export Aggregation'!$A:$A,$B34,'EPA Export Aggregation'!$D:$D,$A$1)*IF($A34="CH4",About!$D$58,IF($A34="N2O",About!$D$59,1))</f>
        <v>3.1634907617000001E-3</v>
      </c>
      <c r="H34">
        <f>SUMIFS('EPA Export Aggregation'!K:K,'EPA Export Aggregation'!$A:$A,$B34,'EPA Export Aggregation'!$D:$D,$A$1)*IF($A34="CH4",About!$D$58,IF($A34="N2O",About!$D$59,1))</f>
        <v>2.7757268740999999E-3</v>
      </c>
      <c r="I34">
        <f>SUMIFS('EPA Export Aggregation'!L:L,'EPA Export Aggregation'!$A:$A,$B34,'EPA Export Aggregation'!$D:$D,$A$1)*IF($A34="CH4",About!$D$58,IF($A34="N2O",About!$D$59,1))</f>
        <v>3.6241728507000002E-3</v>
      </c>
      <c r="J34">
        <f>SUMIFS('EPA Export Aggregation'!M:M,'EPA Export Aggregation'!$A:$A,$B34,'EPA Export Aggregation'!$D:$D,$A$1)*IF($A34="CH4",About!$D$58,IF($A34="N2O",About!$D$59,1))</f>
        <v>4.5292830142999998E-3</v>
      </c>
      <c r="K34">
        <f>SUMIFS('EPA Export Aggregation'!N:N,'EPA Export Aggregation'!$A:$A,$B34,'EPA Export Aggregation'!$D:$D,$A$1)*IF($A34="CH4",About!$D$58,IF($A34="N2O",About!$D$59,1))</f>
        <v>5.5319412137999997E-3</v>
      </c>
      <c r="L34">
        <f>SUMIFS('EPA Export Aggregation'!O:O,'EPA Export Aggregation'!$A:$A,$B34,'EPA Export Aggregation'!$D:$D,$A$1)*IF($A34="CH4",About!$D$58,IF($A34="N2O",About!$D$59,1))</f>
        <v>6.6544222081E-3</v>
      </c>
      <c r="M34">
        <f>SUMIFS('EPA Export Aggregation'!P:P,'EPA Export Aggregation'!$A:$A,$B34,'EPA Export Aggregation'!$D:$D,$A$1)*IF($A34="CH4",About!$D$58,IF($A34="N2O",About!$D$59,1))</f>
        <v>6.8620201396999998E-3</v>
      </c>
      <c r="N34">
        <f>SUMIFS('EPA Export Aggregation'!Q:Q,'EPA Export Aggregation'!$A:$A,$B34,'EPA Export Aggregation'!$D:$D,$A$1)*IF($A34="CH4",About!$D$58,IF($A34="N2O",About!$D$59,1))</f>
        <v>4.9846375760000004E-3</v>
      </c>
      <c r="O34">
        <f>SUMIFS('EPA Export Aggregation'!R:R,'EPA Export Aggregation'!$A:$A,$B34,'EPA Export Aggregation'!$D:$D,$A$1)*IF($A34="CH4",About!$D$58,IF($A34="N2O",About!$D$59,1))</f>
        <v>2.3980658623000001E-3</v>
      </c>
      <c r="P34">
        <f>SUMIFS('EPA Export Aggregation'!S:S,'EPA Export Aggregation'!$A:$A,$B34,'EPA Export Aggregation'!$D:$D,$A$1)*IF($A34="CH4",About!$D$58,IF($A34="N2O",About!$D$59,1))</f>
        <v>2.2425363936000001E-3</v>
      </c>
      <c r="Q34">
        <f>SUMIFS('EPA Export Aggregation'!T:T,'EPA Export Aggregation'!$A:$A,$B34,'EPA Export Aggregation'!$D:$D,$A$1)*IF($A34="CH4",About!$D$58,IF($A34="N2O",About!$D$59,1))</f>
        <v>4.3489706976000001E-3</v>
      </c>
      <c r="R34">
        <f>SUMIFS('EPA Export Aggregation'!U:U,'EPA Export Aggregation'!$A:$A,$B34,'EPA Export Aggregation'!$D:$D,$A$1)*IF($A34="CH4",About!$D$58,IF($A34="N2O",About!$D$59,1))</f>
        <v>4.3061149716999998E-3</v>
      </c>
      <c r="S34">
        <f>SUMIFS('EPA Export Aggregation'!V:V,'EPA Export Aggregation'!$A:$A,$B34,'EPA Export Aggregation'!$D:$D,$A$1)*IF($A34="CH4",About!$D$58,IF($A34="N2O",About!$D$59,1))</f>
        <v>4.2893460341E-3</v>
      </c>
      <c r="T34">
        <f>SUMIFS('EPA Export Aggregation'!W:W,'EPA Export Aggregation'!$A:$A,$B34,'EPA Export Aggregation'!$D:$D,$A$1)*IF($A34="CH4",About!$D$58,IF($A34="N2O",About!$D$59,1))</f>
        <v>7.1550394628999998E-3</v>
      </c>
      <c r="U34">
        <f>SUMIFS('EPA Export Aggregation'!X:X,'EPA Export Aggregation'!$A:$A,$B34,'EPA Export Aggregation'!$D:$D,$A$1)*IF($A34="CH4",About!$D$58,IF($A34="N2O",About!$D$59,1))</f>
        <v>7.0285718951000001E-3</v>
      </c>
      <c r="V34">
        <f>SUMIFS('EPA Export Aggregation'!Y:Y,'EPA Export Aggregation'!$A:$A,$B34,'EPA Export Aggregation'!$D:$D,$A$1)*IF($A34="CH4",About!$D$58,IF($A34="N2O",About!$D$59,1))</f>
        <v>6.5733477274999997E-3</v>
      </c>
      <c r="W34">
        <f>SUMIFS('EPA Export Aggregation'!Z:Z,'EPA Export Aggregation'!$A:$A,$B34,'EPA Export Aggregation'!$D:$D,$A$1)*IF($A34="CH4",About!$D$58,IF($A34="N2O",About!$D$59,1))</f>
        <v>7.8634369349000009E-3</v>
      </c>
      <c r="X34">
        <f>SUMIFS('EPA Export Aggregation'!AA:AA,'EPA Export Aggregation'!$A:$A,$B34,'EPA Export Aggregation'!$D:$D,$A$1)*IF($A34="CH4",About!$D$58,IF($A34="N2O",About!$D$59,1))</f>
        <v>1.13776823006E-2</v>
      </c>
      <c r="Y34">
        <f>SUMIFS('EPA Export Aggregation'!AB:AB,'EPA Export Aggregation'!$A:$A,$B34,'EPA Export Aggregation'!$D:$D,$A$1)*IF($A34="CH4",About!$D$58,IF($A34="N2O",About!$D$59,1))</f>
        <v>1.2620020684E-2</v>
      </c>
      <c r="Z34">
        <f>SUMIFS('EPA Export Aggregation'!AC:AC,'EPA Export Aggregation'!$A:$A,$B34,'EPA Export Aggregation'!$D:$D,$A$1)*IF($A34="CH4",About!$D$58,IF($A34="N2O",About!$D$59,1))</f>
        <v>1.34711583658E-2</v>
      </c>
      <c r="AA34">
        <f>SUMIFS('EPA Export Aggregation'!AD:AD,'EPA Export Aggregation'!$A:$A,$B34,'EPA Export Aggregation'!$D:$D,$A$1)*IF($A34="CH4",About!$D$58,IF($A34="N2O",About!$D$59,1))</f>
        <v>1.52803688046E-2</v>
      </c>
      <c r="AB34">
        <f>SUMIFS('EPA Export Aggregation'!AE:AE,'EPA Export Aggregation'!$A:$A,$B34,'EPA Export Aggregation'!$D:$D,$A$1)*IF($A34="CH4",About!$D$58,IF($A34="N2O",About!$D$59,1))</f>
        <v>1.5683709455999999E-2</v>
      </c>
      <c r="AC34">
        <f>SUMIFS('EPA Export Aggregation'!AF:AF,'EPA Export Aggregation'!$A:$A,$B34,'EPA Export Aggregation'!$D:$D,$A$1)*IF($A34="CH4",About!$D$58,IF($A34="N2O",About!$D$59,1))</f>
        <v>1.1080277480400001E-2</v>
      </c>
      <c r="AD34">
        <f>SUMIFS('EPA Export Aggregation'!AG:AG,'EPA Export Aggregation'!$A:$A,$B34,'EPA Export Aggregation'!$D:$D,$A$1)*IF($A34="CH4",About!$D$58,IF($A34="N2O",About!$D$59,1))</f>
        <v>1.39822895328E-2</v>
      </c>
      <c r="AE34">
        <f>SUMIFS('EPA Export Aggregation'!AH:AH,'EPA Export Aggregation'!$A:$A,$B34,'EPA Export Aggregation'!$D:$D,$A$1)*IF($A34="CH4",About!$D$58,IF($A34="N2O",About!$D$59,1))</f>
        <v>1.34473946259E-2</v>
      </c>
      <c r="AF34">
        <f>SUMIFS('EPA Export Aggregation'!AI:AI,'EPA Export Aggregation'!$A:$A,$B34,'EPA Export Aggregation'!$D:$D,$A$1)*IF($A34="CH4",About!$D$58,IF($A34="N2O",About!$D$59,1))</f>
        <v>1.29350353838E-2</v>
      </c>
      <c r="AG34">
        <f>SUMIFS('EPA Export Aggregation'!AJ:AJ,'EPA Export Aggregation'!$A:$A,$B34,'EPA Export Aggregation'!$D:$D,$A$1)*IF($A34="CH4",About!$D$58,IF($A34="N2O",About!$D$59,1))</f>
        <v>1.24226761417E-2</v>
      </c>
      <c r="AH34">
        <f>SUMIFS('EPA Export Aggregation'!AK:AK,'EPA Export Aggregation'!$A:$A,$B34,'EPA Export Aggregation'!$D:$D,$A$1)*IF($A34="CH4",About!$D$58,IF($A34="N2O",About!$D$59,1))</f>
        <v>1.1910316899599999E-2</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1.7270972766E-3</v>
      </c>
      <c r="D74">
        <f>SUMIFS('EPA Export Aggregation'!G:G,'EPA Export Aggregation'!$A:$A,$B74,'EPA Export Aggregation'!$D:$D,$A$1)*IF($A74="CH4",About!$D$58,IF($A74="N2O",About!$D$59,1))</f>
        <v>3.6868375171999999E-3</v>
      </c>
      <c r="E74">
        <f>SUMIFS('EPA Export Aggregation'!H:H,'EPA Export Aggregation'!$A:$A,$B74,'EPA Export Aggregation'!$D:$D,$A$1)*IF($A74="CH4",About!$D$58,IF($A74="N2O",About!$D$59,1))</f>
        <v>9.1106601149999987E-3</v>
      </c>
      <c r="F74">
        <f>SUMIFS('EPA Export Aggregation'!I:I,'EPA Export Aggregation'!$A:$A,$B74,'EPA Export Aggregation'!$D:$D,$A$1)*IF($A74="CH4",About!$D$58,IF($A74="N2O",About!$D$59,1))</f>
        <v>2.8919185524199999E-2</v>
      </c>
      <c r="G74">
        <f>SUMIFS('EPA Export Aggregation'!J:J,'EPA Export Aggregation'!$A:$A,$B74,'EPA Export Aggregation'!$D:$D,$A$1)*IF($A74="CH4",About!$D$58,IF($A74="N2O",About!$D$59,1))</f>
        <v>6.9061478867999987E-2</v>
      </c>
      <c r="H74">
        <f>SUMIFS('EPA Export Aggregation'!K:K,'EPA Export Aggregation'!$A:$A,$B74,'EPA Export Aggregation'!$D:$D,$A$1)*IF($A74="CH4",About!$D$58,IF($A74="N2O",About!$D$59,1))</f>
        <v>0.15162775846279999</v>
      </c>
      <c r="I74">
        <f>SUMIFS('EPA Export Aggregation'!L:L,'EPA Export Aggregation'!$A:$A,$B74,'EPA Export Aggregation'!$D:$D,$A$1)*IF($A74="CH4",About!$D$58,IF($A74="N2O",About!$D$59,1))</f>
        <v>0.2153785971461</v>
      </c>
      <c r="J74">
        <f>SUMIFS('EPA Export Aggregation'!M:M,'EPA Export Aggregation'!$A:$A,$B74,'EPA Export Aggregation'!$D:$D,$A$1)*IF($A74="CH4",About!$D$58,IF($A74="N2O",About!$D$59,1))</f>
        <v>0.27515458252569996</v>
      </c>
      <c r="K74">
        <f>SUMIFS('EPA Export Aggregation'!N:N,'EPA Export Aggregation'!$A:$A,$B74,'EPA Export Aggregation'!$D:$D,$A$1)*IF($A74="CH4",About!$D$58,IF($A74="N2O",About!$D$59,1))</f>
        <v>0.31937837273809994</v>
      </c>
      <c r="L74">
        <f>SUMIFS('EPA Export Aggregation'!O:O,'EPA Export Aggregation'!$A:$A,$B74,'EPA Export Aggregation'!$D:$D,$A$1)*IF($A74="CH4",About!$D$58,IF($A74="N2O",About!$D$59,1))</f>
        <v>0.36394758683770007</v>
      </c>
      <c r="M74">
        <f>SUMIFS('EPA Export Aggregation'!P:P,'EPA Export Aggregation'!$A:$A,$B74,'EPA Export Aggregation'!$D:$D,$A$1)*IF($A74="CH4",About!$D$58,IF($A74="N2O",About!$D$59,1))</f>
        <v>0.40046683326679999</v>
      </c>
      <c r="N74">
        <f>SUMIFS('EPA Export Aggregation'!Q:Q,'EPA Export Aggregation'!$A:$A,$B74,'EPA Export Aggregation'!$D:$D,$A$1)*IF($A74="CH4",About!$D$58,IF($A74="N2O",About!$D$59,1))</f>
        <v>0.43763243903770005</v>
      </c>
      <c r="O74">
        <f>SUMIFS('EPA Export Aggregation'!R:R,'EPA Export Aggregation'!$A:$A,$B74,'EPA Export Aggregation'!$D:$D,$A$1)*IF($A74="CH4",About!$D$58,IF($A74="N2O",About!$D$59,1))</f>
        <v>0.46956775834219999</v>
      </c>
      <c r="P74">
        <f>SUMIFS('EPA Export Aggregation'!S:S,'EPA Export Aggregation'!$A:$A,$B74,'EPA Export Aggregation'!$D:$D,$A$1)*IF($A74="CH4",About!$D$58,IF($A74="N2O",About!$D$59,1))</f>
        <v>0.50013268458089999</v>
      </c>
      <c r="Q74">
        <f>SUMIFS('EPA Export Aggregation'!T:T,'EPA Export Aggregation'!$A:$A,$B74,'EPA Export Aggregation'!$D:$D,$A$1)*IF($A74="CH4",About!$D$58,IF($A74="N2O",About!$D$59,1))</f>
        <v>0.52589064266579999</v>
      </c>
      <c r="R74">
        <f>SUMIFS('EPA Export Aggregation'!U:U,'EPA Export Aggregation'!$A:$A,$B74,'EPA Export Aggregation'!$D:$D,$A$1)*IF($A74="CH4",About!$D$58,IF($A74="N2O",About!$D$59,1))</f>
        <v>0.5615095032838</v>
      </c>
      <c r="S74">
        <f>SUMIFS('EPA Export Aggregation'!V:V,'EPA Export Aggregation'!$A:$A,$B74,'EPA Export Aggregation'!$D:$D,$A$1)*IF($A74="CH4",About!$D$58,IF($A74="N2O",About!$D$59,1))</f>
        <v>0.60910706194160003</v>
      </c>
      <c r="T74">
        <f>SUMIFS('EPA Export Aggregation'!W:W,'EPA Export Aggregation'!$A:$A,$B74,'EPA Export Aggregation'!$D:$D,$A$1)*IF($A74="CH4",About!$D$58,IF($A74="N2O",About!$D$59,1))</f>
        <v>0.66743127612199993</v>
      </c>
      <c r="U74">
        <f>SUMIFS('EPA Export Aggregation'!X:X,'EPA Export Aggregation'!$A:$A,$B74,'EPA Export Aggregation'!$D:$D,$A$1)*IF($A74="CH4",About!$D$58,IF($A74="N2O",About!$D$59,1))</f>
        <v>0.73188376667569988</v>
      </c>
      <c r="V74">
        <f>SUMIFS('EPA Export Aggregation'!Y:Y,'EPA Export Aggregation'!$A:$A,$B74,'EPA Export Aggregation'!$D:$D,$A$1)*IF($A74="CH4",About!$D$58,IF($A74="N2O",About!$D$59,1))</f>
        <v>0.80181615397579986</v>
      </c>
      <c r="W74">
        <f>SUMIFS('EPA Export Aggregation'!Z:Z,'EPA Export Aggregation'!$A:$A,$B74,'EPA Export Aggregation'!$D:$D,$A$1)*IF($A74="CH4",About!$D$58,IF($A74="N2O",About!$D$59,1))</f>
        <v>0.8026154326246</v>
      </c>
      <c r="X74">
        <f>SUMIFS('EPA Export Aggregation'!AA:AA,'EPA Export Aggregation'!$A:$A,$B74,'EPA Export Aggregation'!$D:$D,$A$1)*IF($A74="CH4",About!$D$58,IF($A74="N2O",About!$D$59,1))</f>
        <v>0.74319375395499987</v>
      </c>
      <c r="Y74">
        <f>SUMIFS('EPA Export Aggregation'!AB:AB,'EPA Export Aggregation'!$A:$A,$B74,'EPA Export Aggregation'!$D:$D,$A$1)*IF($A74="CH4",About!$D$58,IF($A74="N2O",About!$D$59,1))</f>
        <v>0.99541153865550014</v>
      </c>
      <c r="Z74">
        <f>SUMIFS('EPA Export Aggregation'!AC:AC,'EPA Export Aggregation'!$A:$A,$B74,'EPA Export Aggregation'!$D:$D,$A$1)*IF($A74="CH4",About!$D$58,IF($A74="N2O",About!$D$59,1))</f>
        <v>0.76188532997610003</v>
      </c>
      <c r="AA74">
        <f>SUMIFS('EPA Export Aggregation'!AD:AD,'EPA Export Aggregation'!$A:$A,$B74,'EPA Export Aggregation'!$D:$D,$A$1)*IF($A74="CH4",About!$D$58,IF($A74="N2O",About!$D$59,1))</f>
        <v>0.78892215917310005</v>
      </c>
      <c r="AB74">
        <f>SUMIFS('EPA Export Aggregation'!AE:AE,'EPA Export Aggregation'!$A:$A,$B74,'EPA Export Aggregation'!$D:$D,$A$1)*IF($A74="CH4",About!$D$58,IF($A74="N2O",About!$D$59,1))</f>
        <v>0.72483329971070021</v>
      </c>
      <c r="AC74">
        <f>SUMIFS('EPA Export Aggregation'!AF:AF,'EPA Export Aggregation'!$A:$A,$B74,'EPA Export Aggregation'!$D:$D,$A$1)*IF($A74="CH4",About!$D$58,IF($A74="N2O",About!$D$59,1))</f>
        <v>0.67158929748010021</v>
      </c>
      <c r="AD74">
        <f>SUMIFS('EPA Export Aggregation'!AG:AG,'EPA Export Aggregation'!$A:$A,$B74,'EPA Export Aggregation'!$D:$D,$A$1)*IF($A74="CH4",About!$D$58,IF($A74="N2O",About!$D$59,1))</f>
        <v>0.62770276055639995</v>
      </c>
      <c r="AE74">
        <f>SUMIFS('EPA Export Aggregation'!AH:AH,'EPA Export Aggregation'!$A:$A,$B74,'EPA Export Aggregation'!$D:$D,$A$1)*IF($A74="CH4",About!$D$58,IF($A74="N2O",About!$D$59,1))</f>
        <v>0.80165248767679986</v>
      </c>
      <c r="AF74">
        <f>SUMIFS('EPA Export Aggregation'!AI:AI,'EPA Export Aggregation'!$A:$A,$B74,'EPA Export Aggregation'!$D:$D,$A$1)*IF($A74="CH4",About!$D$58,IF($A74="N2O",About!$D$59,1))</f>
        <v>0.72727760951660003</v>
      </c>
      <c r="AG74">
        <f>SUMIFS('EPA Export Aggregation'!AJ:AJ,'EPA Export Aggregation'!$A:$A,$B74,'EPA Export Aggregation'!$D:$D,$A$1)*IF($A74="CH4",About!$D$58,IF($A74="N2O",About!$D$59,1))</f>
        <v>0.9603422508074001</v>
      </c>
      <c r="AH74">
        <f>SUMIFS('EPA Export Aggregation'!AK:AK,'EPA Export Aggregation'!$A:$A,$B74,'EPA Export Aggregation'!$D:$D,$A$1)*IF($A74="CH4",About!$D$58,IF($A74="N2O",About!$D$59,1))</f>
        <v>0.99371020591329984</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8.7478373468999997E-3</v>
      </c>
      <c r="D76" s="121">
        <f>SUMIFS('EPA Export Aggregation'!G:G,'EPA Export Aggregation'!$A:$A,$B76,'EPA Export Aggregation'!$D:$D,$A$1)*IF($A76="CH4",About!$D$58,IF($A76="N2O",About!$D$59,1))</f>
        <v>8.7478373468999997E-3</v>
      </c>
      <c r="E76" s="121">
        <f>SUMIFS('EPA Export Aggregation'!H:H,'EPA Export Aggregation'!$A:$A,$B76,'EPA Export Aggregation'!$D:$D,$A$1)*IF($A76="CH4",About!$D$58,IF($A76="N2O",About!$D$59,1))</f>
        <v>8.7478373468999997E-3</v>
      </c>
      <c r="F76" s="121">
        <f>SUMIFS('EPA Export Aggregation'!I:I,'EPA Export Aggregation'!$A:$A,$B76,'EPA Export Aggregation'!$D:$D,$A$1)*IF($A76="CH4",About!$D$58,IF($A76="N2O",About!$D$59,1))</f>
        <v>1.0934795730899999E-2</v>
      </c>
      <c r="G76" s="121">
        <f>SUMIFS('EPA Export Aggregation'!J:J,'EPA Export Aggregation'!$A:$A,$B76,'EPA Export Aggregation'!$D:$D,$A$1)*IF($A76="CH4",About!$D$58,IF($A76="N2O",About!$D$59,1))</f>
        <v>1.20282761745E-2</v>
      </c>
      <c r="H76" s="121">
        <f>SUMIFS('EPA Export Aggregation'!K:K,'EPA Export Aggregation'!$A:$A,$B76,'EPA Export Aggregation'!$D:$D,$A$1)*IF($A76="CH4",About!$D$58,IF($A76="N2O",About!$D$59,1))</f>
        <v>1.5115462269100001E-2</v>
      </c>
      <c r="I76" s="121">
        <f>SUMIFS('EPA Export Aggregation'!L:L,'EPA Export Aggregation'!$A:$A,$B76,'EPA Export Aggregation'!$D:$D,$A$1)*IF($A76="CH4",About!$D$58,IF($A76="N2O",About!$D$59,1))</f>
        <v>1.6785160015300001E-2</v>
      </c>
      <c r="J76" s="121">
        <f>SUMIFS('EPA Export Aggregation'!M:M,'EPA Export Aggregation'!$A:$A,$B76,'EPA Export Aggregation'!$D:$D,$A$1)*IF($A76="CH4",About!$D$58,IF($A76="N2O",About!$D$59,1))</f>
        <v>1.7738557697000001E-2</v>
      </c>
      <c r="K76" s="121">
        <f>SUMIFS('EPA Export Aggregation'!N:N,'EPA Export Aggregation'!$A:$A,$B76,'EPA Export Aggregation'!$D:$D,$A$1)*IF($A76="CH4",About!$D$58,IF($A76="N2O",About!$D$59,1))</f>
        <v>2.1750594217499999E-2</v>
      </c>
      <c r="L76" s="121">
        <f>SUMIFS('EPA Export Aggregation'!O:O,'EPA Export Aggregation'!$A:$A,$B76,'EPA Export Aggregation'!$D:$D,$A$1)*IF($A76="CH4",About!$D$58,IF($A76="N2O",About!$D$59,1))</f>
        <v>2.2071622161999999E-2</v>
      </c>
      <c r="M76" s="121">
        <f>SUMIFS('EPA Export Aggregation'!P:P,'EPA Export Aggregation'!$A:$A,$B76,'EPA Export Aggregation'!$D:$D,$A$1)*IF($A76="CH4",About!$D$58,IF($A76="N2O",About!$D$59,1))</f>
        <v>1.3441303625299999E-2</v>
      </c>
      <c r="N76" s="121">
        <f>SUMIFS('EPA Export Aggregation'!Q:Q,'EPA Export Aggregation'!$A:$A,$B76,'EPA Export Aggregation'!$D:$D,$A$1)*IF($A76="CH4",About!$D$58,IF($A76="N2O",About!$D$59,1))</f>
        <v>8.9318825540000008E-3</v>
      </c>
      <c r="O76" s="121">
        <f>SUMIFS('EPA Export Aggregation'!R:R,'EPA Export Aggregation'!$A:$A,$B76,'EPA Export Aggregation'!$D:$D,$A$1)*IF($A76="CH4",About!$D$58,IF($A76="N2O",About!$D$59,1))</f>
        <v>8.5389936154999999E-3</v>
      </c>
      <c r="P76" s="121">
        <f>SUMIFS('EPA Export Aggregation'!S:S,'EPA Export Aggregation'!$A:$A,$B76,'EPA Export Aggregation'!$D:$D,$A$1)*IF($A76="CH4",About!$D$58,IF($A76="N2O",About!$D$59,1))</f>
        <v>8.9290260973999992E-3</v>
      </c>
      <c r="Q76" s="121">
        <f>SUMIFS('EPA Export Aggregation'!T:T,'EPA Export Aggregation'!$A:$A,$B76,'EPA Export Aggregation'!$D:$D,$A$1)*IF($A76="CH4",About!$D$58,IF($A76="N2O",About!$D$59,1))</f>
        <v>8.8902103435000001E-3</v>
      </c>
      <c r="R76" s="121">
        <f>SUMIFS('EPA Export Aggregation'!U:U,'EPA Export Aggregation'!$A:$A,$B76,'EPA Export Aggregation'!$D:$D,$A$1)*IF($A76="CH4",About!$D$58,IF($A76="N2O",About!$D$59,1))</f>
        <v>8.5341894529999997E-3</v>
      </c>
      <c r="S76" s="121">
        <f>SUMIFS('EPA Export Aggregation'!V:V,'EPA Export Aggregation'!$A:$A,$B76,'EPA Export Aggregation'!$D:$D,$A$1)*IF($A76="CH4",About!$D$58,IF($A76="N2O",About!$D$59,1))</f>
        <v>1.01606626228E-2</v>
      </c>
      <c r="T76" s="121">
        <f>SUMIFS('EPA Export Aggregation'!W:W,'EPA Export Aggregation'!$A:$A,$B76,'EPA Export Aggregation'!$D:$D,$A$1)*IF($A76="CH4",About!$D$58,IF($A76="N2O",About!$D$59,1))</f>
        <v>9.8874830151000001E-3</v>
      </c>
      <c r="U76" s="121">
        <f>SUMIFS('EPA Export Aggregation'!X:X,'EPA Export Aggregation'!$A:$A,$B76,'EPA Export Aggregation'!$D:$D,$A$1)*IF($A76="CH4",About!$D$58,IF($A76="N2O",About!$D$59,1))</f>
        <v>9.3452420822000004E-3</v>
      </c>
      <c r="V76" s="121">
        <f>SUMIFS('EPA Export Aggregation'!Y:Y,'EPA Export Aggregation'!$A:$A,$B76,'EPA Export Aggregation'!$D:$D,$A$1)*IF($A76="CH4",About!$D$58,IF($A76="N2O",About!$D$59,1))</f>
        <v>7.3193309895999998E-3</v>
      </c>
      <c r="W76" s="121">
        <f>SUMIFS('EPA Export Aggregation'!Z:Z,'EPA Export Aggregation'!$A:$A,$B76,'EPA Export Aggregation'!$D:$D,$A$1)*IF($A76="CH4",About!$D$58,IF($A76="N2O",About!$D$59,1))</f>
        <v>9.7784776181000007E-3</v>
      </c>
      <c r="X76" s="121">
        <f>SUMIFS('EPA Export Aggregation'!AA:AA,'EPA Export Aggregation'!$A:$A,$B76,'EPA Export Aggregation'!$D:$D,$A$1)*IF($A76="CH4",About!$D$58,IF($A76="N2O",About!$D$59,1))</f>
        <v>1.3125747649999999E-4</v>
      </c>
      <c r="Y76" s="121">
        <f>SUMIFS('EPA Export Aggregation'!AB:AB,'EPA Export Aggregation'!$A:$A,$B76,'EPA Export Aggregation'!$D:$D,$A$1)*IF($A76="CH4",About!$D$58,IF($A76="N2O",About!$D$59,1))</f>
        <v>1.3960883649999999E-4</v>
      </c>
      <c r="Z76" s="121">
        <f>SUMIFS('EPA Export Aggregation'!AC:AC,'EPA Export Aggregation'!$A:$A,$B76,'EPA Export Aggregation'!$D:$D,$A$1)*IF($A76="CH4",About!$D$58,IF($A76="N2O",About!$D$59,1))</f>
        <v>1.6882019679999999E-2</v>
      </c>
      <c r="AA76" s="121">
        <f>SUMIFS('EPA Export Aggregation'!AD:AD,'EPA Export Aggregation'!$A:$A,$B76,'EPA Export Aggregation'!$D:$D,$A$1)*IF($A76="CH4",About!$D$58,IF($A76="N2O",About!$D$59,1))</f>
        <v>1.72359482E-2</v>
      </c>
      <c r="AB76" s="121">
        <f>SUMIFS('EPA Export Aggregation'!AE:AE,'EPA Export Aggregation'!$A:$A,$B76,'EPA Export Aggregation'!$D:$D,$A$1)*IF($A76="CH4",About!$D$58,IF($A76="N2O",About!$D$59,1))</f>
        <v>1.6149976999999999E-2</v>
      </c>
      <c r="AC76" s="121">
        <f>SUMIFS('EPA Export Aggregation'!AF:AF,'EPA Export Aggregation'!$A:$A,$B76,'EPA Export Aggregation'!$D:$D,$A$1)*IF($A76="CH4",About!$D$58,IF($A76="N2O",About!$D$59,1))</f>
        <v>1.6385102039599999E-2</v>
      </c>
      <c r="AD76" s="121">
        <f>SUMIFS('EPA Export Aggregation'!AG:AG,'EPA Export Aggregation'!$A:$A,$B76,'EPA Export Aggregation'!$D:$D,$A$1)*IF($A76="CH4",About!$D$58,IF($A76="N2O",About!$D$59,1))</f>
        <v>1.76333784E-2</v>
      </c>
      <c r="AE76" s="121">
        <f>SUMIFS('EPA Export Aggregation'!AH:AH,'EPA Export Aggregation'!$A:$A,$B76,'EPA Export Aggregation'!$D:$D,$A$1)*IF($A76="CH4",About!$D$58,IF($A76="N2O",About!$D$59,1))</f>
        <v>1.04106302704E-2</v>
      </c>
      <c r="AF76" s="121">
        <f>SUMIFS('EPA Export Aggregation'!AI:AI,'EPA Export Aggregation'!$A:$A,$B76,'EPA Export Aggregation'!$D:$D,$A$1)*IF($A76="CH4",About!$D$58,IF($A76="N2O",About!$D$59,1))</f>
        <v>1.43440484596E-2</v>
      </c>
      <c r="AG76" s="121">
        <f>SUMIFS('EPA Export Aggregation'!AJ:AJ,'EPA Export Aggregation'!$A:$A,$B76,'EPA Export Aggregation'!$D:$D,$A$1)*IF($A76="CH4",About!$D$58,IF($A76="N2O",About!$D$59,1))</f>
        <v>7.1073336418999997E-3</v>
      </c>
      <c r="AH76" s="121">
        <f>SUMIFS('EPA Export Aggregation'!AK:AK,'EPA Export Aggregation'!$A:$A,$B76,'EPA Export Aggregation'!$D:$D,$A$1)*IF($A76="CH4",About!$D$58,IF($A76="N2O",About!$D$59,1))</f>
        <v>4.2610171564000003E-3</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2026</v>
      </c>
      <c r="B80" s="120" t="s">
        <v>2033</v>
      </c>
      <c r="C80" s="121">
        <f>SUMIFS('EPA Export Aggregation'!F:F,'EPA Export Aggregation'!$A:$A,$B80,'EPA Export Aggregation'!$D:$D,$A$1)*IF($A80="CH4",About!$D$58,IF($A80="N2O",About!$D$59,1))</f>
        <v>0.12262842255070069</v>
      </c>
      <c r="D80" s="121">
        <f>SUMIFS('EPA Export Aggregation'!G:G,'EPA Export Aggregation'!$A:$A,$B80,'EPA Export Aggregation'!$D:$D,$A$1)*IF($A80="CH4",About!$D$58,IF($A80="N2O",About!$D$59,1))</f>
        <v>0.12262842255070069</v>
      </c>
      <c r="E80" s="121">
        <f>SUMIFS('EPA Export Aggregation'!H:H,'EPA Export Aggregation'!$A:$A,$B80,'EPA Export Aggregation'!$D:$D,$A$1)*IF($A80="CH4",About!$D$58,IF($A80="N2O",About!$D$59,1))</f>
        <v>0.12262842255070069</v>
      </c>
      <c r="F80" s="121">
        <f>SUMIFS('EPA Export Aggregation'!I:I,'EPA Export Aggregation'!$A:$A,$B80,'EPA Export Aggregation'!$D:$D,$A$1)*IF($A80="CH4",About!$D$58,IF($A80="N2O",About!$D$59,1))</f>
        <v>0.1532855272466758</v>
      </c>
      <c r="G80" s="121">
        <f>SUMIFS('EPA Export Aggregation'!J:J,'EPA Export Aggregation'!$A:$A,$B80,'EPA Export Aggregation'!$D:$D,$A$1)*IF($A80="CH4",About!$D$58,IF($A80="N2O",About!$D$59,1))</f>
        <v>0.1686140807048635</v>
      </c>
      <c r="H80" s="121">
        <f>SUMIFS('EPA Export Aggregation'!K:K,'EPA Export Aggregation'!$A:$A,$B80,'EPA Export Aggregation'!$D:$D,$A$1)*IF($A80="CH4",About!$D$58,IF($A80="N2O",About!$D$59,1))</f>
        <v>0.2118907080264015</v>
      </c>
      <c r="I80" s="121">
        <f>SUMIFS('EPA Export Aggregation'!L:L,'EPA Export Aggregation'!$A:$A,$B80,'EPA Export Aggregation'!$D:$D,$A$1)*IF($A80="CH4",About!$D$58,IF($A80="N2O",About!$D$59,1))</f>
        <v>0.23529676141782219</v>
      </c>
      <c r="J80" s="121">
        <f>SUMIFS('EPA Export Aggregation'!M:M,'EPA Export Aggregation'!$A:$A,$B80,'EPA Export Aggregation'!$D:$D,$A$1)*IF($A80="CH4",About!$D$58,IF($A80="N2O",About!$D$59,1))</f>
        <v>0.2486616309763974</v>
      </c>
      <c r="K80" s="121">
        <f>SUMIFS('EPA Export Aggregation'!N:N,'EPA Export Aggregation'!$A:$A,$B80,'EPA Export Aggregation'!$D:$D,$A$1)*IF($A80="CH4",About!$D$58,IF($A80="N2O",About!$D$59,1))</f>
        <v>0.30490292909138178</v>
      </c>
      <c r="L80" s="121">
        <f>SUMIFS('EPA Export Aggregation'!O:O,'EPA Export Aggregation'!$A:$A,$B80,'EPA Export Aggregation'!$D:$D,$A$1)*IF($A80="CH4",About!$D$58,IF($A80="N2O",About!$D$59,1))</f>
        <v>0.3094031380206772</v>
      </c>
      <c r="M80" s="121">
        <f>SUMIFS('EPA Export Aggregation'!P:P,'EPA Export Aggregation'!$A:$A,$B80,'EPA Export Aggregation'!$D:$D,$A$1)*IF($A80="CH4",About!$D$58,IF($A80="N2O",About!$D$59,1))</f>
        <v>0.26389965041217811</v>
      </c>
      <c r="N80" s="121">
        <f>SUMIFS('EPA Export Aggregation'!Q:Q,'EPA Export Aggregation'!$A:$A,$B80,'EPA Export Aggregation'!$D:$D,$A$1)*IF($A80="CH4",About!$D$58,IF($A80="N2O",About!$D$59,1))</f>
        <v>0.18572575902472399</v>
      </c>
      <c r="O80" s="121">
        <f>SUMIFS('EPA Export Aggregation'!R:R,'EPA Export Aggregation'!$A:$A,$B80,'EPA Export Aggregation'!$D:$D,$A$1)*IF($A80="CH4",About!$D$58,IF($A80="N2O",About!$D$59,1))</f>
        <v>0.1819397387929369</v>
      </c>
      <c r="P80" s="121">
        <f>SUMIFS('EPA Export Aggregation'!S:S,'EPA Export Aggregation'!$A:$A,$B80,'EPA Export Aggregation'!$D:$D,$A$1)*IF($A80="CH4",About!$D$58,IF($A80="N2O",About!$D$59,1))</f>
        <v>0.1663433713008815</v>
      </c>
      <c r="Q80" s="121">
        <f>SUMIFS('EPA Export Aggregation'!T:T,'EPA Export Aggregation'!$A:$A,$B80,'EPA Export Aggregation'!$D:$D,$A$1)*IF($A80="CH4",About!$D$58,IF($A80="N2O",About!$D$59,1))</f>
        <v>0.15450655879360251</v>
      </c>
      <c r="R80" s="121">
        <f>SUMIFS('EPA Export Aggregation'!U:U,'EPA Export Aggregation'!$A:$A,$B80,'EPA Export Aggregation'!$D:$D,$A$1)*IF($A80="CH4",About!$D$58,IF($A80="N2O",About!$D$59,1))</f>
        <v>0.1423571244518633</v>
      </c>
      <c r="S80" s="121">
        <f>SUMIFS('EPA Export Aggregation'!V:V,'EPA Export Aggregation'!$A:$A,$B80,'EPA Export Aggregation'!$D:$D,$A$1)*IF($A80="CH4",About!$D$58,IF($A80="N2O",About!$D$59,1))</f>
        <v>0.15209684168209531</v>
      </c>
      <c r="T80" s="121">
        <f>SUMIFS('EPA Export Aggregation'!W:W,'EPA Export Aggregation'!$A:$A,$B80,'EPA Export Aggregation'!$D:$D,$A$1)*IF($A80="CH4",About!$D$58,IF($A80="N2O",About!$D$59,1))</f>
        <v>0.14533851225501851</v>
      </c>
      <c r="U80" s="121">
        <f>SUMIFS('EPA Export Aggregation'!X:X,'EPA Export Aggregation'!$A:$A,$B80,'EPA Export Aggregation'!$D:$D,$A$1)*IF($A80="CH4",About!$D$58,IF($A80="N2O",About!$D$59,1))</f>
        <v>0.13207895212188561</v>
      </c>
      <c r="V80" s="121">
        <f>SUMIFS('EPA Export Aggregation'!Y:Y,'EPA Export Aggregation'!$A:$A,$B80,'EPA Export Aggregation'!$D:$D,$A$1)*IF($A80="CH4",About!$D$58,IF($A80="N2O",About!$D$59,1))</f>
        <v>9.2458786979318405E-2</v>
      </c>
      <c r="W80" s="121">
        <f>SUMIFS('EPA Export Aggregation'!Z:Z,'EPA Export Aggregation'!$A:$A,$B80,'EPA Export Aggregation'!$D:$D,$A$1)*IF($A80="CH4",About!$D$58,IF($A80="N2O",About!$D$59,1))</f>
        <v>0.12427564721482109</v>
      </c>
      <c r="X80" s="121">
        <f>SUMIFS('EPA Export Aggregation'!AA:AA,'EPA Export Aggregation'!$A:$A,$B80,'EPA Export Aggregation'!$D:$D,$A$1)*IF($A80="CH4",About!$D$58,IF($A80="N2O",About!$D$59,1))</f>
        <v>0.15375102029407769</v>
      </c>
      <c r="Y80" s="121">
        <f>SUMIFS('EPA Export Aggregation'!AB:AB,'EPA Export Aggregation'!$A:$A,$B80,'EPA Export Aggregation'!$D:$D,$A$1)*IF($A80="CH4",About!$D$58,IF($A80="N2O",About!$D$59,1))</f>
        <v>0.14735514751053849</v>
      </c>
      <c r="Z80" s="121">
        <f>SUMIFS('EPA Export Aggregation'!AC:AC,'EPA Export Aggregation'!$A:$A,$B80,'EPA Export Aggregation'!$D:$D,$A$1)*IF($A80="CH4",About!$D$58,IF($A80="N2O",About!$D$59,1))</f>
        <v>0.14982307022899999</v>
      </c>
      <c r="AA80" s="121">
        <f>SUMIFS('EPA Export Aggregation'!AD:AD,'EPA Export Aggregation'!$A:$A,$B80,'EPA Export Aggregation'!$D:$D,$A$1)*IF($A80="CH4",About!$D$58,IF($A80="N2O",About!$D$59,1))</f>
        <v>0.15678152568029999</v>
      </c>
      <c r="AB80" s="121">
        <f>SUMIFS('EPA Export Aggregation'!AE:AE,'EPA Export Aggregation'!$A:$A,$B80,'EPA Export Aggregation'!$D:$D,$A$1)*IF($A80="CH4",About!$D$58,IF($A80="N2O",About!$D$59,1))</f>
        <v>0.1433545784677</v>
      </c>
      <c r="AC80" s="121">
        <f>SUMIFS('EPA Export Aggregation'!AF:AF,'EPA Export Aggregation'!$A:$A,$B80,'EPA Export Aggregation'!$D:$D,$A$1)*IF($A80="CH4",About!$D$58,IF($A80="N2O",About!$D$59,1))</f>
        <v>0.13786370744767021</v>
      </c>
      <c r="AD80" s="121">
        <f>SUMIFS('EPA Export Aggregation'!AG:AG,'EPA Export Aggregation'!$A:$A,$B80,'EPA Export Aggregation'!$D:$D,$A$1)*IF($A80="CH4",About!$D$58,IF($A80="N2O",About!$D$59,1))</f>
        <v>0.13627719945450001</v>
      </c>
      <c r="AE80" s="121">
        <f>SUMIFS('EPA Export Aggregation'!AH:AH,'EPA Export Aggregation'!$A:$A,$B80,'EPA Export Aggregation'!$D:$D,$A$1)*IF($A80="CH4",About!$D$58,IF($A80="N2O",About!$D$59,1))</f>
        <v>0.12370302882338401</v>
      </c>
      <c r="AF80" s="121">
        <f>SUMIFS('EPA Export Aggregation'!AI:AI,'EPA Export Aggregation'!$A:$A,$B80,'EPA Export Aggregation'!$D:$D,$A$1)*IF($A80="CH4",About!$D$58,IF($A80="N2O",About!$D$59,1))</f>
        <v>0.15245771494719421</v>
      </c>
      <c r="AG80" s="121">
        <f>SUMIFS('EPA Export Aggregation'!AJ:AJ,'EPA Export Aggregation'!$A:$A,$B80,'EPA Export Aggregation'!$D:$D,$A$1)*IF($A80="CH4",About!$D$58,IF($A80="N2O",About!$D$59,1))</f>
        <v>8.82187009260363E-2</v>
      </c>
      <c r="AH80" s="121">
        <f>SUMIFS('EPA Export Aggregation'!AK:AK,'EPA Export Aggregation'!$A:$A,$B80,'EPA Export Aggregation'!$D:$D,$A$1)*IF($A80="CH4",About!$D$58,IF($A80="N2O",About!$D$59,1))</f>
        <v>5.23831883893923E-2</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2.465014875E-2</v>
      </c>
      <c r="D84" s="121">
        <f>SUMIFS('EPA Export Aggregation'!G:G,'EPA Export Aggregation'!$A:$A,$B84,'EPA Export Aggregation'!$D:$D,$A$1)*IF($A84="CH4",About!$D$58,IF($A84="N2O",About!$D$59,1))</f>
        <v>2.465014875E-2</v>
      </c>
      <c r="E84" s="121">
        <f>SUMIFS('EPA Export Aggregation'!H:H,'EPA Export Aggregation'!$A:$A,$B84,'EPA Export Aggregation'!$D:$D,$A$1)*IF($A84="CH4",About!$D$58,IF($A84="N2O",About!$D$59,1))</f>
        <v>2.465014875E-2</v>
      </c>
      <c r="F84" s="121">
        <f>SUMIFS('EPA Export Aggregation'!I:I,'EPA Export Aggregation'!$A:$A,$B84,'EPA Export Aggregation'!$D:$D,$A$1)*IF($A84="CH4",About!$D$58,IF($A84="N2O",About!$D$59,1))</f>
        <v>3.0812685350000001E-2</v>
      </c>
      <c r="G84" s="121">
        <f>SUMIFS('EPA Export Aggregation'!J:J,'EPA Export Aggregation'!$A:$A,$B84,'EPA Export Aggregation'!$D:$D,$A$1)*IF($A84="CH4",About!$D$58,IF($A84="N2O",About!$D$59,1))</f>
        <v>3.3893953650000003E-2</v>
      </c>
      <c r="H84" s="121">
        <f>SUMIFS('EPA Export Aggregation'!K:K,'EPA Export Aggregation'!$A:$A,$B84,'EPA Export Aggregation'!$D:$D,$A$1)*IF($A84="CH4",About!$D$58,IF($A84="N2O",About!$D$59,1))</f>
        <v>4.2593204799999999E-2</v>
      </c>
      <c r="I84" s="121">
        <f>SUMIFS('EPA Export Aggregation'!L:L,'EPA Export Aggregation'!$A:$A,$B84,'EPA Export Aggregation'!$D:$D,$A$1)*IF($A84="CH4",About!$D$58,IF($A84="N2O",About!$D$59,1))</f>
        <v>4.7298172700000002E-2</v>
      </c>
      <c r="J84" s="121">
        <f>SUMIFS('EPA Export Aggregation'!M:M,'EPA Export Aggregation'!$A:$A,$B84,'EPA Export Aggregation'!$D:$D,$A$1)*IF($A84="CH4",About!$D$58,IF($A84="N2O",About!$D$59,1))</f>
        <v>4.9984711500000001E-2</v>
      </c>
      <c r="K84" s="121">
        <f>SUMIFS('EPA Export Aggregation'!N:N,'EPA Export Aggregation'!$A:$A,$B84,'EPA Export Aggregation'!$D:$D,$A$1)*IF($A84="CH4",About!$D$58,IF($A84="N2O",About!$D$59,1))</f>
        <v>6.1290053900000002E-2</v>
      </c>
      <c r="L84" s="121">
        <f>SUMIFS('EPA Export Aggregation'!O:O,'EPA Export Aggregation'!$A:$A,$B84,'EPA Export Aggregation'!$D:$D,$A$1)*IF($A84="CH4",About!$D$58,IF($A84="N2O",About!$D$59,1))</f>
        <v>6.2194662900000003E-2</v>
      </c>
      <c r="M84" s="121">
        <f>SUMIFS('EPA Export Aggregation'!P:P,'EPA Export Aggregation'!$A:$A,$B84,'EPA Export Aggregation'!$D:$D,$A$1)*IF($A84="CH4",About!$D$58,IF($A84="N2O",About!$D$59,1))</f>
        <v>5.026890405E-2</v>
      </c>
      <c r="N84" s="121">
        <f>SUMIFS('EPA Export Aggregation'!Q:Q,'EPA Export Aggregation'!$A:$A,$B84,'EPA Export Aggregation'!$D:$D,$A$1)*IF($A84="CH4",About!$D$58,IF($A84="N2O",About!$D$59,1))</f>
        <v>3.4178578600000002E-2</v>
      </c>
      <c r="O84" s="121">
        <f>SUMIFS('EPA Export Aggregation'!R:R,'EPA Export Aggregation'!$A:$A,$B84,'EPA Export Aggregation'!$D:$D,$A$1)*IF($A84="CH4",About!$D$58,IF($A84="N2O",About!$D$59,1))</f>
        <v>3.0337388449999999E-2</v>
      </c>
      <c r="P84" s="121">
        <f>SUMIFS('EPA Export Aggregation'!S:S,'EPA Export Aggregation'!$A:$A,$B84,'EPA Export Aggregation'!$D:$D,$A$1)*IF($A84="CH4",About!$D$58,IF($A84="N2O",About!$D$59,1))</f>
        <v>3.6547764000000003E-2</v>
      </c>
      <c r="Q84" s="121">
        <f>SUMIFS('EPA Export Aggregation'!T:T,'EPA Export Aggregation'!$A:$A,$B84,'EPA Export Aggregation'!$D:$D,$A$1)*IF($A84="CH4",About!$D$58,IF($A84="N2O",About!$D$59,1))</f>
        <v>3.508347195E-2</v>
      </c>
      <c r="R84" s="121">
        <f>SUMIFS('EPA Export Aggregation'!U:U,'EPA Export Aggregation'!$A:$A,$B84,'EPA Export Aggregation'!$D:$D,$A$1)*IF($A84="CH4",About!$D$58,IF($A84="N2O",About!$D$59,1))</f>
        <v>3.81503183E-2</v>
      </c>
      <c r="S84" s="121">
        <f>SUMIFS('EPA Export Aggregation'!V:V,'EPA Export Aggregation'!$A:$A,$B84,'EPA Export Aggregation'!$D:$D,$A$1)*IF($A84="CH4",About!$D$58,IF($A84="N2O",About!$D$59,1))</f>
        <v>3.7047956799999997E-2</v>
      </c>
      <c r="T84" s="121">
        <f>SUMIFS('EPA Export Aggregation'!W:W,'EPA Export Aggregation'!$A:$A,$B84,'EPA Export Aggregation'!$D:$D,$A$1)*IF($A84="CH4",About!$D$58,IF($A84="N2O",About!$D$59,1))</f>
        <v>2.9807745449999999E-2</v>
      </c>
      <c r="U84" s="121">
        <f>SUMIFS('EPA Export Aggregation'!X:X,'EPA Export Aggregation'!$A:$A,$B84,'EPA Export Aggregation'!$D:$D,$A$1)*IF($A84="CH4",About!$D$58,IF($A84="N2O",About!$D$59,1))</f>
        <v>2.7371815349999998E-2</v>
      </c>
      <c r="V84" s="121">
        <f>SUMIFS('EPA Export Aggregation'!Y:Y,'EPA Export Aggregation'!$A:$A,$B84,'EPA Export Aggregation'!$D:$D,$A$1)*IF($A84="CH4",About!$D$58,IF($A84="N2O",About!$D$59,1))</f>
        <v>2.1344098249999999E-2</v>
      </c>
      <c r="W84" s="121">
        <f>SUMIFS('EPA Export Aggregation'!Z:Z,'EPA Export Aggregation'!$A:$A,$B84,'EPA Export Aggregation'!$D:$D,$A$1)*IF($A84="CH4",About!$D$58,IF($A84="N2O",About!$D$59,1))</f>
        <v>2.7905399300000001E-2</v>
      </c>
      <c r="X84" s="121">
        <f>SUMIFS('EPA Export Aggregation'!AA:AA,'EPA Export Aggregation'!$A:$A,$B84,'EPA Export Aggregation'!$D:$D,$A$1)*IF($A84="CH4",About!$D$58,IF($A84="N2O",About!$D$59,1))</f>
        <v>1.1478546799999999E-2</v>
      </c>
      <c r="Y84" s="121">
        <f>SUMIFS('EPA Export Aggregation'!AB:AB,'EPA Export Aggregation'!$A:$A,$B84,'EPA Export Aggregation'!$D:$D,$A$1)*IF($A84="CH4",About!$D$58,IF($A84="N2O",About!$D$59,1))</f>
        <v>1.33791798E-2</v>
      </c>
      <c r="Z84" s="121">
        <f>SUMIFS('EPA Export Aggregation'!AC:AC,'EPA Export Aggregation'!$A:$A,$B84,'EPA Export Aggregation'!$D:$D,$A$1)*IF($A84="CH4",About!$D$58,IF($A84="N2O",About!$D$59,1))</f>
        <v>1.45858625E-2</v>
      </c>
      <c r="AA84" s="121">
        <f>SUMIFS('EPA Export Aggregation'!AD:AD,'EPA Export Aggregation'!$A:$A,$B84,'EPA Export Aggregation'!$D:$D,$A$1)*IF($A84="CH4",About!$D$58,IF($A84="N2O",About!$D$59,1))</f>
        <v>1.309655E-2</v>
      </c>
      <c r="AB84" s="121">
        <f>SUMIFS('EPA Export Aggregation'!AE:AE,'EPA Export Aggregation'!$A:$A,$B84,'EPA Export Aggregation'!$D:$D,$A$1)*IF($A84="CH4",About!$D$58,IF($A84="N2O",About!$D$59,1))</f>
        <v>1.2036699999999999E-2</v>
      </c>
      <c r="AC84" s="121">
        <f>SUMIFS('EPA Export Aggregation'!AF:AF,'EPA Export Aggregation'!$A:$A,$B84,'EPA Export Aggregation'!$D:$D,$A$1)*IF($A84="CH4",About!$D$58,IF($A84="N2O",About!$D$59,1))</f>
        <v>7.1281139999999996E-4</v>
      </c>
      <c r="AD84" s="121">
        <f>SUMIFS('EPA Export Aggregation'!AG:AG,'EPA Export Aggregation'!$A:$A,$B84,'EPA Export Aggregation'!$D:$D,$A$1)*IF($A84="CH4",About!$D$58,IF($A84="N2O",About!$D$59,1))</f>
        <v>2.50745E-3</v>
      </c>
      <c r="AE84" s="121">
        <f>SUMIFS('EPA Export Aggregation'!AH:AH,'EPA Export Aggregation'!$A:$A,$B84,'EPA Export Aggregation'!$D:$D,$A$1)*IF($A84="CH4",About!$D$58,IF($A84="N2O",About!$D$59,1))</f>
        <v>3.939728E-3</v>
      </c>
      <c r="AF84" s="121">
        <f>SUMIFS('EPA Export Aggregation'!AI:AI,'EPA Export Aggregation'!$A:$A,$B84,'EPA Export Aggregation'!$D:$D,$A$1)*IF($A84="CH4",About!$D$58,IF($A84="N2O",About!$D$59,1))</f>
        <v>6.4465199999999999E-3</v>
      </c>
      <c r="AG84" s="121">
        <f>SUMIFS('EPA Export Aggregation'!AJ:AJ,'EPA Export Aggregation'!$A:$A,$B84,'EPA Export Aggregation'!$D:$D,$A$1)*IF($A84="CH4",About!$D$58,IF($A84="N2O",About!$D$59,1))</f>
        <v>3.9395400000000001E-3</v>
      </c>
      <c r="AH84" s="121">
        <f>SUMIFS('EPA Export Aggregation'!AK:AK,'EPA Export Aggregation'!$A:$A,$B84,'EPA Export Aggregation'!$D:$D,$A$1)*IF($A84="CH4",About!$D$58,IF($A84="N2O",About!$D$59,1))</f>
        <v>2.14884E-3</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2.1649251400000001E-3</v>
      </c>
      <c r="D87" s="121">
        <f>SUMIFS('EPA Export Aggregation'!$F:$F,'EPA Export Aggregation'!$A:$A,$B87,'EPA Export Aggregation'!$D:$D,$A$1)*IF($A87="CH4",About!$D$58,IF($A87="N2O",About!$D$59,1))</f>
        <v>2.1649251400000001E-3</v>
      </c>
      <c r="E87" s="121">
        <f>SUMIFS('EPA Export Aggregation'!$F:$F,'EPA Export Aggregation'!$A:$A,$B87,'EPA Export Aggregation'!$D:$D,$A$1)*IF($A87="CH4",About!$D$58,IF($A87="N2O",About!$D$59,1))</f>
        <v>2.1649251400000001E-3</v>
      </c>
      <c r="F87" s="121">
        <f>SUMIFS('EPA Export Aggregation'!$F:$F,'EPA Export Aggregation'!$A:$A,$B87,'EPA Export Aggregation'!$D:$D,$A$1)*IF($A87="CH4",About!$D$58,IF($A87="N2O",About!$D$59,1))</f>
        <v>2.1649251400000001E-3</v>
      </c>
      <c r="G87" s="121">
        <f>SUMIFS('EPA Export Aggregation'!$F:$F,'EPA Export Aggregation'!$A:$A,$B87,'EPA Export Aggregation'!$D:$D,$A$1)*IF($A87="CH4",About!$D$58,IF($A87="N2O",About!$D$59,1))</f>
        <v>2.1649251400000001E-3</v>
      </c>
      <c r="H87" s="121">
        <f>SUMIFS('EPA Export Aggregation'!$F:$F,'EPA Export Aggregation'!$A:$A,$B87,'EPA Export Aggregation'!$D:$D,$A$1)*IF($A87="CH4",About!$D$58,IF($A87="N2O",About!$D$59,1))</f>
        <v>2.1649251400000001E-3</v>
      </c>
      <c r="I87" s="121">
        <f>SUMIFS('EPA Export Aggregation'!$F:$F,'EPA Export Aggregation'!$A:$A,$B87,'EPA Export Aggregation'!$D:$D,$A$1)*IF($A87="CH4",About!$D$58,IF($A87="N2O",About!$D$59,1))</f>
        <v>2.1649251400000001E-3</v>
      </c>
      <c r="J87" s="121">
        <f>SUMIFS('EPA Export Aggregation'!$F:$F,'EPA Export Aggregation'!$A:$A,$B87,'EPA Export Aggregation'!$D:$D,$A$1)*IF($A87="CH4",About!$D$58,IF($A87="N2O",About!$D$59,1))</f>
        <v>2.1649251400000001E-3</v>
      </c>
      <c r="K87" s="121">
        <f>SUMIFS('EPA Export Aggregation'!$F:$F,'EPA Export Aggregation'!$A:$A,$B87,'EPA Export Aggregation'!$D:$D,$A$1)*IF($A87="CH4",About!$D$58,IF($A87="N2O",About!$D$59,1))</f>
        <v>2.1649251400000001E-3</v>
      </c>
      <c r="L87" s="121">
        <f>SUMIFS('EPA Export Aggregation'!$F:$F,'EPA Export Aggregation'!$A:$A,$B87,'EPA Export Aggregation'!$D:$D,$A$1)*IF($A87="CH4",About!$D$58,IF($A87="N2O",About!$D$59,1))</f>
        <v>2.1649251400000001E-3</v>
      </c>
      <c r="M87" s="121">
        <f>SUMIFS('EPA Export Aggregation'!$F:$F,'EPA Export Aggregation'!$A:$A,$B87,'EPA Export Aggregation'!$D:$D,$A$1)*IF($A87="CH4",About!$D$58,IF($A87="N2O",About!$D$59,1))</f>
        <v>2.1649251400000001E-3</v>
      </c>
      <c r="N87" s="121">
        <f>SUMIFS('EPA Export Aggregation'!$F:$F,'EPA Export Aggregation'!$A:$A,$B87,'EPA Export Aggregation'!$D:$D,$A$1)*IF($A87="CH4",About!$D$58,IF($A87="N2O",About!$D$59,1))</f>
        <v>2.1649251400000001E-3</v>
      </c>
      <c r="O87" s="121">
        <f>SUMIFS('EPA Export Aggregation'!$F:$F,'EPA Export Aggregation'!$A:$A,$B87,'EPA Export Aggregation'!$D:$D,$A$1)*IF($A87="CH4",About!$D$58,IF($A87="N2O",About!$D$59,1))</f>
        <v>2.1649251400000001E-3</v>
      </c>
      <c r="P87" s="121">
        <f>SUMIFS('EPA Export Aggregation'!$F:$F,'EPA Export Aggregation'!$A:$A,$B87,'EPA Export Aggregation'!$D:$D,$A$1)*IF($A87="CH4",About!$D$58,IF($A87="N2O",About!$D$59,1))</f>
        <v>2.1649251400000001E-3</v>
      </c>
      <c r="Q87" s="121">
        <f>SUMIFS('EPA Export Aggregation'!$F:$F,'EPA Export Aggregation'!$A:$A,$B87,'EPA Export Aggregation'!$D:$D,$A$1)*IF($A87="CH4",About!$D$58,IF($A87="N2O",About!$D$59,1))</f>
        <v>2.1649251400000001E-3</v>
      </c>
      <c r="R87" s="121">
        <f>SUMIFS('EPA Export Aggregation'!$F:$F,'EPA Export Aggregation'!$A:$A,$B87,'EPA Export Aggregation'!$D:$D,$A$1)*IF($A87="CH4",About!$D$58,IF($A87="N2O",About!$D$59,1))</f>
        <v>2.1649251400000001E-3</v>
      </c>
      <c r="S87" s="121">
        <f>SUMIFS('EPA Export Aggregation'!$F:$F,'EPA Export Aggregation'!$A:$A,$B87,'EPA Export Aggregation'!$D:$D,$A$1)*IF($A87="CH4",About!$D$58,IF($A87="N2O",About!$D$59,1))</f>
        <v>2.1649251400000001E-3</v>
      </c>
      <c r="T87" s="121">
        <f>SUMIFS('EPA Export Aggregation'!$F:$F,'EPA Export Aggregation'!$A:$A,$B87,'EPA Export Aggregation'!$D:$D,$A$1)*IF($A87="CH4",About!$D$58,IF($A87="N2O",About!$D$59,1))</f>
        <v>2.1649251400000001E-3</v>
      </c>
      <c r="U87" s="121">
        <f>SUMIFS('EPA Export Aggregation'!$F:$F,'EPA Export Aggregation'!$A:$A,$B87,'EPA Export Aggregation'!$D:$D,$A$1)*IF($A87="CH4",About!$D$58,IF($A87="N2O",About!$D$59,1))</f>
        <v>2.1649251400000001E-3</v>
      </c>
      <c r="V87" s="121">
        <f>SUMIFS('EPA Export Aggregation'!$F:$F,'EPA Export Aggregation'!$A:$A,$B87,'EPA Export Aggregation'!$D:$D,$A$1)*IF($A87="CH4",About!$D$58,IF($A87="N2O",About!$D$59,1))</f>
        <v>2.1649251400000001E-3</v>
      </c>
      <c r="W87" s="121">
        <f>SUMIFS('EPA Export Aggregation'!$F:$F,'EPA Export Aggregation'!$A:$A,$B87,'EPA Export Aggregation'!$D:$D,$A$1)*IF($A87="CH4",About!$D$58,IF($A87="N2O",About!$D$59,1))</f>
        <v>2.1649251400000001E-3</v>
      </c>
      <c r="X87" s="121">
        <f>SUMIFS('EPA Export Aggregation'!$F:$F,'EPA Export Aggregation'!$A:$A,$B87,'EPA Export Aggregation'!$D:$D,$A$1)*IF($A87="CH4",About!$D$58,IF($A87="N2O",About!$D$59,1))</f>
        <v>2.1649251400000001E-3</v>
      </c>
      <c r="Y87" s="121">
        <f>SUMIFS('EPA Export Aggregation'!$F:$F,'EPA Export Aggregation'!$A:$A,$B87,'EPA Export Aggregation'!$D:$D,$A$1)*IF($A87="CH4",About!$D$58,IF($A87="N2O",About!$D$59,1))</f>
        <v>2.1649251400000001E-3</v>
      </c>
      <c r="Z87" s="121">
        <f>SUMIFS('EPA Export Aggregation'!$F:$F,'EPA Export Aggregation'!$A:$A,$B87,'EPA Export Aggregation'!$D:$D,$A$1)*IF($A87="CH4",About!$D$58,IF($A87="N2O",About!$D$59,1))</f>
        <v>2.1649251400000001E-3</v>
      </c>
      <c r="AA87" s="121">
        <f>SUMIFS('EPA Export Aggregation'!$F:$F,'EPA Export Aggregation'!$A:$A,$B87,'EPA Export Aggregation'!$D:$D,$A$1)*IF($A87="CH4",About!$D$58,IF($A87="N2O",About!$D$59,1))</f>
        <v>2.1649251400000001E-3</v>
      </c>
      <c r="AB87" s="121">
        <f>SUMIFS('EPA Export Aggregation'!$F:$F,'EPA Export Aggregation'!$A:$A,$B87,'EPA Export Aggregation'!$D:$D,$A$1)*IF($A87="CH4",About!$D$58,IF($A87="N2O",About!$D$59,1))</f>
        <v>2.1649251400000001E-3</v>
      </c>
      <c r="AC87" s="121">
        <f>SUMIFS('EPA Export Aggregation'!$F:$F,'EPA Export Aggregation'!$A:$A,$B87,'EPA Export Aggregation'!$D:$D,$A$1)*IF($A87="CH4",About!$D$58,IF($A87="N2O",About!$D$59,1))</f>
        <v>2.1649251400000001E-3</v>
      </c>
      <c r="AD87" s="121">
        <f>SUMIFS('EPA Export Aggregation'!$F:$F,'EPA Export Aggregation'!$A:$A,$B87,'EPA Export Aggregation'!$D:$D,$A$1)*IF($A87="CH4",About!$D$58,IF($A87="N2O",About!$D$59,1))</f>
        <v>2.1649251400000001E-3</v>
      </c>
      <c r="AE87" s="121">
        <f>SUMIFS('EPA Export Aggregation'!$F:$F,'EPA Export Aggregation'!$A:$A,$B87,'EPA Export Aggregation'!$D:$D,$A$1)*IF($A87="CH4",About!$D$58,IF($A87="N2O",About!$D$59,1))</f>
        <v>2.1649251400000001E-3</v>
      </c>
      <c r="AF87" s="121">
        <f>SUMIFS('EPA Export Aggregation'!$F:$F,'EPA Export Aggregation'!$A:$A,$B87,'EPA Export Aggregation'!$D:$D,$A$1)*IF($A87="CH4",About!$D$58,IF($A87="N2O",About!$D$59,1))</f>
        <v>2.1649251400000001E-3</v>
      </c>
      <c r="AG87" s="121">
        <f>SUMIFS('EPA Export Aggregation'!$F:$F,'EPA Export Aggregation'!$A:$A,$B87,'EPA Export Aggregation'!$D:$D,$A$1)*IF($A87="CH4",About!$D$58,IF($A87="N2O",About!$D$59,1))</f>
        <v>2.1649251400000001E-3</v>
      </c>
      <c r="AH87" s="121">
        <f>SUMIFS('EPA Export Aggregation'!$F:$F,'EPA Export Aggregation'!$A:$A,$B87,'EPA Export Aggregation'!$D:$D,$A$1)*IF($A87="CH4",About!$D$58,IF($A87="N2O",About!$D$59,1))</f>
        <v>2.1649251400000001E-3</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2025-11-06T19:51:31Z</dcterms:modified>
</cp:coreProperties>
</file>