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Washington\WA-eps\"/>
    </mc:Choice>
  </mc:AlternateContent>
  <xr:revisionPtr revIDLastSave="0" documentId="13_ncr:1_{C95DF56C-F545-4275-BACF-AAF73ADEA85F}" xr6:coauthVersionLast="47" xr6:coauthVersionMax="47" xr10:uidLastSave="{00000000-0000-0000-0000-000000000000}"/>
  <bookViews>
    <workbookView xWindow="-110" yWindow="-110" windowWidth="25820" windowHeight="14020"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D85" i="20" a="1"/>
  <c r="D85" i="20" s="1"/>
  <c r="K63" i="24" s="1"/>
  <c r="S63" i="24" s="1"/>
  <c r="I6" i="20"/>
  <c r="E79" i="20" a="1"/>
  <c r="E79" i="20" s="1"/>
  <c r="E81" i="20" a="1"/>
  <c r="E81" i="20" s="1"/>
  <c r="E83" i="20" a="1"/>
  <c r="E83" i="20" s="1"/>
  <c r="E85" i="20" a="1"/>
  <c r="E85" i="20" s="1"/>
  <c r="AG6" i="20"/>
  <c r="D78" i="20" a="1"/>
  <c r="D78" i="20" s="1"/>
  <c r="D80" i="20" a="1"/>
  <c r="D80" i="20" s="1"/>
  <c r="D82" i="20" a="1"/>
  <c r="D82" i="20" s="1"/>
  <c r="J83" i="20"/>
  <c r="Q6" i="20"/>
  <c r="Y6" i="20"/>
  <c r="AW6" i="20"/>
  <c r="F63" i="20"/>
  <c r="N63" i="20"/>
  <c r="V63" i="20"/>
  <c r="B6" i="20"/>
  <c r="J6" i="20"/>
  <c r="R6" i="20"/>
  <c r="AH6" i="20"/>
  <c r="AP6" i="20"/>
  <c r="AX6" i="20"/>
  <c r="G63" i="20"/>
  <c r="O63" i="20"/>
  <c r="W63" i="20"/>
  <c r="C6" i="20"/>
  <c r="S6" i="20"/>
  <c r="AA6" i="20"/>
  <c r="AI6" i="20"/>
  <c r="AQ6" i="20"/>
  <c r="K144" i="24" s="1"/>
  <c r="S144" i="24" s="1"/>
  <c r="T144" i="24" s="1"/>
  <c r="K16" i="24" s="1"/>
  <c r="J58" i="19" s="1"/>
  <c r="AY6" i="20"/>
  <c r="K104" i="24" s="1"/>
  <c r="S104" i="24" s="1"/>
  <c r="T104" i="24" s="1"/>
  <c r="K9" i="24" s="1"/>
  <c r="J24" i="19" s="1"/>
  <c r="H63" i="20"/>
  <c r="P63" i="20"/>
  <c r="D6" i="20"/>
  <c r="L6" i="20"/>
  <c r="T6" i="20"/>
  <c r="AB6" i="20"/>
  <c r="AJ6" i="20"/>
  <c r="AR6" i="20"/>
  <c r="AZ6" i="20"/>
  <c r="K36" i="24" s="1"/>
  <c r="S36" i="24" s="1"/>
  <c r="T35" i="24" s="1"/>
  <c r="K5" i="24" s="1"/>
  <c r="J8" i="19" s="1"/>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I63" i="20" l="1"/>
  <c r="X63" i="20"/>
  <c r="K6" i="20"/>
  <c r="Z6" i="20"/>
  <c r="AO6" i="20"/>
  <c r="E63" i="20"/>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Q88" i="20" s="1"/>
  <c r="M86" i="20" a="1"/>
  <c r="M86" i="20" s="1"/>
  <c r="M88" i="20" s="1"/>
  <c r="P87" i="20" a="1"/>
  <c r="P87" i="20" s="1"/>
  <c r="L87" i="20" a="1"/>
  <c r="L87" i="20" s="1"/>
  <c r="P86" i="20" a="1"/>
  <c r="P86" i="20" s="1"/>
  <c r="L86" i="20" a="1"/>
  <c r="L86" i="20" s="1"/>
  <c r="O87" i="20" a="1"/>
  <c r="O87" i="20" s="1"/>
  <c r="K87" i="20" a="1"/>
  <c r="K87" i="20" s="1"/>
  <c r="O86" i="20" a="1"/>
  <c r="O86" i="20" s="1"/>
  <c r="O88" i="20" s="1"/>
  <c r="K86" i="20" a="1"/>
  <c r="K86" i="20" s="1"/>
  <c r="K88" i="20" s="1"/>
  <c r="T66" i="24" l="1"/>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<sst xmlns="http://schemas.openxmlformats.org/spreadsheetml/2006/main" count="20880" uniqueCount="3855">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</sst>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21" fillId="9" borderId="27"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0" fontId="18" fillId="8" borderId="0" xfId="7" applyFill="1" applyAlignment="1">
      <alignment horizontal="left"/>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workbookViewId="0">
      <selection activeCell="B2" sqref="B2"/>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3519</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Washington.//**Natural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Washington increased by 15%.</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Washington, a 100% setting provides for an additional 6528 MW of demand response capacity in 2050 (on top of a BAU quantity of 2112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Washington.//**Natural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Washington increased by 15%.</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Washington, a 100% setting provides for an additional 6528 MW of demand response capacity in 2050 (on top of a BAU quantity of 2112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Washington, the share of electricity among fuels used for heating in urban, residential buildings will rise from 9.2% to 18.9%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Washington, the share of electricity among fuels used for heating in urban, residential buildings will rise from 9.2% to 18.9%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Washington, the share of electricity among fuels used by appliances in urban, residential buildings will rise from 65.4% to 71.4%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Washington, the share of electricity among fuels used by appliances in urban, residential buildings will rise from 65.4% to 71.4%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Washington, the share of electricity among fuels used for heating in rural, residential buildings will rise from 9.2% to 18.9%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Washington, the share of electricity among fuels used for heating in rural, residential buildings will rise from 9.2% to 18.9%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65.4% to 71.4%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rise from 65.4% to 71.4%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Washington, the share of electricity among fuels used for heating in commercial buildings will fall from 4.9% to 3.3%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Washington, the share of electricity among fuels used for heating in commercial buildings will fall from 4.9% to 3.3%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Washington, the share of electricity among fuels used by appliances in commercial buildings will fall from 48.2% to 27.1%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Washington, the share of electricity among fuels used by appliances in commercial buildings will fall from 48.2% to 27.1%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Washington, the share of electricity among fuels used by other components in commercial buildings will rise from 68.6% to 84.1%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Washington, the share of electricity among fuels used by other components in commercial buildings will rise from 68.6% to 84.1%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Washington.//**Natural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Washington.</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Washington.</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Washington increased by 15%.</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Washington increased by 15%.</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Washington increased by 15%.</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Washington declined by -52%.</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Washington declined by -52%.</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Washington, a 100% setting provides for an additional 6528 MW of demand response capacity in 2050 (on top of a BAU quantity of 2112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Washington, a 100% setting provides for an additional 6528 MW of demand response capacity in 2050 (on top of a BAU quantity of 2112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Washington, a 100% setting provides for an additional 6528 MW of demand response capacity in 2050 (on top of a BAU quantity of 2112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c r="T112" s="541" t="str">
        <f>M112&amp;N112&amp;O112&amp;S112</f>
        <v>**Description:** This policy causes grid-scale electricity storage from chemical batteries to increase above the amount predicted in the BAU Scenario. // **Guidance for setting values: **In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Washington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**Washington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Washington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**Washington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Washington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**Washington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115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115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Washington</v>
      </c>
      <c r="B6" s="397">
        <f>SUMIFS(B7:B57,$A7:$A57,$A$6)</f>
        <v>3423</v>
      </c>
      <c r="C6" s="397">
        <f>SUMIFS(C7:C57,$A7:$A57,$A$6)</f>
        <v>7681818</v>
      </c>
      <c r="D6" s="397">
        <f>ROUND(SUMIFS(D7:D57,$A7:$A57,$A$6),2)</f>
        <v>44.56</v>
      </c>
      <c r="E6" s="397">
        <f t="shared" ref="E6:L6" si="0">SUMIFS(E7:E57,$A7:$A57,$A$6)</f>
        <v>1</v>
      </c>
      <c r="F6" s="397">
        <f t="shared" si="0"/>
        <v>0.12566533370186386</v>
      </c>
      <c r="G6" s="397">
        <f t="shared" si="0"/>
        <v>0.41050675675942189</v>
      </c>
      <c r="H6" s="397">
        <f t="shared" si="0"/>
        <v>0.83776889134575916</v>
      </c>
      <c r="I6" s="397">
        <f t="shared" si="0"/>
        <v>2973166</v>
      </c>
      <c r="J6" s="397">
        <f t="shared" si="0"/>
        <v>19114796</v>
      </c>
      <c r="K6" s="397">
        <f t="shared" si="0"/>
        <v>1435330</v>
      </c>
      <c r="L6" s="397">
        <f t="shared" si="0"/>
        <v>22061511</v>
      </c>
      <c r="M6" s="397">
        <f>ROUND(SUMIFS(M7:M57,$A7:$A57,$A$6)*100,0)</f>
        <v>-52</v>
      </c>
      <c r="N6" s="397">
        <f>ROUND(SUMIFS(N7:N57,$A7:$A57,$A$6)*100,0)</f>
        <v>15</v>
      </c>
      <c r="O6" s="397">
        <f t="shared" ref="O6:AM6" si="1">ROUND(SUMIFS(O7:O57,$A7:$A57,$A$6),0)</f>
        <v>0</v>
      </c>
      <c r="P6" s="397">
        <f t="shared" si="1"/>
        <v>0</v>
      </c>
      <c r="Q6" s="397">
        <f t="shared" si="1"/>
        <v>670</v>
      </c>
      <c r="R6" s="397">
        <f t="shared" si="1"/>
        <v>0</v>
      </c>
      <c r="S6" s="397">
        <f t="shared" si="1"/>
        <v>0</v>
      </c>
      <c r="T6" s="397">
        <f t="shared" si="1"/>
        <v>20</v>
      </c>
      <c r="U6" s="397">
        <f t="shared" si="1"/>
        <v>0</v>
      </c>
      <c r="V6" s="397">
        <f t="shared" si="1"/>
        <v>0</v>
      </c>
      <c r="W6" s="397">
        <f t="shared" si="1"/>
        <v>0</v>
      </c>
      <c r="X6" s="397">
        <f t="shared" si="1"/>
        <v>1340</v>
      </c>
      <c r="Y6" s="397">
        <f t="shared" si="1"/>
        <v>2636</v>
      </c>
      <c r="Z6" s="397">
        <f t="shared" si="1"/>
        <v>1163</v>
      </c>
      <c r="AA6" s="397">
        <f t="shared" si="1"/>
        <v>21225</v>
      </c>
      <c r="AB6" s="397">
        <f t="shared" si="1"/>
        <v>3073</v>
      </c>
      <c r="AC6" s="397">
        <f t="shared" si="1"/>
        <v>20</v>
      </c>
      <c r="AD6" s="397">
        <f t="shared" si="1"/>
        <v>0</v>
      </c>
      <c r="AE6" s="397">
        <f t="shared" si="1"/>
        <v>96</v>
      </c>
      <c r="AF6" s="397">
        <f t="shared" si="1"/>
        <v>0</v>
      </c>
      <c r="AG6" s="397">
        <f t="shared" si="1"/>
        <v>3</v>
      </c>
      <c r="AH6" s="397">
        <f t="shared" si="1"/>
        <v>624</v>
      </c>
      <c r="AI6" s="397">
        <f t="shared" si="1"/>
        <v>0</v>
      </c>
      <c r="AJ6" s="397">
        <f t="shared" si="1"/>
        <v>0</v>
      </c>
      <c r="AK6" s="397">
        <f t="shared" si="1"/>
        <v>0</v>
      </c>
      <c r="AL6" s="397">
        <f t="shared" si="1"/>
        <v>0</v>
      </c>
      <c r="AM6" s="397">
        <f t="shared" si="1"/>
        <v>23</v>
      </c>
      <c r="AN6" s="398">
        <f>ROUND(SUMIFS(AN7:AN57,$A7:$A57,$A$6),)</f>
        <v>144</v>
      </c>
      <c r="AO6" s="397">
        <f t="shared" ref="AO6:AP6" si="2">ROUND(SUMIFS(AO7:AO57,$A7:$A57,$A$6),)</f>
        <v>1830</v>
      </c>
      <c r="AP6" s="397">
        <f t="shared" si="2"/>
        <v>66</v>
      </c>
      <c r="AQ6" s="397">
        <f>ROUND(SUMIFS(AQ7:AQ57,$A7:$A57,$A$6),0)</f>
        <v>115</v>
      </c>
      <c r="AR6" s="399">
        <f>SUMIFS(AR7:AR57,$A7:$A57,$A$6)</f>
        <v>0.52748518762343644</v>
      </c>
      <c r="AS6" s="397">
        <f>ROUND(SUMIFS(AS7:AS57,$A7:$A57,$A$6),0)</f>
        <v>1572</v>
      </c>
      <c r="AT6" s="397">
        <f>ROUND(SUMIFS(AT7:AT57,$A7:$A57,$A$6),0)</f>
        <v>2112</v>
      </c>
      <c r="AU6" s="397">
        <f>ROUND(SUMIFS(AU7:AU57,$A7:$A57,$A$6),0)</f>
        <v>6528</v>
      </c>
      <c r="AV6" s="397">
        <f>ROUND(SUMIFS(AV7:AV57,$A7:$A57,$A$6)*100,0)</f>
        <v>13</v>
      </c>
      <c r="AW6" s="397">
        <f>ROUND(SUMIFS(AW7:AW57,$A7:$A57,$A$6)*100,0)</f>
        <v>41</v>
      </c>
      <c r="AX6" s="397">
        <f>ROUND(SUMIFS(AX7:AX57,$A7:$A57,$A$6)*100,0)</f>
        <v>84</v>
      </c>
      <c r="AY6" s="397">
        <f>SUMIFS(AY7:AY57,$A7:$A57,$A$6)</f>
        <v>1</v>
      </c>
      <c r="AZ6" s="397">
        <f>SUMIFS(AZ7:AZ57,$A7:$A57,$A$6)</f>
        <v>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WA</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WA</v>
      </c>
      <c r="D77" s="392">
        <v>2019</v>
      </c>
      <c r="E77" s="392">
        <v>2050</v>
      </c>
    </row>
    <row r="78" spans="1:40" ht="16" customHeight="1" x14ac:dyDescent="0.35">
      <c r="B78" s="392" t="s">
        <v>3537</v>
      </c>
      <c r="C78" s="392" t="s">
        <v>126</v>
      </c>
      <c r="D78" s="392" cm="1">
        <f t="array" ref="D78">ROUND(INDEX($B$95:$H$845,MATCH(1,($C78=$E$95:$E$845)*($B78=$F$95:$F$845)*($C$77=$B$95:$B$845),0),MATCH(D$77,$B$95:$H$95,0))*100,1)</f>
        <v>9.1999999999999993</v>
      </c>
      <c r="E78" s="392" cm="1">
        <f t="array" ref="E78">ROUND(INDEX($B$95:$H$845,MATCH(1,($C78=$E$95:$E$845)*($B78=$F$95:$F$845)*($C$77=$B$95:$B$845),0),MATCH(E$77,$B$95:$H$95,0))*100,1)</f>
        <v>18.899999999999999</v>
      </c>
    </row>
    <row r="79" spans="1:40" ht="16" customHeight="1" x14ac:dyDescent="0.35">
      <c r="B79" s="392" t="s">
        <v>3537</v>
      </c>
      <c r="C79" s="392" t="s">
        <v>3538</v>
      </c>
      <c r="D79" s="392" cm="1">
        <f t="array" ref="D79">ROUND(INDEX($B$95:$H$845,MATCH(1,($C79=$E$95:$E$845)*($B79=$F$95:$F$845)*($C$77=$B$95:$B$845),0),MATCH(D$77,$B$95:$H$95,0))*100,1)</f>
        <v>65.400000000000006</v>
      </c>
      <c r="E79" s="392" cm="1">
        <f t="array" ref="E79">ROUND(INDEX($B$95:$H$845,MATCH(1,($C79=$E$95:$E$845)*($B79=$F$95:$F$845)*($C$77=$B$95:$B$845),0),MATCH(E$77,$B$95:$H$95,0))*100,1)</f>
        <v>71.400000000000006</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9.1999999999999993</v>
      </c>
      <c r="E81" s="392" cm="1">
        <f t="array" ref="E81">ROUND(INDEX($B$95:$H$845,MATCH(1,($C81=$E$95:$E$845)*($B81=$F$95:$F$845)*($C$77=$B$95:$B$845),0),MATCH(E$77,$B$95:$H$95,0))*100,1)</f>
        <v>18.899999999999999</v>
      </c>
    </row>
    <row r="82" spans="2:26" ht="16" customHeight="1" x14ac:dyDescent="0.35">
      <c r="B82" s="392" t="s">
        <v>3539</v>
      </c>
      <c r="C82" s="392" t="s">
        <v>3538</v>
      </c>
      <c r="D82" s="392" cm="1">
        <f t="array" ref="D82">ROUND(INDEX($B$95:$H$845,MATCH(1,($C82=$E$95:$E$845)*($B82=$F$95:$F$845)*($C$77=$B$95:$B$845),0),MATCH(D$77,$B$95:$H$95,0))*100,1)</f>
        <v>65.400000000000006</v>
      </c>
      <c r="E82" s="392" cm="1">
        <f t="array" ref="E82">ROUND(INDEX($B$95:$H$845,MATCH(1,($C82=$E$95:$E$845)*($B82=$F$95:$F$845)*($C$77=$B$95:$B$845),0),MATCH(E$77,$B$95:$H$95,0))*100,1)</f>
        <v>71.400000000000006</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WA</v>
      </c>
    </row>
    <row r="84" spans="2:26" ht="16" customHeight="1" x14ac:dyDescent="0.35">
      <c r="B84" s="392" t="s">
        <v>507</v>
      </c>
      <c r="C84" s="392" t="s">
        <v>126</v>
      </c>
      <c r="D84" s="392" cm="1">
        <f t="array" ref="D84">ROUND(INDEX($B$95:$H$845,MATCH(1,($C84=$E$95:$E$845)*($B84=$F$95:$F$845)*($C$77=$B$95:$B$845),0),MATCH(D$77,$B$95:$H$95,0))*100,1)</f>
        <v>4.9000000000000004</v>
      </c>
      <c r="E84" s="392" cm="1">
        <f t="array" ref="E84">ROUND(INDEX($B$95:$H$845,MATCH(1,($C84=$E$95:$E$845)*($B84=$F$95:$F$845)*($C$77=$B$95:$B$845),0),MATCH(E$77,$B$95:$H$95,0))*100,1)</f>
        <v>3.3</v>
      </c>
    </row>
    <row r="85" spans="2:26" ht="16" customHeight="1" x14ac:dyDescent="0.35">
      <c r="B85" s="392" t="s">
        <v>507</v>
      </c>
      <c r="C85" s="392" t="s">
        <v>3538</v>
      </c>
      <c r="D85" s="392" cm="1">
        <f t="array" ref="D85">ROUND(INDEX($B$95:$H$845,MATCH(1,($C85=$E$95:$E$845)*($B85=$F$95:$F$845)*($C$77=$B$95:$B$845),0),MATCH(D$77,$B$95:$H$95,0))*100,1)</f>
        <v>48.2</v>
      </c>
      <c r="E85" s="392" cm="1">
        <f t="array" ref="E85">ROUND(INDEX($B$95:$H$845,MATCH(1,($C85=$E$95:$E$845)*($B85=$F$95:$F$845)*($C$77=$B$95:$B$845),0),MATCH(E$77,$B$95:$H$95,0))*100,1)</f>
        <v>27.1</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68.599999999999994</v>
      </c>
      <c r="E86" s="392" cm="1">
        <f t="array" ref="E86">ROUND(INDEX($B$95:$H$845,MATCH(1,($C86=$E$95:$E$845)*($B86=$F$95:$F$845)*($C$77=$B$95:$B$845),0),MATCH(E$77,$B$95:$H$95,0))*100,1)</f>
        <v>84.1</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49585525446439.203</v>
      </c>
      <c r="O86" s="392" cm="1">
        <f t="array" ref="O86">INDEX($K$95:$Z$195,MATCH(1,($J86=$L$95:$L$195)*($J$83=$K$95:$K$195),0),MATCH(O$85,$K$95:$Z$95,0))</f>
        <v>0</v>
      </c>
      <c r="P86" s="392" cm="1">
        <f t="array" ref="P86">INDEX($K$95:$Z$195,MATCH(1,($J86=$L$95:$L$195)*($J$83=$K$95:$K$195),0),MATCH(P$85,$K$95:$Z$95,0))</f>
        <v>0</v>
      </c>
      <c r="Q86" s="392" cm="1">
        <f t="array" ref="Q86">INDEX($K$95:$Z$195,MATCH(1,($J86=$L$95:$L$195)*($J$83=$K$95:$K$195),0),MATCH(Q$85,$K$95:$Z$95,0))</f>
        <v>41590433817723.5</v>
      </c>
      <c r="R86" s="392" cm="1">
        <f t="array" ref="R86">INDEX($K$95:$Z$195,MATCH(1,($J86=$L$95:$L$195)*($J$83=$K$95:$K$195),0),MATCH(R$85,$K$95:$Z$95,0))</f>
        <v>133836777684575</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43496291166125.602</v>
      </c>
      <c r="N87" s="392" cm="1">
        <f t="array" ref="N87">INDEX($K$95:$Z$195,MATCH(1,($J87=$L$95:$L$195)*($J$83=$K$95:$K$195),0),MATCH(N$85,$K$95:$Z$95,0))</f>
        <v>157387525446439</v>
      </c>
      <c r="O87" s="392" cm="1">
        <f t="array" ref="O87">INDEX($K$95:$Z$195,MATCH(1,($J87=$L$95:$L$195)*($J$83=$K$95:$K$195),0),MATCH(O$85,$K$95:$Z$95,0))</f>
        <v>4363698954929.3701</v>
      </c>
      <c r="P87" s="392" cm="1">
        <f t="array" ref="P87">INDEX($K$95:$Z$195,MATCH(1,($J87=$L$95:$L$195)*($J$83=$K$95:$K$195),0),MATCH(P$85,$K$95:$Z$95,0))</f>
        <v>0</v>
      </c>
      <c r="Q87" s="392" cm="1">
        <f t="array" ref="Q87">INDEX($K$95:$Z$195,MATCH(1,($J87=$L$95:$L$195)*($J$83=$K$95:$K$195),0),MATCH(Q$85,$K$95:$Z$95,0))</f>
        <v>206240433817723</v>
      </c>
      <c r="R87" s="392" cm="1">
        <f t="array" ref="R87">INDEX($K$95:$Z$195,MATCH(1,($J87=$L$95:$L$195)*($J$83=$K$95:$K$195),0),MATCH(R$85,$K$95:$Z$95,0))</f>
        <v>487339777684575</v>
      </c>
    </row>
    <row r="88" spans="2:26" ht="16" customHeight="1" x14ac:dyDescent="0.35">
      <c r="J88" s="392" t="s">
        <v>3546</v>
      </c>
      <c r="K88" s="392">
        <f>IFERROR(K86/K87 *100,0)</f>
        <v>0</v>
      </c>
      <c r="L88" s="392">
        <f t="shared" ref="L88:R88" si="10">IFERROR(L86/L87 *100,0)</f>
        <v>0</v>
      </c>
      <c r="M88" s="392">
        <f t="shared" si="10"/>
        <v>0</v>
      </c>
      <c r="N88" s="432">
        <f>ROUND(IFERROR(N86/N87 *100,0),0)</f>
        <v>32</v>
      </c>
      <c r="O88" s="392">
        <f>ROUND(IFERROR(O86/O87 *100,0),0)</f>
        <v>0</v>
      </c>
      <c r="P88" s="392">
        <f t="shared" si="10"/>
        <v>0</v>
      </c>
      <c r="Q88" s="392">
        <f t="shared" si="10"/>
        <v>20.165994149566941</v>
      </c>
      <c r="R88" s="392">
        <f t="shared" si="10"/>
        <v>27.462723917274673</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Washington</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Washington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Washington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Washington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Washington,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Washington, the share of electricity among fuels used for heating in urban, residential buildings will rise from 9.2% to 18.9% through 2050.//**Urban Residential Appliances: **In the BAU case, in Washington, the share of electricity among fuels used by appliances in urban, residential buildings will rise from 65.4% to 71.4% through 2050.//**Urban Residential Other Components: ** In the BAU case, the share of electricity among fuels used by other components in urban, residential buildings is 100%.//**Rural Residential Heating: **In the BAU case, in Washington, the share of electricity among fuels used for heating in rural, residential buildings will rise from 9.2% to 18.9% through 2050.//**Rural Residential Appliances: **In the BAU case, in , the share of electricity among fuels used by appliances in rural, residential buildings will rise from 65.4% to 71.4% through 2050.//**Rural Residential Other Components: **In the United States, the share of electricity among fuels used by other components in urban, residential buildings is 100%.//**Commercial Heating: **In the BAU case, in Washington, the share of electricity among fuels used for heating in commercial buildings will fall from 4.9% to 3.3% through 2050.//**Commercial Appliances: **In the BAU case, in Washington, the share of electricity among fuels used by appliances in commercial buildings will fall from 48.2% to 27.1% through 2050.//**Commercial Other Components: **In the BAU case, in the Washington, the share of electricity among fuels used by other components in commercial buildings will rise from 68.6% to 84.1%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Washington.//**Natural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Washington.//**Natural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Washington.//**Natural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Washington.//**Natural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Washington.//**Natural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Washington.//**Natural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Washington.//**Natural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Washington.//**Natural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Washington.//**Natural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Washington.//**Natural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Washington.//**Natural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Washington.//**Natural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Washington.//**Natural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Washington.//**Natural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Washington.//**Natural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Washington.//**Natural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Washington. After weighing for coop and municipality requirements, the BAU assumes a total CES of 41% in 2030 that rises to 84%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Washington increased by 15%.</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Washington declined by -52%.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Washington, a 100% setting provides for an additional 6528 MW of demand response capacity in 2050 (on top of a BAU quantity of 2112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Washington had about 66 of grid battery storage.  The BAU scenario is based on EIA AEO data and sees grid battery capacity reach 144 by 2050.  The additional potential is based on NREL's Renewable Electricity Futures Study (80% RE-ITI (2014) scenario) and suggests Washington could reach 1830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**Washington does not have a capacity construction subsidy for onshore wind. However, the Investment Tax Credit, a similar program for solar power, covers 30% of system costs through 2019, with declining amounts thereafter.//**Solar PV : **Washington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**Washington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87" t="s">
        <v>490</v>
      </c>
      <c r="B2" s="587"/>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92" t="s">
        <v>493</v>
      </c>
      <c r="B6" s="323" t="s">
        <v>494</v>
      </c>
      <c r="C6" s="323" t="s">
        <v>495</v>
      </c>
      <c r="D6" s="323" t="s">
        <v>496</v>
      </c>
      <c r="E6" s="323" t="s">
        <v>497</v>
      </c>
      <c r="F6" s="323" t="s">
        <v>498</v>
      </c>
      <c r="G6" s="323" t="s">
        <v>499</v>
      </c>
      <c r="H6" s="323" t="s">
        <v>500</v>
      </c>
    </row>
    <row r="7" spans="1:8" ht="15" thickBot="1" x14ac:dyDescent="0.4">
      <c r="A7" s="593"/>
      <c r="B7" s="594" t="s">
        <v>501</v>
      </c>
      <c r="C7" s="595"/>
      <c r="D7" s="595"/>
      <c r="E7" s="595"/>
      <c r="F7" s="595"/>
      <c r="G7" s="595"/>
      <c r="H7" s="596"/>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97" t="s">
        <v>551</v>
      </c>
      <c r="B68" s="598"/>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99" t="s">
        <v>493</v>
      </c>
      <c r="B71" s="602" t="s">
        <v>553</v>
      </c>
      <c r="C71" s="603"/>
      <c r="D71" s="602" t="s">
        <v>554</v>
      </c>
      <c r="E71" s="604"/>
      <c r="F71" s="605"/>
      <c r="G71" s="602" t="s">
        <v>555</v>
      </c>
      <c r="H71" s="606"/>
      <c r="I71" s="606"/>
      <c r="J71" s="603"/>
    </row>
    <row r="72" spans="1:10" x14ac:dyDescent="0.35">
      <c r="A72" s="600"/>
      <c r="B72" s="607" t="s">
        <v>556</v>
      </c>
      <c r="C72" s="608"/>
      <c r="D72" s="611" t="s">
        <v>557</v>
      </c>
      <c r="E72" s="607" t="s">
        <v>495</v>
      </c>
      <c r="F72" s="608" t="s">
        <v>496</v>
      </c>
      <c r="G72" s="611" t="s">
        <v>558</v>
      </c>
      <c r="H72" s="611" t="s">
        <v>495</v>
      </c>
      <c r="I72" s="611" t="s">
        <v>496</v>
      </c>
      <c r="J72" s="319" t="s">
        <v>494</v>
      </c>
    </row>
    <row r="73" spans="1:10" x14ac:dyDescent="0.35">
      <c r="A73" s="600"/>
      <c r="B73" s="609"/>
      <c r="C73" s="610"/>
      <c r="D73" s="612"/>
      <c r="E73" s="609"/>
      <c r="F73" s="610"/>
      <c r="G73" s="613"/>
      <c r="H73" s="612"/>
      <c r="I73" s="612"/>
      <c r="J73" s="319" t="s">
        <v>559</v>
      </c>
    </row>
    <row r="74" spans="1:10" ht="15" thickBot="1" x14ac:dyDescent="0.4">
      <c r="A74" s="601"/>
      <c r="B74" s="322" t="s">
        <v>560</v>
      </c>
      <c r="C74" s="56" t="s">
        <v>561</v>
      </c>
      <c r="D74" s="56" t="s">
        <v>562</v>
      </c>
      <c r="E74" s="590" t="s">
        <v>563</v>
      </c>
      <c r="F74" s="591"/>
      <c r="G74" s="590" t="s">
        <v>501</v>
      </c>
      <c r="H74" s="588"/>
      <c r="I74" s="588"/>
      <c r="J74" s="589"/>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87" t="s">
        <v>626</v>
      </c>
      <c r="B409" s="587"/>
      <c r="C409" s="587"/>
      <c r="D409" s="587"/>
      <c r="E409" s="587"/>
      <c r="F409" s="587"/>
      <c r="G409" s="587"/>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1" t="s">
        <v>501</v>
      </c>
      <c r="C414" s="581"/>
      <c r="D414" s="582"/>
      <c r="E414" s="580" t="s">
        <v>634</v>
      </c>
      <c r="F414" s="581"/>
      <c r="G414" s="582"/>
      <c r="H414" s="580" t="s">
        <v>501</v>
      </c>
      <c r="I414" s="588"/>
      <c r="J414" s="588"/>
      <c r="K414" s="588"/>
      <c r="L414" s="588"/>
      <c r="M414" s="589"/>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84" t="s">
        <v>679</v>
      </c>
      <c r="B466" s="584"/>
      <c r="C466" s="584"/>
      <c r="D466" s="584"/>
      <c r="E466" s="584"/>
      <c r="F466" s="584"/>
      <c r="G466" s="584"/>
      <c r="H466" s="584"/>
      <c r="I466" s="584"/>
      <c r="J466" s="584"/>
      <c r="K466" s="584"/>
      <c r="L466" s="584"/>
      <c r="M466" s="584"/>
      <c r="N466" s="584"/>
      <c r="O466" s="584"/>
      <c r="P466" s="584"/>
      <c r="Q466" s="584"/>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578"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579"/>
      <c r="B471" s="580" t="s">
        <v>3275</v>
      </c>
      <c r="C471" s="581"/>
      <c r="D471" s="581"/>
      <c r="E471" s="581"/>
      <c r="F471" s="581"/>
      <c r="G471" s="581"/>
      <c r="H471" s="581"/>
      <c r="I471" s="581"/>
      <c r="J471" s="581"/>
      <c r="K471" s="581"/>
      <c r="L471" s="581"/>
      <c r="M471" s="581"/>
      <c r="N471" s="581"/>
      <c r="O471" s="581"/>
      <c r="P471" s="581"/>
      <c r="Q471" s="581"/>
      <c r="R471" s="582"/>
      <c r="S471" s="320"/>
      <c r="T471" s="320"/>
      <c r="U471" s="571" t="s">
        <v>714</v>
      </c>
      <c r="V471" s="572"/>
      <c r="W471" s="580" t="s">
        <v>3275</v>
      </c>
      <c r="X471" s="581"/>
      <c r="Y471" s="581"/>
      <c r="Z471" s="581"/>
      <c r="AA471" s="581"/>
      <c r="AB471" s="581"/>
      <c r="AC471" s="582"/>
      <c r="AD471" s="320"/>
      <c r="AE471" s="320"/>
      <c r="AF471" s="571" t="s">
        <v>714</v>
      </c>
      <c r="AG471" s="572"/>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71" t="s">
        <v>714</v>
      </c>
      <c r="C501" s="585"/>
      <c r="D501" s="585"/>
      <c r="E501" s="585"/>
      <c r="F501" s="585"/>
      <c r="G501" s="585"/>
      <c r="H501" s="585"/>
      <c r="I501" s="585"/>
      <c r="J501" s="585"/>
      <c r="K501" s="585"/>
      <c r="L501" s="585"/>
      <c r="M501" s="585"/>
      <c r="N501" s="585"/>
      <c r="O501" s="585"/>
      <c r="P501" s="585"/>
      <c r="Q501" s="585"/>
      <c r="R501" s="585"/>
      <c r="S501" s="585"/>
      <c r="T501" s="585"/>
      <c r="U501" s="585"/>
      <c r="V501" s="585"/>
      <c r="W501" s="585"/>
      <c r="X501" s="585"/>
      <c r="Y501" s="585"/>
      <c r="Z501" s="585"/>
      <c r="AA501" s="585"/>
      <c r="AB501" s="585"/>
      <c r="AC501" s="585"/>
      <c r="AD501" s="585"/>
      <c r="AE501" s="585"/>
      <c r="AF501" s="585"/>
      <c r="AG501" s="585"/>
      <c r="AH501" s="585"/>
      <c r="AI501" s="585"/>
      <c r="AJ501" s="586"/>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1" t="s">
        <v>501</v>
      </c>
      <c r="C518" s="581"/>
      <c r="D518" s="581"/>
      <c r="E518" s="581"/>
      <c r="F518" s="581"/>
      <c r="G518" s="582"/>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573" t="s">
        <v>493</v>
      </c>
      <c r="B604" s="74" t="s">
        <v>782</v>
      </c>
      <c r="C604" s="74" t="s">
        <v>783</v>
      </c>
      <c r="D604" s="74" t="s">
        <v>784</v>
      </c>
      <c r="E604" s="74" t="s">
        <v>632</v>
      </c>
      <c r="F604" s="74" t="s">
        <v>498</v>
      </c>
      <c r="G604" s="74" t="s">
        <v>499</v>
      </c>
    </row>
    <row r="605" spans="1:7" ht="15" thickBot="1" x14ac:dyDescent="0.4">
      <c r="A605" s="574"/>
      <c r="B605" s="575" t="s">
        <v>501</v>
      </c>
      <c r="C605" s="576"/>
      <c r="D605" s="576"/>
      <c r="E605" s="576"/>
      <c r="F605" s="576"/>
      <c r="G605" s="577"/>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583" t="s">
        <v>808</v>
      </c>
      <c r="B632" s="58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566" t="s">
        <v>809</v>
      </c>
      <c r="B636" s="298" t="s">
        <v>810</v>
      </c>
      <c r="C636" s="299" t="s">
        <v>495</v>
      </c>
      <c r="D636" s="299" t="s">
        <v>496</v>
      </c>
      <c r="E636" s="299" t="s">
        <v>632</v>
      </c>
      <c r="F636" s="300" t="s">
        <v>498</v>
      </c>
      <c r="G636" s="301" t="s">
        <v>499</v>
      </c>
      <c r="H636" s="300" t="s">
        <v>633</v>
      </c>
    </row>
    <row r="637" spans="1:8" ht="15" thickBot="1" x14ac:dyDescent="0.4">
      <c r="A637" s="567"/>
      <c r="B637" s="568" t="s">
        <v>501</v>
      </c>
      <c r="C637" s="569"/>
      <c r="D637" s="569"/>
      <c r="E637" s="569"/>
      <c r="F637" s="569"/>
      <c r="G637" s="569"/>
      <c r="H637" s="570"/>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8" t="s">
        <v>11</v>
      </c>
      <c r="B1" s="618"/>
      <c r="C1" s="618"/>
      <c r="D1" s="618"/>
      <c r="E1" s="618"/>
    </row>
    <row r="2" spans="1:5" x14ac:dyDescent="0.35">
      <c r="A2" s="619" t="s">
        <v>155</v>
      </c>
      <c r="B2" s="619"/>
      <c r="C2" s="619"/>
      <c r="D2" s="619"/>
      <c r="E2" s="619"/>
    </row>
    <row r="19" spans="1:5" x14ac:dyDescent="0.35">
      <c r="A19" s="6" t="s">
        <v>156</v>
      </c>
    </row>
    <row r="20" spans="1:5" x14ac:dyDescent="0.35">
      <c r="A20" s="6">
        <v>155400</v>
      </c>
      <c r="B20" s="6" t="s">
        <v>157</v>
      </c>
    </row>
    <row r="21" spans="1:5" x14ac:dyDescent="0.35">
      <c r="A21" s="619" t="s">
        <v>158</v>
      </c>
      <c r="B21" s="619"/>
      <c r="C21" s="619"/>
      <c r="D21" s="619"/>
      <c r="E21" s="619"/>
    </row>
    <row r="38" spans="1:5" x14ac:dyDescent="0.35">
      <c r="A38" s="6" t="s">
        <v>156</v>
      </c>
    </row>
    <row r="39" spans="1:5" x14ac:dyDescent="0.35">
      <c r="A39" s="6">
        <v>100800</v>
      </c>
      <c r="B39" s="6" t="s">
        <v>157</v>
      </c>
    </row>
    <row r="40" spans="1:5" x14ac:dyDescent="0.35">
      <c r="A40" s="619" t="s">
        <v>159</v>
      </c>
      <c r="B40" s="619"/>
      <c r="C40" s="619"/>
      <c r="D40" s="619"/>
      <c r="E40" s="619"/>
    </row>
    <row r="57" spans="1:5" ht="15" thickBot="1" x14ac:dyDescent="0.4">
      <c r="A57" s="6" t="s">
        <v>156</v>
      </c>
    </row>
    <row r="58" spans="1:5" ht="15" thickBot="1" x14ac:dyDescent="0.4">
      <c r="A58" s="7">
        <v>194000</v>
      </c>
      <c r="B58" s="6" t="s">
        <v>160</v>
      </c>
    </row>
    <row r="60" spans="1:5" x14ac:dyDescent="0.35">
      <c r="A60" s="618" t="s">
        <v>161</v>
      </c>
      <c r="B60" s="618"/>
      <c r="C60" s="618"/>
      <c r="D60" s="618"/>
      <c r="E60" s="618"/>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8" t="s">
        <v>162</v>
      </c>
      <c r="B89" s="618"/>
      <c r="C89" s="618"/>
      <c r="D89" s="618"/>
      <c r="E89" s="618"/>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8" t="s">
        <v>163</v>
      </c>
      <c r="B98" s="618"/>
      <c r="C98" s="618"/>
      <c r="D98" s="618"/>
      <c r="E98" s="618"/>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8" t="s">
        <v>165</v>
      </c>
      <c r="B109" s="618"/>
      <c r="C109" s="618"/>
      <c r="D109" s="618"/>
      <c r="E109" s="618"/>
    </row>
    <row r="110" spans="1:5" ht="15" thickBot="1" x14ac:dyDescent="0.4"/>
    <row r="111" spans="1:5" ht="15" thickBot="1" x14ac:dyDescent="0.4">
      <c r="A111" s="15">
        <f>A122</f>
        <v>0.20481927710843381</v>
      </c>
      <c r="B111" s="6" t="s">
        <v>393</v>
      </c>
    </row>
    <row r="113" spans="1:12" x14ac:dyDescent="0.35">
      <c r="A113" s="618" t="s">
        <v>164</v>
      </c>
      <c r="B113" s="618"/>
      <c r="C113" s="618"/>
      <c r="D113" s="618"/>
      <c r="E113" s="618"/>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8" t="s">
        <v>394</v>
      </c>
      <c r="B124" s="618"/>
      <c r="C124" s="618"/>
      <c r="D124" s="618"/>
      <c r="E124" s="618"/>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8" t="s">
        <v>105</v>
      </c>
      <c r="B134" s="618"/>
      <c r="C134" s="618"/>
      <c r="D134" s="618"/>
      <c r="E134" s="618"/>
    </row>
    <row r="135" spans="1:12" x14ac:dyDescent="0.35">
      <c r="A135" s="22" t="s">
        <v>409</v>
      </c>
      <c r="B135" s="23"/>
      <c r="C135" s="23"/>
      <c r="D135" s="23"/>
      <c r="E135" s="23"/>
      <c r="F135" s="23"/>
      <c r="G135" s="23"/>
    </row>
    <row r="136" spans="1:12" x14ac:dyDescent="0.35">
      <c r="A136" s="24"/>
      <c r="B136" s="615" t="s">
        <v>410</v>
      </c>
      <c r="C136" s="616"/>
      <c r="D136" s="616"/>
      <c r="E136" s="617"/>
      <c r="F136" s="23"/>
      <c r="G136" s="23"/>
    </row>
    <row r="137" spans="1:12" x14ac:dyDescent="0.35">
      <c r="A137" s="25"/>
      <c r="B137" s="615" t="s">
        <v>411</v>
      </c>
      <c r="C137" s="617"/>
      <c r="D137" s="615" t="s">
        <v>412</v>
      </c>
      <c r="E137" s="617"/>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8" t="s">
        <v>168</v>
      </c>
      <c r="B165" s="618"/>
      <c r="C165" s="618"/>
      <c r="D165" s="618"/>
      <c r="E165" s="618"/>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8" t="s">
        <v>401</v>
      </c>
      <c r="B169" s="618"/>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8" t="s">
        <v>174</v>
      </c>
      <c r="B174" s="618"/>
      <c r="C174" s="618"/>
      <c r="D174" s="618"/>
      <c r="E174" s="618"/>
    </row>
    <row r="175" spans="1:7" ht="15" thickBot="1" x14ac:dyDescent="0.4">
      <c r="A175" s="19" t="s">
        <v>408</v>
      </c>
      <c r="B175" s="41">
        <v>0.1246</v>
      </c>
    </row>
    <row r="176" spans="1:7" ht="15" thickBot="1" x14ac:dyDescent="0.4">
      <c r="A176" s="19" t="s">
        <v>405</v>
      </c>
      <c r="B176" s="40">
        <f>1-B175</f>
        <v>0.87539999999999996</v>
      </c>
    </row>
    <row r="178" spans="1:5" x14ac:dyDescent="0.35">
      <c r="A178" s="618" t="s">
        <v>171</v>
      </c>
      <c r="B178" s="618"/>
      <c r="C178" s="618"/>
      <c r="D178" s="618"/>
      <c r="E178" s="618"/>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8" t="s">
        <v>173</v>
      </c>
      <c r="B183" s="618"/>
      <c r="C183" s="618"/>
      <c r="D183" s="618"/>
      <c r="E183" s="618"/>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8" t="s">
        <v>184</v>
      </c>
      <c r="B191" s="618"/>
      <c r="C191" s="618"/>
      <c r="D191" s="618"/>
      <c r="E191" s="618"/>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4" t="s">
        <v>3113</v>
      </c>
      <c r="C201" s="614"/>
      <c r="D201" s="614"/>
      <c r="E201" s="614"/>
      <c r="F201" s="614"/>
      <c r="G201" s="614"/>
      <c r="H201" s="614"/>
      <c r="I201" s="614"/>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4" t="s">
        <v>3113</v>
      </c>
      <c r="C209" s="614"/>
      <c r="D209" s="614"/>
      <c r="E209" s="614"/>
      <c r="F209" s="614"/>
      <c r="G209" s="614"/>
      <c r="H209" s="614"/>
      <c r="I209" s="614"/>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4" t="s">
        <v>3113</v>
      </c>
      <c r="C217" s="614"/>
      <c r="D217" s="614"/>
      <c r="E217" s="614"/>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2022-01-13T21:43:35Z</dcterms:modified>
</cp:coreProperties>
</file>