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Washington\WA-eps\"/>
    </mc:Choice>
  </mc:AlternateContent>
  <xr:revisionPtr revIDLastSave="0" documentId="13_ncr:1_{68A906BB-A1B3-4F4B-AE18-2794CE4EE7D8}"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<sst xmlns="http://schemas.openxmlformats.org/spreadsheetml/2006/main" count="32060" uniqueCount="2370">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</sst>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130</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Washington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6.739083818486761</v>
      </c>
      <c r="C7" s="118">
        <f>D28</f>
        <v>7.6132600000000004</v>
      </c>
      <c r="D7" s="75">
        <v>0.06</v>
      </c>
      <c r="E7" s="75">
        <v>0.02</v>
      </c>
      <c r="F7" s="117">
        <f t="shared" si="0"/>
        <v>7.1564643999999999</v>
      </c>
      <c r="G7" s="117">
        <f t="shared" si="0"/>
        <v>7.4609947999999999</v>
      </c>
      <c r="H7" s="69"/>
      <c r="I7" s="76">
        <f t="shared" si="1"/>
        <v>-6.1934321156278616E-2</v>
      </c>
      <c r="J7" s="76">
        <f t="shared" si="3"/>
        <v>-0.10712301567356697</v>
      </c>
      <c r="K7" s="69" t="str">
        <f t="shared" si="2"/>
        <v>In a scenario limiting global warming to 1.5 °C, Washington would need to cut its agriculture emissions by -11 to -6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Washington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2.8562106710962132</v>
      </c>
      <c r="C9" s="118">
        <f>C28</f>
        <v>1.59965</v>
      </c>
      <c r="D9" s="75">
        <v>0.06</v>
      </c>
      <c r="E9" s="75">
        <v>0.02</v>
      </c>
      <c r="F9" s="117">
        <f t="shared" si="0"/>
        <v>1.503671</v>
      </c>
      <c r="G9" s="117">
        <f t="shared" si="0"/>
        <v>1.5676570000000001</v>
      </c>
      <c r="H9" s="69"/>
      <c r="I9" s="76">
        <f t="shared" si="1"/>
        <v>0.47354338557145326</v>
      </c>
      <c r="J9" s="76">
        <f t="shared" si="3"/>
        <v>0.45114097644683415</v>
      </c>
      <c r="K9" s="69" t="str">
        <f t="shared" si="2"/>
        <v>In a scenario limiting global warming to 1.5 °C, Washington would need to cut its waste emissions by 45 to 47 percent of 2005 levels.</v>
      </c>
      <c r="L9" s="69"/>
      <c r="M9" s="69"/>
      <c r="N9" s="69"/>
      <c r="O9" s="69"/>
      <c r="P9" s="69"/>
      <c r="Q9" s="69"/>
      <c r="R9" s="69"/>
      <c r="S9" s="69"/>
      <c r="T9" s="69"/>
      <c r="U9" s="69"/>
      <c r="V9" s="69"/>
      <c r="W9" s="69"/>
      <c r="X9" s="69"/>
      <c r="Y9" s="69"/>
      <c r="Z9" s="69"/>
    </row>
    <row r="10" spans="1:26" ht="14.5" x14ac:dyDescent="0.35">
      <c r="A10" s="73" t="s">
        <v>1864</v>
      </c>
      <c r="B10" s="119">
        <f>SUM(B3:B9)</f>
        <v>3.1569344895829738</v>
      </c>
      <c r="C10" s="119">
        <f>SUM(C3:C9)</f>
        <v>60.091929999999991</v>
      </c>
      <c r="D10" s="76">
        <f>1-F10/$C10</f>
        <v>0.52651809652311032</v>
      </c>
      <c r="E10" s="76">
        <f>1-G10/$C10</f>
        <v>0.37781239843686165</v>
      </c>
      <c r="F10" s="117">
        <f>SUM(F3:F9)</f>
        <v>28.452441400000005</v>
      </c>
      <c r="G10" s="117">
        <f>SUM(G3:G9)</f>
        <v>37.388453799999994</v>
      </c>
      <c r="H10" s="171">
        <f>IFERROR(B10*(1-'Unique State Inputs'!A$8),"")</f>
        <v>1.7363139692706357</v>
      </c>
      <c r="I10" s="76">
        <f t="shared" si="1"/>
        <v>-8.0126803371705471</v>
      </c>
      <c r="J10" s="76">
        <f t="shared" si="3"/>
        <v>-10.843278320589716</v>
      </c>
      <c r="K10" s="69" t="str">
        <f t="shared" si="2"/>
        <v>In a scenario limiting global warming to 1.5 °C, Washington would need to cut its total (including land use) emissions by -1084 to -801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9.5952944895829742</v>
      </c>
      <c r="C11" s="119">
        <f>SUM(C3:C9)-C8</f>
        <v>66.530289999999994</v>
      </c>
      <c r="D11" s="76">
        <f>1-F11/$C11</f>
        <v>0.47556516888773503</v>
      </c>
      <c r="E11" s="76">
        <f>1-G11/$C11</f>
        <v>0.34125022151564344</v>
      </c>
      <c r="F11" s="117">
        <f>F10-F8</f>
        <v>34.890801400000008</v>
      </c>
      <c r="G11" s="117">
        <f>G10-G8</f>
        <v>43.826813799999996</v>
      </c>
      <c r="H11" s="171">
        <f>IFERROR(B11*(1-'Unique State Inputs'!A$8),"")</f>
        <v>5.277411969270636</v>
      </c>
      <c r="I11" s="76">
        <f t="shared" si="1"/>
        <v>-2.636240809271547</v>
      </c>
      <c r="J11" s="76">
        <f t="shared" si="3"/>
        <v>-3.5675319134373726</v>
      </c>
      <c r="K11" s="69" t="str">
        <f t="shared" si="2"/>
        <v>In a scenario limiting global warming to 1.5 °C, Washington would need to cut its total (excluding land use) emissions by -357 to -264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Washington had 3423 EV charging outlets, approximately 45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Washington had 3423 EV charging outlets, approximately 45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3423 EV charging outlets, approximately 45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Washington, the share of electricity among fuels used for heating in urban, residential buildings will rise from 9.2% to 18.9%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Washington, the share of electricity among fuels used for heating in urban, residential buildings will rise from 9.2% to 18.9%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Washington, the share of electricity among fuels used by appliances in urban, residential buildings will rise from 65.4% to 71.4%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Washington, the share of electricity among fuels used by appliances in urban, residential buildings will rise from 65.4% to 71.4%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Washington, the share of electricity among fuels used for heating in rural, residential buildings will rise from 9.2% to 18.9%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Washington, the share of electricity among fuels used for heating in rural, residential buildings will rise from 9.2% to 18.9%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65.4% to 71.4%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65.4% to 71.4%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Washington, the share of electricity among fuels used for heating in commercial buildings will fall from 4.9% to 3.3%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Washington, the share of electricity among fuels used for heating in commercial buildings will fall from 4.9% to 3.3%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Washington, the share of electricity among fuels used by appliances in commercial buildings will fall from 48.2% to 27.1%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Washington, the share of electricity among fuels used by appliances in commercial buildings will fall from 48.2% to 27.1%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Washington, the share of electricity among fuels used by other components in commercial buildings will rise from 68.6% to 84.1%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Washington, the share of electricity among fuels used by other components in commercial buildings will rise from 68.6% to 84.1%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Washington.//**Natural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Washington.</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Washington.</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Washington increased by 15%.</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Washington increased by 15%.</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Washington increased by 15%.</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Washington declined by -52%.</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Washington declined by -52%.</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Washington declined by -52%.</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Washington declined by -52%.</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Washington declined by -52%.</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Washington declined by -52%.</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Washington declined by -52%.</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Washington declined by -52%.</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Washington declined by -52%.</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Washington declined by -52%.</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Washington declined by -52%.</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Washington declined by -52%.</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Washington declined by -52%.</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Washington declined by -52%.</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Washington declined by -52%.</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Washington declined by -52%.</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Washington, a 100% setting provides for an additional 6528 MW of demand response capacity in 2050 (on top of a BAU quantity of 2112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Washington, a 100% setting provides for an additional 6528 MW of demand response capacity in 2050 (on top of a BAU quantity of 2112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6528 MW of demand response capacity in 2050 (on top of a BAU quantity of 2112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Washington will retire 670 MW of coal by 2050. Washington currently has 1340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Washington will retire 670 MW of coal by 2050. Washington currently has 1340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Washington will retire 0 MW of gas non-peaking plants by 2050. Washington currently has 2636MW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Washington will retire 0 MW of gas non-peaking plants by 2050. Washington currently has 2636MW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Washington will retire 0 MW of nuclear capacity by 2050. Washington currently has 1163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Washington will retire 0 MW of nuclear capacity by 2050. Washington currently has 1163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Washington will retire 20 MW of biomass capacity by 2050. Washington currently has 96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Washington will retire 0 MW of petroleum capacity by 2050. Washington currently has 3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Washington will retire 0 MW of natural gas peaker capacity by 2050. Washington currently has 624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Washington will retire 0 MW of natural gas peaker capacity by 2050. Washington currently has 624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Washington will retire 0 MW of natural gas peaker capacity by 2050. Washington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Washington will retire 0 MW of natural gas peaker capacity by 2050. Washington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Washington had about 66 of grid battery storage.  The BAU scenario is based on EIA AEO data and sees grid battery capacity reach 144 by 2050.  The additional potential is based on NREL's Renewable Electricity Futures Study (80% RE-ITI (2014) scenario) and suggests Washington could reach 1830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Washington had about 66 of grid battery storage.  The BAU scenario is based on EIA AEO data and sees grid battery capacity reach 144 by 2050.  The additional potential is based on NREL's Renewable Electricity Futures Study (80% RE-ITI (2014) scenario) and suggests Washington could reach 1830 of grid battery storage by 2050.</v>
      </c>
      <c r="U255" s="305" t="str">
        <f>N255&amp;O255&amp;P255&amp;T255</f>
        <v>**Description:** This policy causes grid-scale electricity storage from chemical batteries to increase above the amount predicted in the BAU Scenario. // **Guidance for setting values: **In 2019, Washington had about 66 of grid battery storage.  The BAU scenario is based on EIA AEO data and sees grid battery capacity reach 144 by 2050.  The additional potential is based on NREL's Renewable Electricity Futures Study (80% RE-ITI (2014) scenario) and suggests Washington could reach 1830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Washington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**Washington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Washington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**Washington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Washington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**Washington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115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115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3423 EV charging outlets, approximately 45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Washington.//**Natural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Washington.//**Natural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Washington.//**Natural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Washington.//**Natural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Washington.//**Natural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Washington.//**Natural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Washington.//**Natural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Washington.//**Natural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Washington.//**Natural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Washington.//**Natural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Washington.//**Natural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Washington.//**Natural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Washington.//**Natural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Washington.//**Natural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Washington.//**Natural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Washington.//**Natural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Washington increased by 15%.</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6528 MW of demand response capacity in 2050 (on top of a BAU quantity of 2112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Washington had about 66 of grid battery storage.  The BAU scenario is based on EIA AEO data and sees grid battery capacity reach 144 by 2050.  The additional potential is based on NREL's Renewable Electricity Futures Study (80% RE-ITI (2014) scenario) and suggests Washington could reach 1830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3423 EV charging outlets, approximately 45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9.2% to 18.9% through 2050.//**Urban Residential Appliances: **In the BAU case, in Washington, the share of electricity among fuels used by appliances in urban, residential buildings will rise from 65.4% to 71.4% through 2050.//**Urban Residential Other Components: ** In the BAU case, the share of electricity among fuels used by other components in urban, residential buildings is 100%.//**Rural Residential Heating: **In the BAU case, in Washington, the share of electricity among fuels used for heating in rural, residential buildings will rise from 9.2% to 18.9% through 2050.//**Rural Residential Appliances: **In the BAU case, in , the share of electricity among fuels used by appliances in rural, residential buildings will rise from 65.4% to 71.4% through 2050.//**Rural Residential Other Components: **In the United States, the share of electricity among fuels used by other components in urban, residential buildings is 100%.//**Commercial Heating: **In the BAU case, in Washington, the share of electricity among fuels used for heating in commercial buildings will fall from 4.9% to 3.3% through 2050.//**Commercial Appliances: **In the BAU case, in Washington, the share of electricity among fuels used by appliances in commercial buildings will fall from 48.2% to 27.1% through 2050.//**Commercial Other Components: **In the BAU case, in the Washington, the share of electricity among fuels used by other components in commercial buildings will rise from 68.6% to 84.1%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Washington.//**Natural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Washington increased by 15%.</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Washington declined by -52%.//**Natural Gas Nonpeaker : **From 2010-2018, electricity exports in Washington declined by -52%.//**Nuclear : **From 2010-2018, electricity exports in Washington declined by -52%.//**Hydro : **From 2010-2018, electricity exports in Washington declined by -52%.//**Onshore Wind : **From 2010-2018, electricity exports in Washington declined by -52%.//**Solar PV : **From 2010-2018, electricity exports in Washington declined by -52%.//**Biomass : **From 2010-2018, electricity exports in Washington declined by -52%.//**Petroleum : **From 2010-2018, electricity exports in Washington declined by -52%.</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6528 MW of demand response capacity in 2050 (on top of a BAU quantity of 2112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Washington will retire 670 MW of coal by 2050. Washington currently has 1340 MW of coal capacity.//**Natural Gas Nonpeaker : **The EIA projects that Washington will retire 0 MW of gas non-peaking plants by 2050. Washington currently has 2636MW of natural gas non-peaking capacity.//**Nuclear : **The EIA projects that Washington will retire 0 MW of nuclear capacity by 2050. Washington currently has 1163 MW of nuclear capacity.//**Natural Gas Peaker : **The EIA projects that Washington will retire 0 MW of natural gas peaker capacity by 2050. Washington currently has 624 MW of natural gas peaker capacity.//**Lignite : **The EIA projects that Washington will retire 0 MW of natural gas peaker capacity by 2050. Washington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Washington had about 66 of grid battery storage.  The BAU scenario is based on EIA AEO data and sees grid battery capacity reach 144 by 2050.  The additional potential is based on NREL's Renewable Electricity Futures Study (80% RE-ITI (2014) scenario) and suggests Washington could reach 1830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**Washington does not have a capacity construction subsidy for onshore wind. However, the Investment Tax Credit, a similar program for solar power, covers 30% of system costs through 2019, with declining amounts thereafter.//**Solar PV : **Washington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**Washington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Washington had 3423 EV charging outlets, approximately 45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Washington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Washington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Washington,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Washington, the share of electricity among fuels used for heating in urban, residential buildings will rise from 9.2% to 18.9%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Washington, the share of electricity among fuels used by appliances in urban, residential buildings will rise from 65.4% to 71.4%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Washington, the share of electricity among fuels used for heating in rural, residential buildings will rise from 9.2% to 18.9%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65.4% to 71.4%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Washington, the share of electricity among fuels used for heating in commercial buildings will fall from 4.9% to 3.3%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Washington, the share of electricity among fuels used by appliances in commercial buildings will fall from 48.2% to 27.1%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Washington, the share of electricity among fuels used by other components in commercial buildings will rise from 68.6% to 84.1%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Washington.</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84%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increased by 15%.</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Washington declined by -52%.</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Washington, a 100% setting provides for an additional 6528 MW of demand response capacity in 2050 (on top of a BAU quantity of 2112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Washington will retire 670 MW of coal by 2050. Washington currently has 1340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Washington will retire 0 MW of gas non-peaking plants by 2050. Washington currently has 2636MW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Washington will retire 0 MW of nuclear capacity by 2050. Washington currently has 1163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Washington will retire 20 MW of biomass capacity by 2050. Washington currently has 96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Washington will retire 20 MW of biomass capacity by 2050. Washington currently has 96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Washington will retire 0 MW of petroleum capacity by 2050. Washington currently has 3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Washington will retire 0 MW of natural gas peaker capacity by 2050. Washington currently has 624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Washington will retire 0 MW of natural gas peaker capacity by 2050. Washington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Washington had about 66 of grid battery storage.  The BAU scenario is based on EIA AEO data and sees grid battery capacity reach 144 by 2050.  The additional potential is based on NREL's Renewable Electricity Futures Study (80% RE-ITI (2014) scenario) and suggests Washington could reach 1830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Washington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Washington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Washington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Washington</v>
      </c>
      <c r="B6" s="145">
        <f>SUMIFS(B7:B57,$A7:$A57,$A$6)</f>
        <v>3423</v>
      </c>
      <c r="C6" s="145">
        <f>SUMIFS(C7:C57,$A7:$A57,$A$6)</f>
        <v>7681818</v>
      </c>
      <c r="D6" s="145">
        <f>ROUND(SUMIFS(D7:D57,$A7:$A57,$A$6),2)</f>
        <v>44.56</v>
      </c>
      <c r="E6" s="145">
        <f t="shared" ref="E6:L6" si="0">SUMIFS(E7:E57,$A7:$A57,$A$6)</f>
        <v>1</v>
      </c>
      <c r="F6" s="145">
        <f t="shared" si="0"/>
        <v>0.12566533370186386</v>
      </c>
      <c r="G6" s="145">
        <f t="shared" si="0"/>
        <v>0.41050675675942189</v>
      </c>
      <c r="H6" s="145">
        <f t="shared" si="0"/>
        <v>0.83776889134575916</v>
      </c>
      <c r="I6" s="145">
        <f t="shared" si="0"/>
        <v>2973166</v>
      </c>
      <c r="J6" s="145">
        <f t="shared" si="0"/>
        <v>19114796</v>
      </c>
      <c r="K6" s="145">
        <f t="shared" si="0"/>
        <v>1435330</v>
      </c>
      <c r="L6" s="145">
        <f t="shared" si="0"/>
        <v>22061511</v>
      </c>
      <c r="M6" s="145">
        <f>ROUND(SUMIFS(M7:M57,$A7:$A57,$A$6)*100,0)</f>
        <v>-52</v>
      </c>
      <c r="N6" s="145">
        <f>ROUND(SUMIFS(N7:N57,$A7:$A57,$A$6)*100,0)</f>
        <v>15</v>
      </c>
      <c r="O6" s="145">
        <f t="shared" ref="O6:AM6" si="1">ROUND(SUMIFS(O7:O57,$A7:$A57,$A$6),0)</f>
        <v>0</v>
      </c>
      <c r="P6" s="145">
        <f t="shared" si="1"/>
        <v>0</v>
      </c>
      <c r="Q6" s="145">
        <f t="shared" si="1"/>
        <v>670</v>
      </c>
      <c r="R6" s="145">
        <f t="shared" si="1"/>
        <v>0</v>
      </c>
      <c r="S6" s="145">
        <f t="shared" si="1"/>
        <v>0</v>
      </c>
      <c r="T6" s="145">
        <f t="shared" si="1"/>
        <v>20</v>
      </c>
      <c r="U6" s="145">
        <f t="shared" si="1"/>
        <v>0</v>
      </c>
      <c r="V6" s="145">
        <f t="shared" si="1"/>
        <v>0</v>
      </c>
      <c r="W6" s="145">
        <f t="shared" si="1"/>
        <v>0</v>
      </c>
      <c r="X6" s="145">
        <f t="shared" si="1"/>
        <v>1340</v>
      </c>
      <c r="Y6" s="145">
        <f t="shared" si="1"/>
        <v>2636</v>
      </c>
      <c r="Z6" s="145">
        <f t="shared" si="1"/>
        <v>1163</v>
      </c>
      <c r="AA6" s="145">
        <f t="shared" si="1"/>
        <v>21225</v>
      </c>
      <c r="AB6" s="145">
        <f t="shared" si="1"/>
        <v>3073</v>
      </c>
      <c r="AC6" s="145">
        <f t="shared" si="1"/>
        <v>20</v>
      </c>
      <c r="AD6" s="145">
        <f t="shared" si="1"/>
        <v>0</v>
      </c>
      <c r="AE6" s="145">
        <f t="shared" si="1"/>
        <v>96</v>
      </c>
      <c r="AF6" s="145">
        <f t="shared" si="1"/>
        <v>0</v>
      </c>
      <c r="AG6" s="145">
        <f t="shared" si="1"/>
        <v>3</v>
      </c>
      <c r="AH6" s="145">
        <f t="shared" si="1"/>
        <v>624</v>
      </c>
      <c r="AI6" s="145">
        <f t="shared" si="1"/>
        <v>0</v>
      </c>
      <c r="AJ6" s="145">
        <f t="shared" si="1"/>
        <v>0</v>
      </c>
      <c r="AK6" s="145">
        <f t="shared" si="1"/>
        <v>0</v>
      </c>
      <c r="AL6" s="145">
        <f t="shared" si="1"/>
        <v>0</v>
      </c>
      <c r="AM6" s="145">
        <f t="shared" si="1"/>
        <v>23</v>
      </c>
      <c r="AN6" s="380">
        <f>ROUND(SUMIFS(AN7:AN57,$A7:$A57,$A$6),)</f>
        <v>144</v>
      </c>
      <c r="AO6" s="145">
        <f t="shared" ref="AO6:AP6" si="2">ROUND(SUMIFS(AO7:AO57,$A7:$A57,$A$6),)</f>
        <v>1830</v>
      </c>
      <c r="AP6" s="145">
        <f t="shared" si="2"/>
        <v>66</v>
      </c>
      <c r="AQ6" s="145">
        <f>ROUND(SUMIFS(AQ7:AQ57,$A7:$A57,$A$6),0)</f>
        <v>115</v>
      </c>
      <c r="AR6" s="146">
        <f>SUMIFS(AR7:AR57,$A7:$A57,$A$6)</f>
        <v>0.52748518762343644</v>
      </c>
      <c r="AS6" s="145">
        <f>ROUND(SUMIFS(AS7:AS57,$A7:$A57,$A$6),0)</f>
        <v>1572</v>
      </c>
      <c r="AT6" s="145">
        <f>ROUND(SUMIFS(AT7:AT57,$A7:$A57,$A$6),0)</f>
        <v>2112</v>
      </c>
      <c r="AU6" s="145">
        <f>ROUND(SUMIFS(AU7:AU57,$A7:$A57,$A$6),0)</f>
        <v>6528</v>
      </c>
      <c r="AV6" s="145">
        <f>ROUND(SUMIFS(AV7:AV57,$A7:$A57,$A$6)*100,0)</f>
        <v>13</v>
      </c>
      <c r="AW6" s="145">
        <f>ROUND(SUMIFS(AW7:AW57,$A7:$A57,$A$6)*100,0)</f>
        <v>41</v>
      </c>
      <c r="AX6" s="145">
        <f>ROUND(SUMIFS(AX7:AX57,$A7:$A57,$A$6)*100,0)</f>
        <v>84</v>
      </c>
      <c r="AY6" s="145">
        <f>SUMIFS(AY7:AY57,$A7:$A57,$A$6)</f>
        <v>1</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WA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WA</v>
      </c>
      <c r="D77" s="93">
        <v>2019</v>
      </c>
      <c r="E77" s="93">
        <v>2050</v>
      </c>
    </row>
    <row r="78" spans="1:40" ht="16" customHeight="1" x14ac:dyDescent="0.35">
      <c r="B78" s="93" t="s">
        <v>2056</v>
      </c>
      <c r="C78" s="93" t="s">
        <v>496</v>
      </c>
      <c r="D78" s="93" cm="1">
        <f t="array" ref="D78">ROUND(INDEX($B$95:$H$845,MATCH(1,($C78=$E$95:$E$845)*($B78=$F$95:$F$845)*($C$77=$B$95:$B$845),0),MATCH(D$77,$B$95:$H$95,0))*100,1)</f>
        <v>9.1999999999999993</v>
      </c>
      <c r="E78" s="165" cm="1">
        <f t="array" ref="E78">ROUND(INDEX($B$95:$H$845,MATCH(1,($C78=$E$95:$E$845)*($B78=$F$95:$F$845)*($C$77=$B$95:$B$845),0),MATCH(E$77,$B$95:$H$95,0))*100,1)</f>
        <v>18.899999999999999</v>
      </c>
    </row>
    <row r="79" spans="1:40" ht="16" customHeight="1" x14ac:dyDescent="0.35">
      <c r="B79" s="165" t="s">
        <v>2056</v>
      </c>
      <c r="C79" s="93" t="s">
        <v>2055</v>
      </c>
      <c r="D79" s="165" cm="1">
        <f t="array" ref="D79">ROUND(INDEX($B$95:$H$845,MATCH(1,($C79=$E$95:$E$845)*($B79=$F$95:$F$845)*($C$77=$B$95:$B$845),0),MATCH(D$77,$B$95:$H$95,0))*100,1)</f>
        <v>65.400000000000006</v>
      </c>
      <c r="E79" s="165" cm="1">
        <f t="array" ref="E79">ROUND(INDEX($B$95:$H$845,MATCH(1,($C79=$E$95:$E$845)*($B79=$F$95:$F$845)*($C$77=$B$95:$B$845),0),MATCH(E$77,$B$95:$H$95,0))*100,1)</f>
        <v>71.400000000000006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9.1999999999999993</v>
      </c>
      <c r="E81" s="165" cm="1">
        <f t="array" ref="E81">ROUND(INDEX($B$95:$H$845,MATCH(1,($C81=$E$95:$E$845)*($B81=$F$95:$F$845)*($C$77=$B$95:$B$845),0),MATCH(E$77,$B$95:$H$95,0))*100,1)</f>
        <v>18.899999999999999</v>
      </c>
    </row>
    <row r="82" spans="2:26" ht="16" customHeight="1" x14ac:dyDescent="0.35">
      <c r="B82" s="165" t="s">
        <v>2053</v>
      </c>
      <c r="C82" s="165" t="s">
        <v>2055</v>
      </c>
      <c r="D82" s="165" cm="1">
        <f t="array" ref="D82">ROUND(INDEX($B$95:$H$845,MATCH(1,($C82=$E$95:$E$845)*($B82=$F$95:$F$845)*($C$77=$B$95:$B$845),0),MATCH(D$77,$B$95:$H$95,0))*100,1)</f>
        <v>65.400000000000006</v>
      </c>
      <c r="E82" s="165" cm="1">
        <f t="array" ref="E82">ROUND(INDEX($B$95:$H$845,MATCH(1,($C82=$E$95:$E$845)*($B82=$F$95:$F$845)*($C$77=$B$95:$B$845),0),MATCH(E$77,$B$95:$H$95,0))*100,1)</f>
        <v>71.400000000000006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WA</v>
      </c>
    </row>
    <row r="84" spans="2:26" ht="16" customHeight="1" x14ac:dyDescent="0.35">
      <c r="B84" s="93" t="s">
        <v>2057</v>
      </c>
      <c r="C84" s="165" t="s">
        <v>496</v>
      </c>
      <c r="D84" s="165" cm="1">
        <f t="array" ref="D84">ROUND(INDEX($B$95:$H$845,MATCH(1,($C84=$E$95:$E$845)*($B84=$F$95:$F$845)*($C$77=$B$95:$B$845),0),MATCH(D$77,$B$95:$H$95,0))*100,1)</f>
        <v>4.9000000000000004</v>
      </c>
      <c r="E84" s="165" cm="1">
        <f t="array" ref="E84">ROUND(INDEX($B$95:$H$845,MATCH(1,($C84=$E$95:$E$845)*($B84=$F$95:$F$845)*($C$77=$B$95:$B$845),0),MATCH(E$77,$B$95:$H$95,0))*100,1)</f>
        <v>3.3</v>
      </c>
    </row>
    <row r="85" spans="2:26" ht="16" customHeight="1" x14ac:dyDescent="0.35">
      <c r="B85" s="165" t="s">
        <v>2057</v>
      </c>
      <c r="C85" s="165" t="s">
        <v>2055</v>
      </c>
      <c r="D85" s="165" cm="1">
        <f t="array" ref="D85">ROUND(INDEX($B$95:$H$845,MATCH(1,($C85=$E$95:$E$845)*($B85=$F$95:$F$845)*($C$77=$B$95:$B$845),0),MATCH(D$77,$B$95:$H$95,0))*100,1)</f>
        <v>48.2</v>
      </c>
      <c r="E85" s="165" cm="1">
        <f t="array" ref="E85">ROUND(INDEX($B$95:$H$845,MATCH(1,($C85=$E$95:$E$845)*($B85=$F$95:$F$845)*($C$77=$B$95:$B$845),0),MATCH(E$77,$B$95:$H$95,0))*100,1)</f>
        <v>27.1</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68.599999999999994</v>
      </c>
      <c r="E86" s="165" cm="1">
        <f t="array" ref="E86">ROUND(INDEX($B$95:$H$845,MATCH(1,($C86=$E$95:$E$845)*($B86=$F$95:$F$845)*($C$77=$B$95:$B$845),0),MATCH(E$77,$B$95:$H$95,0))*100,1)</f>
        <v>84.1</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49585525446439.203</v>
      </c>
      <c r="O86" s="165" cm="1">
        <f t="array" ref="O86">INDEX($K$95:$Z$195,MATCH(1,($J86=$L$95:$L$195)*($J$83=$K$95:$K$195),0),MATCH(O$85,$K$95:$Z$95,0))</f>
        <v>0</v>
      </c>
      <c r="P86" s="165" cm="1">
        <f t="array" ref="P86">INDEX($K$95:$Z$195,MATCH(1,($J86=$L$95:$L$195)*($J$83=$K$95:$K$195),0),MATCH(P$85,$K$95:$Z$95,0))</f>
        <v>0</v>
      </c>
      <c r="Q86" s="165" cm="1">
        <f t="array" ref="Q86">INDEX($K$95:$Z$195,MATCH(1,($J86=$L$95:$L$195)*($J$83=$K$95:$K$195),0),MATCH(Q$85,$K$95:$Z$95,0))</f>
        <v>41590433817723.5</v>
      </c>
      <c r="R86" s="165" cm="1">
        <f t="array" ref="R86">INDEX($K$95:$Z$195,MATCH(1,($J86=$L$95:$L$195)*($J$83=$K$95:$K$195),0),MATCH(R$85,$K$95:$Z$95,0))</f>
        <v>133836777684575</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43496291166125.602</v>
      </c>
      <c r="N87" s="165" cm="1">
        <f t="array" ref="N87">INDEX($K$95:$Z$195,MATCH(1,($J87=$L$95:$L$195)*($J$83=$K$95:$K$195),0),MATCH(N$85,$K$95:$Z$95,0))</f>
        <v>157387525446439</v>
      </c>
      <c r="O87" s="165" cm="1">
        <f t="array" ref="O87">INDEX($K$95:$Z$195,MATCH(1,($J87=$L$95:$L$195)*($J$83=$K$95:$K$195),0),MATCH(O$85,$K$95:$Z$95,0))</f>
        <v>4363698954929.3701</v>
      </c>
      <c r="P87" s="165" cm="1">
        <f t="array" ref="P87">INDEX($K$95:$Z$195,MATCH(1,($J87=$L$95:$L$195)*($J$83=$K$95:$K$195),0),MATCH(P$85,$K$95:$Z$95,0))</f>
        <v>0</v>
      </c>
      <c r="Q87" s="165" cm="1">
        <f t="array" ref="Q87">INDEX($K$95:$Z$195,MATCH(1,($J87=$L$95:$L$195)*($J$83=$K$95:$K$195),0),MATCH(Q$85,$K$95:$Z$95,0))</f>
        <v>206240433817723</v>
      </c>
      <c r="R87" s="165" cm="1">
        <f t="array" ref="R87">INDEX($K$95:$Z$195,MATCH(1,($J87=$L$95:$L$195)*($J$83=$K$95:$K$195),0),MATCH(R$85,$K$95:$Z$95,0))</f>
        <v>487339777684575</v>
      </c>
    </row>
    <row r="88" spans="2:26" ht="16" customHeight="1" x14ac:dyDescent="0.35">
      <c r="J88" s="93" t="s">
        <v>2058</v>
      </c>
      <c r="K88" s="165">
        <f>IFERROR(K86/K87 *100,0)</f>
        <v>0</v>
      </c>
      <c r="L88" s="165">
        <f t="shared" ref="L88:R88" si="19">IFERROR(L86/L87 *100,0)</f>
        <v>0</v>
      </c>
      <c r="M88" s="165">
        <f t="shared" si="19"/>
        <v>0</v>
      </c>
      <c r="N88" s="264">
        <f>ROUND(IFERROR(N86/N87 *100,0),0)</f>
        <v>32</v>
      </c>
      <c r="O88" s="165">
        <f>ROUND(IFERROR(O86/O87 *100,0),0)</f>
        <v>0</v>
      </c>
      <c r="P88" s="165">
        <f t="shared" si="19"/>
        <v>0</v>
      </c>
      <c r="Q88" s="165">
        <f t="shared" si="19"/>
        <v>20.165994149566941</v>
      </c>
      <c r="R88" s="165">
        <f t="shared" si="19"/>
        <v>27.462723917274673</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Washington</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Washington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Washington</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6.739083818486761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-35.75729607062145</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2.8562106710962132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-26.162001581038474</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9.5952944895829759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2021-09-30T18:44:53Z</dcterms:modified>
</cp:coreProperties>
</file>