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WV\webappdata\"/>
    </mc:Choice>
  </mc:AlternateContent>
  <xr:revisionPtr revIDLastSave="0" documentId="8_{AFB72FF2-AAF2-4BC4-91A9-1E2A4219111E}"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AA1" i="23" s="1"/>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D1" i="23"/>
  <c r="AF1" i="23"/>
  <c r="X1" i="23"/>
  <c r="K1" i="23" l="1"/>
  <c r="V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<sst xmlns="http://schemas.openxmlformats.org/spreadsheetml/2006/main" count="30722" uniqueCount="2649">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</sst>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2419</v>
      </c>
      <c r="C1" s="194">
        <v>45747</v>
      </c>
      <c r="G1" s="123" t="s">
        <v>2263</v>
      </c>
      <c r="H1" s="123" t="s">
        <v>2264</v>
      </c>
    </row>
    <row r="2" spans="1:8" x14ac:dyDescent="0.25">
      <c r="B2" t="str">
        <f>_xlfn.XLOOKUP(B1,H:H,G:G,0,0,1)</f>
        <v>WV</v>
      </c>
      <c r="C2" t="str">
        <f>_xlfn.XLOOKUP(B2,G:G, H:H, 0,0,1)</f>
        <v>West Virginia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13" zoomScaleNormal="100" workbookViewId="0">
      <selection activeCell="G34" sqref="G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West Virginia.</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5</v>
      </c>
      <c r="I49" s="88" t="s">
        <v>1833</v>
      </c>
      <c r="J49" s="88" t="s">
        <v>2621</v>
      </c>
      <c r="K49" s="88"/>
      <c r="L49" s="78"/>
      <c r="M49" s="228"/>
    </row>
    <row r="50" spans="1:14" x14ac:dyDescent="0.25">
      <c r="A50" t="s">
        <v>8</v>
      </c>
      <c r="B50" t="s">
        <v>1796</v>
      </c>
      <c r="C50" t="s">
        <v>1794</v>
      </c>
      <c r="D50" t="s">
        <v>1795</v>
      </c>
      <c r="E50" t="s">
        <v>1799</v>
      </c>
      <c r="F50" s="217">
        <v>-100</v>
      </c>
      <c r="G50">
        <v>100</v>
      </c>
      <c r="H50">
        <v>5</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5</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West Virginia, the share of electricity among fuels used for heating in urban, residential buildings will rise from 19% to 24%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West Virginia, the share of electricity among fuels used for appliances in urban, residential buildings will fall from 59% to 59%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West Virginia, the share of electricity among fuels used for heating in rural, residential buildings will rise from 19% to 24%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West Virginia, the share of electricity among fuels used for appliances in rural, residential buildings will fall from 59% to 59%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West Virginia,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West Virginia, the share of electricity among fuels used for appliances in commercial buildings will fall from 39% to 36%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West Virginia, the share of electricity among fuels used for other components in commercial buildings will rise from 57% to 69%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West Virginia, a 100% setting provides for an additional  4044 MW of demand response capacity in 2050 (on top of a BAU quantity of 1934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West Virginia does not have a capacity construction subsidy. However, the Investment Tax Credit, a similar program for solar power, covers 30% of system costs through 2019, with declining amounts thereafter.//**Solar PV: **West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**West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West Virginia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**West Virginia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**West Virginia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West Virginia.</v>
      </c>
      <c r="L9" s="143" t="str">
        <f>J9&amp;K9</f>
        <v>**Description:** This policy prevents new capacity of the selected type(s) from being built or deployed.  // **Guidance for setting values:** No new coal is planned in West Virginia.</v>
      </c>
      <c r="M9" s="102"/>
    </row>
    <row r="10" spans="1:20" ht="180"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West Virginia will retire 8850 MW of coal by 2050. West Virginia currently has 12568 MW of coal capacity.</v>
      </c>
      <c r="L12" s="78" t="str">
        <f>J12&amp;K12&amp;M12&amp;N12&amp;O12&amp;P12</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WV will retire 0 MW of natural gas by 2050. WV currently has 0 MW of natural gas non-peaker capacity.</v>
      </c>
      <c r="N12" t="str">
        <f>_xlfn.CONCAT("//**Nuclear:** The EIA projects that ", About!B2, " will retire ", 'Supporting Data'!$O$3, " MW of nuclear by 2050. ", About!B2, " currently has ",'Supporting Data'!$V$3, " MW of nuclear capacity." )</f>
        <v>//**Nuclear:** The EIA projects that WV will retire 0 MW of nuclear by 2050. WV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WV will retire 0 MW of natural gas by 2050. WV currently has 1093 MW of natural gas peaker capacity.</v>
      </c>
      <c r="P12" t="str">
        <f>_xlfn.CONCAT("//**Lignite:** The EIA projects that ", About!B2, " will retire ", 'Supporting Data'!$S$3, " MW of lignite by 2050. ", About!B2, " currently has ",'Supporting Data'!$AE$3, " MW of lignite capacity." )</f>
        <v>//**Lignite:** The EIA projects that WV will retire 0 MW of lignite by 2050. WV currently has 0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35.39%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73.17%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85.21%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West Virginia</v>
      </c>
      <c r="B3" s="183">
        <f>ROUND(SUMIFS(B$4:B$54, $A$4:$A$54, $A$3),0)</f>
        <v>38944</v>
      </c>
      <c r="C3" s="184">
        <f t="shared" ref="C3" si="0">ROUND(SUMIFS(C$4:C$54, $A$4:$A$54, $A$3),0)</f>
        <v>39</v>
      </c>
      <c r="D3" s="183">
        <f>SUMIFS(D$4:D$54, $A$4:$A$54, $A$3)</f>
        <v>0</v>
      </c>
      <c r="E3" s="183">
        <f>SUMIFS(E$4:E$54, $A$4:$A$54, $A$3)</f>
        <v>489533.00000000099</v>
      </c>
      <c r="F3" s="134">
        <f>ROUND(SUMIFS(F$4:F$54,$A$4:$A$54,$A$3)*100,0)</f>
        <v>0</v>
      </c>
      <c r="G3" s="58">
        <f>SUMIFS(G$4:G$54, $A$4:$A$54, $A$3)</f>
        <v>53754335</v>
      </c>
      <c r="H3" s="58">
        <f>SUMIFS(H$4:H$54, $A$4:$A$54, $A$3)</f>
        <v>30527357</v>
      </c>
      <c r="I3" s="134">
        <f>ROUND(SUMIFS(I$4:I$54,$A$4:$A$54,$A$3)*100,0)</f>
        <v>-43</v>
      </c>
      <c r="J3" s="134">
        <f>ROUND(SUMIFS(J$4:J$54, $A$4:$A$54, $A$3),0)</f>
        <v>4044</v>
      </c>
      <c r="K3" s="58">
        <f t="shared" ref="K3:AI3" si="1">ROUND(SUMIFS(K$4:K$54, $A$4:$A$54, $A$3),0)</f>
        <v>1471</v>
      </c>
      <c r="L3" s="134">
        <f t="shared" si="1"/>
        <v>1934</v>
      </c>
      <c r="M3" s="58">
        <f t="shared" si="1"/>
        <v>8850</v>
      </c>
      <c r="N3" s="58">
        <f t="shared" si="1"/>
        <v>0</v>
      </c>
      <c r="O3" s="58">
        <f t="shared" si="1"/>
        <v>0</v>
      </c>
      <c r="P3" s="58">
        <f t="shared" si="1"/>
        <v>0</v>
      </c>
      <c r="Q3" s="58">
        <f t="shared" si="1"/>
        <v>0</v>
      </c>
      <c r="R3" s="58">
        <f t="shared" si="1"/>
        <v>0</v>
      </c>
      <c r="S3" s="134">
        <f t="shared" si="1"/>
        <v>0</v>
      </c>
      <c r="T3" s="58">
        <f t="shared" si="1"/>
        <v>12568</v>
      </c>
      <c r="U3" s="58">
        <f t="shared" si="1"/>
        <v>0</v>
      </c>
      <c r="V3" s="58">
        <f t="shared" si="1"/>
        <v>0</v>
      </c>
      <c r="W3" s="58">
        <f t="shared" si="1"/>
        <v>238</v>
      </c>
      <c r="X3" s="58">
        <f t="shared" si="1"/>
        <v>686</v>
      </c>
      <c r="Y3" s="58">
        <f t="shared" si="1"/>
        <v>0</v>
      </c>
      <c r="Z3" s="58">
        <f t="shared" si="1"/>
        <v>0</v>
      </c>
      <c r="AA3" s="58">
        <f t="shared" si="1"/>
        <v>3</v>
      </c>
      <c r="AB3" s="58">
        <f t="shared" si="1"/>
        <v>0</v>
      </c>
      <c r="AC3" s="58">
        <f t="shared" si="1"/>
        <v>11</v>
      </c>
      <c r="AD3" s="58">
        <f t="shared" si="1"/>
        <v>1093</v>
      </c>
      <c r="AE3" s="58">
        <f t="shared" si="1"/>
        <v>0</v>
      </c>
      <c r="AF3" s="58">
        <f t="shared" si="1"/>
        <v>0</v>
      </c>
      <c r="AG3" s="58">
        <f t="shared" si="1"/>
        <v>0</v>
      </c>
      <c r="AH3" s="58">
        <f t="shared" si="1"/>
        <v>0</v>
      </c>
      <c r="AI3" s="134">
        <f t="shared" si="1"/>
        <v>0</v>
      </c>
      <c r="AJ3" s="58">
        <f>ROUND(SUMIFS(AJ$4:AJ$54,$A$4:$A$54,$A$3)*100,0)</f>
        <v>3</v>
      </c>
      <c r="AK3" s="58">
        <f t="shared" ref="AK3:AL3" si="2">ROUND(SUMIFS(AK$4:AK$54,$A$4:$A$54,$A$3)*100,0)</f>
        <v>3</v>
      </c>
      <c r="AL3" s="58">
        <f t="shared" si="2"/>
        <v>3</v>
      </c>
      <c r="AM3" s="58">
        <f>SUMIFS(AM$4:AM$54, $A$4:$A$54, $A$3)</f>
        <v>0</v>
      </c>
      <c r="AN3" s="58">
        <f t="shared" ref="AN3:AQ3" si="3">SUMIFS(AN$4:AN$54, $A$4:$A$54, $A$3)</f>
        <v>0</v>
      </c>
      <c r="AO3" s="134">
        <f t="shared" si="3"/>
        <v>0</v>
      </c>
      <c r="AP3" s="134">
        <f t="shared" si="3"/>
        <v>266</v>
      </c>
      <c r="AQ3" s="134">
        <f t="shared" si="3"/>
        <v>1766107</v>
      </c>
      <c r="AR3" s="134">
        <f>ROUND(SUMIFS(AR$4:AR$54,$A$4:$A$54,$A$3),2)</f>
        <v>15.06</v>
      </c>
      <c r="AS3" s="58">
        <f>SUMIFS(AS$4:AS$54, $A$4:$A$54, $A$3)</f>
        <v>96089170000000</v>
      </c>
      <c r="AT3" s="58">
        <f t="shared" ref="AT3:BH3" si="4">SUMIFS(AT$4:AT$54, $A$4:$A$54, $A$3)</f>
        <v>679942693936632</v>
      </c>
      <c r="AU3" s="58">
        <f t="shared" si="4"/>
        <v>0</v>
      </c>
      <c r="AV3" s="58">
        <f t="shared" si="4"/>
        <v>0</v>
      </c>
      <c r="AW3" s="58">
        <f t="shared" si="4"/>
        <v>16337037907164.4</v>
      </c>
      <c r="AX3" s="58">
        <f t="shared" si="4"/>
        <v>1842381902000000</v>
      </c>
      <c r="AY3" s="58">
        <f t="shared" si="4"/>
        <v>0</v>
      </c>
      <c r="AZ3" s="58">
        <f t="shared" si="4"/>
        <v>0</v>
      </c>
      <c r="BA3" s="58">
        <f t="shared" si="4"/>
        <v>101826525424318</v>
      </c>
      <c r="BB3" s="58">
        <f t="shared" si="4"/>
        <v>1921369077516590</v>
      </c>
      <c r="BC3" s="58">
        <f t="shared" si="4"/>
        <v>1450456277910.52</v>
      </c>
      <c r="BD3" s="58">
        <f t="shared" si="4"/>
        <v>3911164114530.54</v>
      </c>
      <c r="BE3" s="58">
        <f t="shared" si="4"/>
        <v>22326614798711.801</v>
      </c>
      <c r="BF3" s="58">
        <f t="shared" si="4"/>
        <v>2162254994376180</v>
      </c>
      <c r="BG3" s="58">
        <f t="shared" si="4"/>
        <v>11176406904019.801</v>
      </c>
      <c r="BH3" s="58">
        <f t="shared" si="4"/>
        <v>114122722578882</v>
      </c>
      <c r="BI3" s="58">
        <f>ROUND(SUMIFS(BI$4:BI$54,$A$4:$A$54,$A$3),2)</f>
        <v>94.37</v>
      </c>
      <c r="BJ3" s="58">
        <f t="shared" ref="BJ3:BP3" si="5">ROUND(SUMIFS(BJ$4:BJ$54,$A$4:$A$54,$A$3),2)</f>
        <v>35.39</v>
      </c>
      <c r="BK3" s="58">
        <f t="shared" si="5"/>
        <v>0</v>
      </c>
      <c r="BL3" s="58">
        <f t="shared" si="5"/>
        <v>0</v>
      </c>
      <c r="BM3" s="58">
        <f t="shared" si="5"/>
        <v>73.17</v>
      </c>
      <c r="BN3" s="58">
        <f t="shared" si="5"/>
        <v>85.21</v>
      </c>
      <c r="BO3" s="58">
        <f t="shared" si="5"/>
        <v>0</v>
      </c>
      <c r="BP3" s="134">
        <f t="shared" si="5"/>
        <v>0</v>
      </c>
      <c r="BQ3" s="134">
        <f t="shared" ref="BQ3:BR3" si="6">ROUND(SUMIFS(BQ$4:BQ$54,$A$4:$A$54,$A$3)*100,0)</f>
        <v>5</v>
      </c>
      <c r="BR3" s="134">
        <f t="shared" si="6"/>
        <v>5</v>
      </c>
      <c r="BS3" s="134">
        <f>ROUND(SUMIFS(BS$4:BS$54,$A$4:$A$54,$A$3)*100,0)</f>
        <v>39</v>
      </c>
      <c r="BT3" s="134">
        <f>ROUND(SUMIFS(BT$4:BT$54,$A$4:$A$54,$A$3)*100,0)</f>
        <v>36</v>
      </c>
      <c r="BU3" s="134">
        <f t="shared" ref="BU3:CH3" si="7">ROUND(SUMIFS(BU$4:BU$54,$A$4:$A$54,$A$3)*100,0)</f>
        <v>57</v>
      </c>
      <c r="BV3" s="134">
        <f t="shared" si="7"/>
        <v>69</v>
      </c>
      <c r="BW3" s="134">
        <f t="shared" si="7"/>
        <v>19</v>
      </c>
      <c r="BX3" s="134">
        <f t="shared" si="7"/>
        <v>24</v>
      </c>
      <c r="BY3" s="134">
        <f t="shared" si="7"/>
        <v>59</v>
      </c>
      <c r="BZ3" s="134">
        <f>ROUND(SUMIFS(BZ$4:BZ$54,$A$4:$A$54,$A$3)*100,0)</f>
        <v>59</v>
      </c>
      <c r="CA3" s="134">
        <f>ROUND(SUMIFS(CA$4:CA$54,$A$4:$A$54,$A$3)*100,0)</f>
        <v>100</v>
      </c>
      <c r="CB3" s="134">
        <f>ROUND(SUMIFS(CB$4:CB$54,$A$4:$A$54,$A$3)*100,0)</f>
        <v>100</v>
      </c>
      <c r="CC3" s="134">
        <f t="shared" si="7"/>
        <v>19</v>
      </c>
      <c r="CD3" s="134">
        <f t="shared" si="7"/>
        <v>24</v>
      </c>
      <c r="CE3" s="134">
        <f t="shared" si="7"/>
        <v>59</v>
      </c>
      <c r="CF3" s="134">
        <f t="shared" si="7"/>
        <v>59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West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West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West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West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West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West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West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West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West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West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West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West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West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West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West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West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West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West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West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West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West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West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West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West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WV</v>
      </c>
      <c r="C1" s="115">
        <f>SUM(C4:C87)</f>
        <v>103.16958733096612</v>
      </c>
      <c r="D1" s="115">
        <f t="shared" ref="D1:AG1" si="0">SUM(D4:D87)</f>
        <v>95.328436509652803</v>
      </c>
      <c r="E1" s="115">
        <f t="shared" si="0"/>
        <v>98.319090762025397</v>
      </c>
      <c r="F1" s="115">
        <f t="shared" si="0"/>
        <v>98.56566958630151</v>
      </c>
      <c r="G1" s="115">
        <f t="shared" si="0"/>
        <v>106.77264065616049</v>
      </c>
      <c r="H1" s="115">
        <f t="shared" si="0"/>
        <v>105.37994140121309</v>
      </c>
      <c r="I1" s="115">
        <f t="shared" si="0"/>
        <v>108.70413644478613</v>
      </c>
      <c r="J1" s="115">
        <f t="shared" si="0"/>
        <v>114.0939791916839</v>
      </c>
      <c r="K1" s="115">
        <f t="shared" si="0"/>
        <v>115.88222321778593</v>
      </c>
      <c r="L1" s="115">
        <f t="shared" si="0"/>
        <v>119.3856043653372</v>
      </c>
      <c r="M1" s="115">
        <f t="shared" si="0"/>
        <v>116.37413041228469</v>
      </c>
      <c r="N1" s="115">
        <f t="shared" si="0"/>
        <v>106.28387776226238</v>
      </c>
      <c r="O1" s="115">
        <f t="shared" si="0"/>
        <v>118.41194303511463</v>
      </c>
      <c r="P1" s="115">
        <f t="shared" si="0"/>
        <v>115.189062820112</v>
      </c>
      <c r="Q1" s="115">
        <f t="shared" si="0"/>
        <v>113.01713824423751</v>
      </c>
      <c r="R1" s="115">
        <f t="shared" si="0"/>
        <v>114.63723220957161</v>
      </c>
      <c r="S1" s="115">
        <f t="shared" si="0"/>
        <v>115.43000421918356</v>
      </c>
      <c r="T1" s="115">
        <f t="shared" si="0"/>
        <v>116.33929274812228</v>
      </c>
      <c r="U1" s="115">
        <f t="shared" si="0"/>
        <v>112.436526565866</v>
      </c>
      <c r="V1" s="115">
        <f t="shared" si="0"/>
        <v>91.237948885081096</v>
      </c>
      <c r="W1" s="115">
        <f t="shared" si="0"/>
        <v>100.63338519299774</v>
      </c>
      <c r="X1" s="115">
        <f t="shared" si="0"/>
        <v>98.083573817177069</v>
      </c>
      <c r="Y1" s="115">
        <f t="shared" si="0"/>
        <v>93.752692906798018</v>
      </c>
      <c r="Z1" s="115">
        <f t="shared" si="0"/>
        <v>96.632650978848986</v>
      </c>
      <c r="AA1" s="115">
        <f t="shared" si="0"/>
        <v>102.60177411508471</v>
      </c>
      <c r="AB1" s="115">
        <f t="shared" si="0"/>
        <v>95.481803030488422</v>
      </c>
      <c r="AC1" s="115">
        <f t="shared" si="0"/>
        <v>96.008388660658682</v>
      </c>
      <c r="AD1" s="115">
        <f t="shared" si="0"/>
        <v>94.022176797003794</v>
      </c>
      <c r="AE1" s="115">
        <f t="shared" si="0"/>
        <v>92.662873982419512</v>
      </c>
      <c r="AF1" s="115">
        <f t="shared" si="0"/>
        <v>90.25612036385391</v>
      </c>
      <c r="AG1" s="115">
        <f t="shared" si="0"/>
        <v>80.793055017281702</v>
      </c>
      <c r="AH1" s="115">
        <f>SUM(AH4:AH87)</f>
        <v>92.513902678304703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119" t="s">
        <v>479</v>
      </c>
      <c r="B5" s="120" t="s">
        <v>1957</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119" t="s">
        <v>479</v>
      </c>
      <c r="B6" s="120" t="s">
        <v>1958</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119" t="s">
        <v>479</v>
      </c>
      <c r="B7" s="120" t="s">
        <v>1959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119" t="s">
        <v>479</v>
      </c>
      <c r="B8" s="120" t="s">
        <v>1960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119" t="s">
        <v>479</v>
      </c>
      <c r="B9" s="120" t="s">
        <v>1961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119" t="s">
        <v>479</v>
      </c>
      <c r="B10" s="120" t="s">
        <v>1962</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119" t="s">
        <v>479</v>
      </c>
      <c r="B13" s="120" t="s">
        <v>1965</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0.17948438428890001</v>
      </c>
      <c r="D19" s="121">
        <f>SUMIFS('EPA Export Aggregation'!G:G,'EPA Export Aggregation'!$A:$A,$B19,'EPA Export Aggregation'!$D:$D,$A$1)*IF($A19="CH4",About!$D$58,IF($A19="N2O",About!$D$59,1))</f>
        <v>0.23874222063059999</v>
      </c>
      <c r="E19" s="121">
        <f>SUMIFS('EPA Export Aggregation'!H:H,'EPA Export Aggregation'!$A:$A,$B19,'EPA Export Aggregation'!$D:$D,$A$1)*IF($A19="CH4",About!$D$58,IF($A19="N2O",About!$D$59,1))</f>
        <v>0.26887926681239999</v>
      </c>
      <c r="F19" s="121">
        <f>SUMIFS('EPA Export Aggregation'!I:I,'EPA Export Aggregation'!$A:$A,$B19,'EPA Export Aggregation'!$D:$D,$A$1)*IF($A19="CH4",About!$D$58,IF($A19="N2O",About!$D$59,1))</f>
        <v>0.29353220361159998</v>
      </c>
      <c r="G19" s="121">
        <f>SUMIFS('EPA Export Aggregation'!J:J,'EPA Export Aggregation'!$A:$A,$B19,'EPA Export Aggregation'!$D:$D,$A$1)*IF($A19="CH4",About!$D$58,IF($A19="N2O",About!$D$59,1))</f>
        <v>0.29214655502300002</v>
      </c>
      <c r="H19" s="121">
        <f>SUMIFS('EPA Export Aggregation'!K:K,'EPA Export Aggregation'!$A:$A,$B19,'EPA Export Aggregation'!$D:$D,$A$1)*IF($A19="CH4",About!$D$58,IF($A19="N2O",About!$D$59,1))</f>
        <v>0.29074289164700001</v>
      </c>
      <c r="I19" s="121">
        <f>SUMIFS('EPA Export Aggregation'!L:L,'EPA Export Aggregation'!$A:$A,$B19,'EPA Export Aggregation'!$D:$D,$A$1)*IF($A19="CH4",About!$D$58,IF($A19="N2O",About!$D$59,1))</f>
        <v>0.28761932040650001</v>
      </c>
      <c r="J19" s="121">
        <f>SUMIFS('EPA Export Aggregation'!M:M,'EPA Export Aggregation'!$A:$A,$B19,'EPA Export Aggregation'!$D:$D,$A$1)*IF($A19="CH4",About!$D$58,IF($A19="N2O",About!$D$59,1))</f>
        <v>0.28449466485559999</v>
      </c>
      <c r="K19" s="121">
        <f>SUMIFS('EPA Export Aggregation'!N:N,'EPA Export Aggregation'!$A:$A,$B19,'EPA Export Aggregation'!$D:$D,$A$1)*IF($A19="CH4",About!$D$58,IF($A19="N2O",About!$D$59,1))</f>
        <v>0.28642377672239999</v>
      </c>
      <c r="L19" s="121">
        <f>SUMIFS('EPA Export Aggregation'!O:O,'EPA Export Aggregation'!$A:$A,$B19,'EPA Export Aggregation'!$D:$D,$A$1)*IF($A19="CH4",About!$D$58,IF($A19="N2O",About!$D$59,1))</f>
        <v>0.2614817107497</v>
      </c>
      <c r="M19" s="121">
        <f>SUMIFS('EPA Export Aggregation'!P:P,'EPA Export Aggregation'!$A:$A,$B19,'EPA Export Aggregation'!$D:$D,$A$1)*IF($A19="CH4",About!$D$58,IF($A19="N2O",About!$D$59,1))</f>
        <v>0.27880319303540002</v>
      </c>
      <c r="N19" s="121">
        <f>SUMIFS('EPA Export Aggregation'!Q:Q,'EPA Export Aggregation'!$A:$A,$B19,'EPA Export Aggregation'!$D:$D,$A$1)*IF($A19="CH4",About!$D$58,IF($A19="N2O",About!$D$59,1))</f>
        <v>0.28168670117130001</v>
      </c>
      <c r="O19" s="121">
        <f>SUMIFS('EPA Export Aggregation'!R:R,'EPA Export Aggregation'!$A:$A,$B19,'EPA Export Aggregation'!$D:$D,$A$1)*IF($A19="CH4",About!$D$58,IF($A19="N2O",About!$D$59,1))</f>
        <v>0.28873568000909999</v>
      </c>
      <c r="P19" s="121">
        <f>SUMIFS('EPA Export Aggregation'!S:S,'EPA Export Aggregation'!$A:$A,$B19,'EPA Export Aggregation'!$D:$D,$A$1)*IF($A19="CH4",About!$D$58,IF($A19="N2O",About!$D$59,1))</f>
        <v>0.29508187115250001</v>
      </c>
      <c r="Q19" s="121">
        <f>SUMIFS('EPA Export Aggregation'!T:T,'EPA Export Aggregation'!$A:$A,$B19,'EPA Export Aggregation'!$D:$D,$A$1)*IF($A19="CH4",About!$D$58,IF($A19="N2O",About!$D$59,1))</f>
        <v>0.26961564060249998</v>
      </c>
      <c r="R19" s="121">
        <f>SUMIFS('EPA Export Aggregation'!U:U,'EPA Export Aggregation'!$A:$A,$B19,'EPA Export Aggregation'!$D:$D,$A$1)*IF($A19="CH4",About!$D$58,IF($A19="N2O",About!$D$59,1))</f>
        <v>0.27712143766109998</v>
      </c>
      <c r="S19" s="121">
        <f>SUMIFS('EPA Export Aggregation'!V:V,'EPA Export Aggregation'!$A:$A,$B19,'EPA Export Aggregation'!$D:$D,$A$1)*IF($A19="CH4",About!$D$58,IF($A19="N2O",About!$D$59,1))</f>
        <v>0.26047535533589999</v>
      </c>
      <c r="T19" s="121">
        <f>SUMIFS('EPA Export Aggregation'!W:W,'EPA Export Aggregation'!$A:$A,$B19,'EPA Export Aggregation'!$D:$D,$A$1)*IF($A19="CH4",About!$D$58,IF($A19="N2O",About!$D$59,1))</f>
        <v>0.2753003967405</v>
      </c>
      <c r="U19" s="121">
        <f>SUMIFS('EPA Export Aggregation'!X:X,'EPA Export Aggregation'!$A:$A,$B19,'EPA Export Aggregation'!$D:$D,$A$1)*IF($A19="CH4",About!$D$58,IF($A19="N2O",About!$D$59,1))</f>
        <v>0.27551391807440001</v>
      </c>
      <c r="V19" s="121">
        <f>SUMIFS('EPA Export Aggregation'!Y:Y,'EPA Export Aggregation'!$A:$A,$B19,'EPA Export Aggregation'!$D:$D,$A$1)*IF($A19="CH4",About!$D$58,IF($A19="N2O",About!$D$59,1))</f>
        <v>0.1758498361021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119" t="s">
        <v>479</v>
      </c>
      <c r="B22" s="120" t="s">
        <v>1974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119" t="s">
        <v>479</v>
      </c>
      <c r="B30" s="120" t="s">
        <v>1982</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119" t="s">
        <v>479</v>
      </c>
      <c r="B33" s="120" t="s">
        <v>1985</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0.14329706216140001</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0.16365302387399999</v>
      </c>
      <c r="D79" s="121">
        <f>SUMIFS('EPA Export Aggregation'!G:G,'EPA Export Aggregation'!$A:$A,$B79,'EPA Export Aggregation'!$D:$D,$A$1)*IF($A79="CH4",About!$D$58,IF($A79="N2O",About!$D$59,1))</f>
        <v>0.19341489024</v>
      </c>
      <c r="E79" s="121">
        <f>SUMIFS('EPA Export Aggregation'!H:H,'EPA Export Aggregation'!$A:$A,$B79,'EPA Export Aggregation'!$D:$D,$A$1)*IF($A79="CH4",About!$D$58,IF($A79="N2O",About!$D$59,1))</f>
        <v>0.18037930320000001</v>
      </c>
      <c r="F79" s="121">
        <f>SUMIFS('EPA Export Aggregation'!I:I,'EPA Export Aggregation'!$A:$A,$B79,'EPA Export Aggregation'!$D:$D,$A$1)*IF($A79="CH4",About!$D$58,IF($A79="N2O",About!$D$59,1))</f>
        <v>0.1935695616</v>
      </c>
      <c r="G79" s="121">
        <f>SUMIFS('EPA Export Aggregation'!J:J,'EPA Export Aggregation'!$A:$A,$B79,'EPA Export Aggregation'!$D:$D,$A$1)*IF($A79="CH4",About!$D$58,IF($A79="N2O",About!$D$59,1))</f>
        <v>0.2058774528</v>
      </c>
      <c r="H79" s="121">
        <f>SUMIFS('EPA Export Aggregation'!K:K,'EPA Export Aggregation'!$A:$A,$B79,'EPA Export Aggregation'!$D:$D,$A$1)*IF($A79="CH4",About!$D$58,IF($A79="N2O",About!$D$59,1))</f>
        <v>0.18923382720000001</v>
      </c>
      <c r="I79" s="121">
        <f>SUMIFS('EPA Export Aggregation'!L:L,'EPA Export Aggregation'!$A:$A,$B79,'EPA Export Aggregation'!$D:$D,$A$1)*IF($A79="CH4",About!$D$58,IF($A79="N2O",About!$D$59,1))</f>
        <v>0.19931338128000001</v>
      </c>
      <c r="J79" s="121">
        <f>SUMIFS('EPA Export Aggregation'!M:M,'EPA Export Aggregation'!$A:$A,$B79,'EPA Export Aggregation'!$D:$D,$A$1)*IF($A79="CH4",About!$D$58,IF($A79="N2O",About!$D$59,1))</f>
        <v>0.23496883199999999</v>
      </c>
      <c r="K79" s="121">
        <f>SUMIFS('EPA Export Aggregation'!N:N,'EPA Export Aggregation'!$A:$A,$B79,'EPA Export Aggregation'!$D:$D,$A$1)*IF($A79="CH4",About!$D$58,IF($A79="N2O",About!$D$59,1))</f>
        <v>0.264339936</v>
      </c>
      <c r="L79" s="121">
        <f>SUMIFS('EPA Export Aggregation'!O:O,'EPA Export Aggregation'!$A:$A,$B79,'EPA Export Aggregation'!$D:$D,$A$1)*IF($A79="CH4",About!$D$58,IF($A79="N2O",About!$D$59,1))</f>
        <v>0.32039555184000001</v>
      </c>
      <c r="M79" s="121">
        <f>SUMIFS('EPA Export Aggregation'!P:P,'EPA Export Aggregation'!$A:$A,$B79,'EPA Export Aggregation'!$D:$D,$A$1)*IF($A79="CH4",About!$D$58,IF($A79="N2O",About!$D$59,1))</f>
        <v>0.26198007028199999</v>
      </c>
      <c r="N79" s="121">
        <f>SUMIFS('EPA Export Aggregation'!Q:Q,'EPA Export Aggregation'!$A:$A,$B79,'EPA Export Aggregation'!$D:$D,$A$1)*IF($A79="CH4",About!$D$58,IF($A79="N2O",About!$D$59,1))</f>
        <v>0.27835760899200002</v>
      </c>
      <c r="O79" s="121">
        <f>SUMIFS('EPA Export Aggregation'!R:R,'EPA Export Aggregation'!$A:$A,$B79,'EPA Export Aggregation'!$D:$D,$A$1)*IF($A79="CH4",About!$D$58,IF($A79="N2O",About!$D$59,1))</f>
        <v>0.19184265816599999</v>
      </c>
      <c r="P79" s="121">
        <f>SUMIFS('EPA Export Aggregation'!S:S,'EPA Export Aggregation'!$A:$A,$B79,'EPA Export Aggregation'!$D:$D,$A$1)*IF($A79="CH4",About!$D$58,IF($A79="N2O",About!$D$59,1))</f>
        <v>0.13137549936599999</v>
      </c>
      <c r="Q79" s="121">
        <f>SUMIFS('EPA Export Aggregation'!T:T,'EPA Export Aggregation'!$A:$A,$B79,'EPA Export Aggregation'!$D:$D,$A$1)*IF($A79="CH4",About!$D$58,IF($A79="N2O",About!$D$59,1))</f>
        <v>0.191416219833</v>
      </c>
      <c r="R79" s="121">
        <f>SUMIFS('EPA Export Aggregation'!U:U,'EPA Export Aggregation'!$A:$A,$B79,'EPA Export Aggregation'!$D:$D,$A$1)*IF($A79="CH4",About!$D$58,IF($A79="N2O",About!$D$59,1))</f>
        <v>0.16402669356899999</v>
      </c>
      <c r="S79" s="121">
        <f>SUMIFS('EPA Export Aggregation'!V:V,'EPA Export Aggregation'!$A:$A,$B79,'EPA Export Aggregation'!$D:$D,$A$1)*IF($A79="CH4",About!$D$58,IF($A79="N2O",About!$D$59,1))</f>
        <v>0.14672218701299999</v>
      </c>
      <c r="T79" s="121">
        <f>SUMIFS('EPA Export Aggregation'!W:W,'EPA Export Aggregation'!$A:$A,$B79,'EPA Export Aggregation'!$D:$D,$A$1)*IF($A79="CH4",About!$D$58,IF($A79="N2O",About!$D$59,1))</f>
        <v>0.13872648455700001</v>
      </c>
      <c r="U79" s="121">
        <f>SUMIFS('EPA Export Aggregation'!X:X,'EPA Export Aggregation'!$A:$A,$B79,'EPA Export Aggregation'!$D:$D,$A$1)*IF($A79="CH4",About!$D$58,IF($A79="N2O",About!$D$59,1))</f>
        <v>7.7145095109E-2</v>
      </c>
      <c r="V79" s="121">
        <f>SUMIFS('EPA Export Aggregation'!Y:Y,'EPA Export Aggregation'!$A:$A,$B79,'EPA Export Aggregation'!$D:$D,$A$1)*IF($A79="CH4",About!$D$58,IF($A79="N2O",About!$D$59,1))</f>
        <v>4.9219632252000003E-2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2025-03-31T20:52:44Z</dcterms:modified>
</cp:coreProperties>
</file>