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Users\olivia\Documents\EPS_Models by Region\RMI\RMI_all_states\WV\elec\EIaE\"/>
    </mc:Choice>
  </mc:AlternateContent>
  <xr:revisionPtr revIDLastSave="0" documentId="8_{F6EC3F62-BA7A-4602-9C54-B8CF8589D37B}" xr6:coauthVersionLast="47" xr6:coauthVersionMax="47" xr10:uidLastSave="{00000000-0000-0000-0000-000000000000}"/>
  <bookViews>
    <workbookView xWindow="470" yWindow="0" windowWidth="19020" windowHeight="13800" firstSheet="7"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retail sales summary" sheetId="74" r:id="rId10"/>
    <sheet name="923" sheetId="16" state="hidden" r:id="rId11"/>
    <sheet name="Cross-Page Data" sheetId="17" state="hidden"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10" hidden="1">'923'!$A$6:$P$6743</definedName>
    <definedName name="_xlnm._FilterDatabase" localSheetId="4" hidden="1">'ReEDs Generation Data'!$B$2:$R$722</definedName>
    <definedName name="Billion" localSheetId="10">[1]Notes!$A$13</definedName>
    <definedName name="Billion">[2]Notes!$A$13</definedName>
    <definedName name="Btu_to_MWH" localSheetId="10">[1]Notes!$A$4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10">[1]Notes!$A$12</definedName>
    <definedName name="Million">[2]Notes!$A$12</definedName>
    <definedName name="Net_Generation_by_State__Type_1" localSheetId="10">#REF!</definedName>
    <definedName name="Net_Generation_by_State__Type_1" localSheetId="11">#REF!</definedName>
    <definedName name="Net_Generation_by_State__Type_1">#REF!</definedName>
    <definedName name="Net_Generation_by_State__Type_of_Producer__Energy_Source">#REF!</definedName>
    <definedName name="_xlnm.Print_Titles" localSheetId="10">'923'!$1:$6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74" l="1"/>
  <c r="C6" i="74" s="1"/>
  <c r="C4" i="74"/>
  <c r="C3" i="74"/>
  <c r="C553" i="73"/>
  <c r="A1" i="8" l="1"/>
  <c r="B2" i="8" s="1"/>
  <c r="B4"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6" i="8" l="1"/>
  <c r="B2" i="12" s="1"/>
  <c r="D46" i="8"/>
  <c r="C2" i="12" s="1"/>
  <c r="E4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6"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6"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6"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I46"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J46" i="8" l="1"/>
  <c r="H2" i="12"/>
  <c r="B18" i="8"/>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6"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6"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6"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6"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6"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6" i="8" l="1"/>
  <c r="N2" i="12"/>
  <c r="B17" i="8"/>
  <c r="B14" i="8"/>
  <c r="AG89" i="4"/>
  <c r="AF94" i="4"/>
  <c r="AF95" i="4"/>
  <c r="AF96" i="4"/>
  <c r="AF92" i="4"/>
  <c r="AF97" i="4"/>
  <c r="AF101" i="4"/>
  <c r="B11" i="8"/>
  <c r="AL14" i="6"/>
  <c r="AM10" i="6"/>
  <c r="AG93" i="4"/>
  <c r="AM7" i="6"/>
  <c r="AF99" i="4"/>
  <c r="AN6" i="6"/>
  <c r="B12" i="8"/>
  <c r="AF100" i="4"/>
  <c r="AL15" i="6"/>
  <c r="AM11" i="6"/>
  <c r="B19" i="8"/>
  <c r="B21" i="8"/>
  <c r="B16" i="8"/>
  <c r="B13" i="8"/>
  <c r="B15" i="8"/>
  <c r="B22" i="8"/>
  <c r="Q46" i="8" l="1"/>
  <c r="O2" i="12"/>
  <c r="C9" i="8"/>
  <c r="B27" i="8" s="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32" i="8" l="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9"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30"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4"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1"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33"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28"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35"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42"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36"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29"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B38"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1"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R46" i="8"/>
  <c r="P2" i="12"/>
  <c r="B2" i="11"/>
  <c r="D9" i="8"/>
  <c r="AN15" i="6"/>
  <c r="AO11" i="6"/>
  <c r="AO7" i="6"/>
  <c r="AP6" i="6"/>
  <c r="AN14" i="6"/>
  <c r="AO10" i="6"/>
  <c r="C2" i="11" l="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C4" i="8"/>
  <c r="S46" i="8"/>
  <c r="Q2" i="12"/>
  <c r="AP10" i="6"/>
  <c r="AO14" i="6"/>
  <c r="AQ6" i="6"/>
  <c r="AP7" i="6"/>
  <c r="AP11" i="6"/>
  <c r="AO15" i="6"/>
  <c r="T46"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6" i="8" l="1"/>
  <c r="S2" i="12"/>
  <c r="AQ15" i="6"/>
  <c r="AR11" i="6"/>
  <c r="AQ14" i="6"/>
  <c r="AR10" i="6"/>
  <c r="AR7" i="6"/>
  <c r="V46" i="8" l="1"/>
  <c r="T2" i="12"/>
  <c r="AR14" i="6"/>
  <c r="AS10" i="6"/>
  <c r="AR15" i="6"/>
  <c r="AS11" i="6"/>
  <c r="AS7" i="6"/>
  <c r="U2" i="12" l="1"/>
  <c r="W46" i="8"/>
  <c r="AT7" i="6"/>
  <c r="AS15" i="6"/>
  <c r="AT11" i="6"/>
  <c r="AS14" i="6"/>
  <c r="AT10" i="6"/>
  <c r="X46" i="8" l="1"/>
  <c r="V2" i="12"/>
  <c r="AU7" i="6"/>
  <c r="AT14" i="6"/>
  <c r="AU10" i="6"/>
  <c r="AT15" i="6"/>
  <c r="AU11" i="6"/>
  <c r="Y46" i="8" l="1"/>
  <c r="W2" i="12"/>
  <c r="AU15" i="6"/>
  <c r="AV11" i="6"/>
  <c r="AV10" i="6"/>
  <c r="AU14" i="6"/>
  <c r="AV7" i="6"/>
  <c r="Z46" i="8" l="1"/>
  <c r="X2" i="12"/>
  <c r="AW7" i="6"/>
  <c r="AV14" i="6"/>
  <c r="AW10" i="6"/>
  <c r="AV15" i="6"/>
  <c r="AW11" i="6"/>
  <c r="AA46" i="8" l="1"/>
  <c r="Y2" i="12"/>
  <c r="AX11" i="6"/>
  <c r="AW15" i="6"/>
  <c r="AW14" i="6"/>
  <c r="AX10" i="6"/>
  <c r="AX7" i="6"/>
  <c r="AB46" i="8" l="1"/>
  <c r="Z2" i="12"/>
  <c r="AY7" i="6"/>
  <c r="AX14" i="6"/>
  <c r="AY10" i="6"/>
  <c r="AX15" i="6"/>
  <c r="AY11" i="6"/>
  <c r="AC46" i="8" l="1"/>
  <c r="AA2" i="12"/>
  <c r="AY15" i="6"/>
  <c r="AZ11" i="6"/>
  <c r="AY14" i="6"/>
  <c r="AZ10" i="6"/>
  <c r="AZ7" i="6"/>
  <c r="AD46" i="8" l="1"/>
  <c r="AB2" i="12"/>
  <c r="BA7" i="6"/>
  <c r="AZ14" i="6"/>
  <c r="BA10" i="6"/>
  <c r="AZ15" i="6"/>
  <c r="BA11" i="6"/>
  <c r="AE46" i="8" l="1"/>
  <c r="AC2" i="12"/>
  <c r="BA15" i="6"/>
  <c r="BB11" i="6"/>
  <c r="BA14" i="6"/>
  <c r="BB10" i="6"/>
  <c r="BB7" i="6"/>
  <c r="AF46" i="8" l="1"/>
  <c r="AD2" i="12"/>
  <c r="BB14" i="6"/>
  <c r="BC10" i="6"/>
  <c r="BC7" i="6"/>
  <c r="BB15" i="6"/>
  <c r="BC11" i="6"/>
  <c r="AG46" i="8" l="1"/>
  <c r="AE2" i="12"/>
  <c r="BD7" i="6"/>
  <c r="BC15" i="6"/>
  <c r="BD11" i="6"/>
  <c r="BD10" i="6"/>
  <c r="BC14" i="6"/>
  <c r="AH46"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<sst xmlns="http://schemas.openxmlformats.org/spreadsheetml/2006/main" count="67272" uniqueCount="4676">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</sst>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2">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
      <sz val="11"/>
      <color theme="0" tint="-0.34998626667073579"/>
      <name val="Arial"/>
      <family val="2"/>
    </font>
  </fonts>
  <fills count="2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
      <patternFill patternType="solid">
        <fgColor theme="6"/>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58">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167" fontId="30" fillId="22" borderId="31" xfId="3" applyNumberFormat="1" applyFont="1" applyFill="1" applyBorder="1"/>
    <xf numFmtId="167" fontId="29" fillId="0" borderId="0" xfId="3" applyNumberFormat="1" applyFont="1" applyBorder="1"/>
    <xf numFmtId="167" fontId="29" fillId="24" borderId="0" xfId="3" applyNumberFormat="1" applyFont="1" applyFill="1" applyBorder="1"/>
    <xf numFmtId="0" fontId="30" fillId="24" borderId="0" xfId="0" applyFont="1" applyFill="1" applyBorder="1"/>
    <xf numFmtId="0" fontId="0" fillId="24" borderId="0" xfId="0" applyFill="1" applyBorder="1"/>
    <xf numFmtId="167" fontId="0" fillId="0" borderId="0" xfId="3" applyNumberFormat="1" applyFont="1" applyBorder="1"/>
    <xf numFmtId="2" fontId="29" fillId="24" borderId="7" xfId="0" applyNumberFormat="1" applyFont="1" applyFill="1"/>
    <xf numFmtId="0" fontId="41" fillId="0" borderId="7" xfId="0" applyFont="1"/>
    <xf numFmtId="0" fontId="30" fillId="24" borderId="7" xfId="0" applyFont="1" applyFill="1"/>
    <xf numFmtId="167" fontId="30" fillId="25" borderId="24" xfId="3"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58203125" defaultRowHeight="15" customHeight="1"/>
  <cols>
    <col min="1" max="1" width="7.58203125" style="1" customWidth="1"/>
    <col min="2" max="2" width="61.33203125" style="1" customWidth="1"/>
    <col min="3" max="4" width="7.58203125" style="1" customWidth="1"/>
    <col min="5" max="5" width="64.58203125" style="1" customWidth="1"/>
    <col min="6" max="26" width="7.58203125" style="1" customWidth="1"/>
    <col min="27" max="30" width="12.58203125" style="1" customWidth="1"/>
    <col min="31" max="16384" width="12.58203125" style="1"/>
  </cols>
  <sheetData>
    <row r="1" spans="1:15" ht="14.5">
      <c r="A1" s="70" t="s">
        <v>0</v>
      </c>
      <c r="B1" s="44" t="s">
        <v>145</v>
      </c>
      <c r="C1" s="93">
        <v>44865</v>
      </c>
      <c r="K1" s="44" t="s">
        <v>2</v>
      </c>
      <c r="L1" s="44" t="s">
        <v>3</v>
      </c>
    </row>
    <row r="2" spans="1:15" ht="14.5">
      <c r="A2" s="70" t="s">
        <v>4</v>
      </c>
      <c r="B2" s="1" t="str">
        <f>LOOKUP(B1,K1:L50,L1:L50)</f>
        <v>WV</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0</v>
      </c>
    </row>
    <row r="8" spans="1:15" ht="14.5">
      <c r="B8" s="4">
        <v>2019</v>
      </c>
      <c r="E8" s="1" t="s">
        <v>26</v>
      </c>
      <c r="K8" s="44" t="s">
        <v>27</v>
      </c>
      <c r="L8" s="44" t="s">
        <v>28</v>
      </c>
      <c r="N8" s="70"/>
      <c r="O8" s="1">
        <f>SUM(O3:O7)</f>
        <v>0</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FALSE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58203125" defaultRowHeight="15" customHeight="1"/>
  <cols>
    <col min="1" max="16" width="7.58203125" customWidth="1"/>
    <col min="17" max="17" width="29.83203125" customWidth="1"/>
    <col min="18" max="18" width="13" customWidth="1"/>
    <col min="19" max="33" width="7.5820312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WV</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2996.277</v>
      </c>
      <c r="R20" s="1">
        <f t="shared" si="3"/>
        <v>0.12270142574946891</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3075.1460000000002</v>
      </c>
      <c r="R23" s="1">
        <f t="shared" si="3"/>
        <v>0.1259312134985438</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590.52950350000003</v>
      </c>
      <c r="R36" s="1">
        <f t="shared" ref="R36:R53" si="5">Q36/$Q$54</f>
        <v>2.4182948381132982E-2</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4583.473</v>
      </c>
      <c r="R38" s="1">
        <f t="shared" si="5"/>
        <v>0.18769915865061723</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2492.509978</v>
      </c>
      <c r="R41" s="1">
        <f t="shared" si="5"/>
        <v>0.10207151341327166</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10681.316224</v>
      </c>
      <c r="R49" s="1">
        <f t="shared" si="5"/>
        <v>0.43741374030696545</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24419.251705499999</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f t="shared" si="10"/>
        <v>590.52950350000003</v>
      </c>
      <c r="M245" s="1" t="str">
        <f t="shared" si="11"/>
        <v>NC</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f t="shared" si="10"/>
        <v>1319.0288889999999</v>
      </c>
      <c r="M249" s="1" t="str">
        <f t="shared" si="11"/>
        <v>VA</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f t="shared" si="12"/>
        <v>2996.277</v>
      </c>
      <c r="M269" s="1" t="str">
        <f t="shared" si="13"/>
        <v>KY</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f t="shared" si="12"/>
        <v>1130.114</v>
      </c>
      <c r="M273" s="1" t="str">
        <f t="shared" si="13"/>
        <v>OH</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f t="shared" si="12"/>
        <v>2407.7620000000002</v>
      </c>
      <c r="M278" s="1" t="str">
        <f t="shared" si="13"/>
        <v>OH</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f t="shared" si="12"/>
        <v>1045.597</v>
      </c>
      <c r="M279" s="1" t="str">
        <f t="shared" si="13"/>
        <v>OH</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f t="shared" si="12"/>
        <v>2196.172</v>
      </c>
      <c r="M281" s="1" t="str">
        <f t="shared" si="13"/>
        <v>PA</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f t="shared" si="12"/>
        <v>425.40309999999999</v>
      </c>
      <c r="M284" s="1" t="str">
        <f t="shared" si="13"/>
        <v>VA</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f t="shared" si="12"/>
        <v>296.33797800000002</v>
      </c>
      <c r="M285" s="1" t="str">
        <f t="shared" si="13"/>
        <v>PA</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f t="shared" si="12"/>
        <v>3075.1460000000002</v>
      </c>
      <c r="M286" s="1" t="str">
        <f t="shared" si="13"/>
        <v>MD</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f t="shared" si="12"/>
        <v>8936.8842349999995</v>
      </c>
      <c r="M287" s="1" t="str">
        <f t="shared" si="13"/>
        <v>VA</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24419.251705499999</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58203125" defaultRowHeight="15" customHeight="1"/>
  <cols>
    <col min="1" max="1" width="8.58203125" customWidth="1"/>
    <col min="2" max="2" width="37.33203125" customWidth="1"/>
    <col min="3" max="35" width="7.582031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4" t="s">
        <v>464</v>
      </c>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58203125" defaultRowHeight="15" customHeight="1"/>
  <cols>
    <col min="1" max="1" width="24.08203125" customWidth="1"/>
    <col min="2" max="2" width="14.58203125" customWidth="1"/>
    <col min="3" max="3" width="19.08203125" customWidth="1"/>
    <col min="4" max="4" width="13.08203125" customWidth="1"/>
    <col min="6" max="52" width="7.58203125" customWidth="1"/>
    <col min="53" max="53" width="8.58203125" customWidth="1"/>
    <col min="54" max="54" width="13.58203125"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ht="14.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ht="14.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0.12270142574946891</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0.1259312134985438</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2.4182948381132982E-2</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0.18769915865061723</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0.10207151341327166</v>
      </c>
      <c r="D41" s="1">
        <f t="shared" si="2"/>
        <v>0.10207151341327166</v>
      </c>
      <c r="E41" s="1">
        <f t="shared" si="3"/>
        <v>1</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0.43741374030696545</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0.10207151341327166</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0.21136231343935794</v>
      </c>
      <c r="C60" s="1">
        <f>SUMIFS('ReEDs Generation Data'!H$729:H$1448,'ReEDs Generation Data'!$E$729:$E$1448,Calculations!$A60)</f>
        <v>0.18609687949047546</v>
      </c>
      <c r="D60" s="1">
        <f>SUMIFS('ReEDs Generation Data'!I$729:I$1448,'ReEDs Generation Data'!$E$729:$E$1448,Calculations!$A60)</f>
        <v>0.19571341199676284</v>
      </c>
      <c r="E60" s="1">
        <f>SUMIFS('ReEDs Generation Data'!J$729:J$1448,'ReEDs Generation Data'!$E$729:$E$1448,Calculations!$A60)</f>
        <v>0.20567339029238796</v>
      </c>
      <c r="F60" s="1">
        <f>SUMIFS('ReEDs Generation Data'!K$729:K$1448,'ReEDs Generation Data'!$E$729:$E$1448,Calculations!$A60)</f>
        <v>0.21106386217892323</v>
      </c>
      <c r="G60" s="1">
        <f>SUMIFS('ReEDs Generation Data'!L$729:L$1448,'ReEDs Generation Data'!$E$729:$E$1448,Calculations!$A60)</f>
        <v>0.21664609180946495</v>
      </c>
      <c r="H60" s="1">
        <f>SUMIFS('ReEDs Generation Data'!M$729:M$1448,'ReEDs Generation Data'!$E$729:$E$1448,Calculations!$A60)</f>
        <v>0.21168288485808509</v>
      </c>
      <c r="I60" s="1">
        <f>SUMIFS('ReEDs Generation Data'!N$729:N$1448,'ReEDs Generation Data'!$E$729:$E$1448,Calculations!$A60)</f>
        <v>0.20677725229360336</v>
      </c>
      <c r="J60" s="1">
        <f>SUMIFS('ReEDs Generation Data'!O$729:O$1448,'ReEDs Generation Data'!$E$729:$E$1448,Calculations!$A60)</f>
        <v>0.20409370476949243</v>
      </c>
      <c r="K60" s="1">
        <f>SUMIFS('ReEDs Generation Data'!P$729:P$1448,'ReEDs Generation Data'!$E$729:$E$1448,Calculations!$A60)</f>
        <v>0.20139395655675835</v>
      </c>
      <c r="L60" s="1">
        <f>SUMIFS('ReEDs Generation Data'!Q$729:Q$1448,'ReEDs Generation Data'!$E$729:$E$1448,Calculations!$A60)</f>
        <v>0.20534987475058791</v>
      </c>
      <c r="M60" s="1">
        <f>SUMIFS('ReEDs Generation Data'!R$729:R$1448,'ReEDs Generation Data'!$E$729:$E$1448,Calculations!$A60)</f>
        <v>0.2093193921468918</v>
      </c>
    </row>
    <row r="61" spans="1:33" ht="15.75" customHeight="1">
      <c r="A61" s="4" t="s">
        <v>488</v>
      </c>
      <c r="B61" s="1">
        <f>SUMIFS('ReEDs Generation Data'!G$729:G$1448,'ReEDs Generation Data'!$E$729:$E$1448,Calculations!$A61)</f>
        <v>0.50695086076507068</v>
      </c>
      <c r="C61" s="1">
        <f>SUMIFS('ReEDs Generation Data'!H$729:H$1448,'ReEDs Generation Data'!$E$729:$E$1448,Calculations!$A61)</f>
        <v>0.55282458881287377</v>
      </c>
      <c r="D61" s="1">
        <f>SUMIFS('ReEDs Generation Data'!I$729:I$1448,'ReEDs Generation Data'!$E$729:$E$1448,Calculations!$A61)</f>
        <v>0.56327671018015513</v>
      </c>
      <c r="E61" s="1">
        <f>SUMIFS('ReEDs Generation Data'!J$729:J$1448,'ReEDs Generation Data'!$E$729:$E$1448,Calculations!$A61)</f>
        <v>0.57410211963967694</v>
      </c>
      <c r="F61" s="1">
        <f>SUMIFS('ReEDs Generation Data'!K$729:K$1448,'ReEDs Generation Data'!$E$729:$E$1448,Calculations!$A61)</f>
        <v>0.56417008658782697</v>
      </c>
      <c r="G61" s="1">
        <f>SUMIFS('ReEDs Generation Data'!L$729:L$1448,'ReEDs Generation Data'!$E$729:$E$1448,Calculations!$A61)</f>
        <v>0.55388473674080396</v>
      </c>
      <c r="H61" s="1">
        <f>SUMIFS('ReEDs Generation Data'!M$729:M$1448,'ReEDs Generation Data'!$E$729:$E$1448,Calculations!$A61)</f>
        <v>0.54485531392884812</v>
      </c>
      <c r="I61" s="1">
        <f>SUMIFS('ReEDs Generation Data'!N$729:N$1448,'ReEDs Generation Data'!$E$729:$E$1448,Calculations!$A61)</f>
        <v>0.53593063457964429</v>
      </c>
      <c r="J61" s="1">
        <f>SUMIFS('ReEDs Generation Data'!O$729:O$1448,'ReEDs Generation Data'!$E$729:$E$1448,Calculations!$A61)</f>
        <v>0.53677203520977013</v>
      </c>
      <c r="K61" s="1">
        <f>SUMIFS('ReEDs Generation Data'!P$729:P$1448,'ReEDs Generation Data'!$E$729:$E$1448,Calculations!$A61)</f>
        <v>0.53761851541068562</v>
      </c>
      <c r="L61" s="1">
        <f>SUMIFS('ReEDs Generation Data'!Q$729:Q$1448,'ReEDs Generation Data'!$E$729:$E$1448,Calculations!$A61)</f>
        <v>0.53188828447481395</v>
      </c>
      <c r="M61" s="1">
        <f>SUMIFS('ReEDs Generation Data'!R$729:R$1448,'ReEDs Generation Data'!$E$729:$E$1448,Calculations!$A61)</f>
        <v>0.52613835480734494</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0.23688299613711328</v>
      </c>
      <c r="C62" s="1">
        <f>SUMIFS('ReEDs Generation Data'!H$729:H$1448,'ReEDs Generation Data'!$E$729:$E$1448,Calculations!$A62)</f>
        <v>0.21437913379736198</v>
      </c>
      <c r="D62" s="1">
        <f>SUMIFS('ReEDs Generation Data'!I$729:I$1448,'ReEDs Generation Data'!$E$729:$E$1448,Calculations!$A62)</f>
        <v>0.18800495561898692</v>
      </c>
      <c r="E62" s="1">
        <f>SUMIFS('ReEDs Generation Data'!J$729:J$1448,'ReEDs Generation Data'!$E$729:$E$1448,Calculations!$A62)</f>
        <v>0.16068884744279963</v>
      </c>
      <c r="F62" s="1">
        <f>SUMIFS('ReEDs Generation Data'!K$729:K$1448,'ReEDs Generation Data'!$E$729:$E$1448,Calculations!$A62)</f>
        <v>0.16349702834744598</v>
      </c>
      <c r="G62" s="1">
        <f>SUMIFS('ReEDs Generation Data'!L$729:L$1448,'ReEDs Generation Data'!$E$729:$E$1448,Calculations!$A62)</f>
        <v>0.16640510596732833</v>
      </c>
      <c r="H62" s="1">
        <f>SUMIFS('ReEDs Generation Data'!M$729:M$1448,'ReEDs Generation Data'!$E$729:$E$1448,Calculations!$A62)</f>
        <v>0.16543430570886106</v>
      </c>
      <c r="I62" s="1">
        <f>SUMIFS('ReEDs Generation Data'!N$729:N$1448,'ReEDs Generation Data'!$E$729:$E$1448,Calculations!$A62)</f>
        <v>0.16447476696542421</v>
      </c>
      <c r="J62" s="1">
        <f>SUMIFS('ReEDs Generation Data'!O$729:O$1448,'ReEDs Generation Data'!$E$729:$E$1448,Calculations!$A62)</f>
        <v>0.16496974339180454</v>
      </c>
      <c r="K62" s="1">
        <f>SUMIFS('ReEDs Generation Data'!P$729:P$1448,'ReEDs Generation Data'!$E$729:$E$1448,Calculations!$A62)</f>
        <v>0.16546770801156976</v>
      </c>
      <c r="L62" s="1">
        <f>SUMIFS('ReEDs Generation Data'!Q$729:Q$1448,'ReEDs Generation Data'!$E$729:$E$1448,Calculations!$A62)</f>
        <v>0.16575163295659259</v>
      </c>
      <c r="M62" s="1">
        <f>SUMIFS('ReEDs Generation Data'!R$729:R$1448,'ReEDs Generation Data'!$E$729:$E$1448,Calculations!$A62)</f>
        <v>0.16603653394627202</v>
      </c>
    </row>
    <row r="63" spans="1:33" ht="15.75" customHeight="1">
      <c r="A63" s="4" t="s">
        <v>490</v>
      </c>
      <c r="B63" s="1">
        <f>SUMIFS('ReEDs Generation Data'!G$729:G$1448,'ReEDs Generation Data'!$E$729:$E$1448,Calculations!$A63)</f>
        <v>1.0737251033901369E-2</v>
      </c>
      <c r="C63" s="1">
        <f>SUMIFS('ReEDs Generation Data'!H$729:H$1448,'ReEDs Generation Data'!$E$729:$E$1448,Calculations!$A63)</f>
        <v>1.0723079603716457E-2</v>
      </c>
      <c r="D63" s="1">
        <f>SUMIFS('ReEDs Generation Data'!I$729:I$1448,'ReEDs Generation Data'!$E$729:$E$1448,Calculations!$A63)</f>
        <v>1.0907182347865496E-2</v>
      </c>
      <c r="E63" s="1">
        <f>SUMIFS('ReEDs Generation Data'!J$729:J$1448,'ReEDs Generation Data'!$E$729:$E$1448,Calculations!$A63)</f>
        <v>1.1097860155556635E-2</v>
      </c>
      <c r="F63" s="1">
        <f>SUMIFS('ReEDs Generation Data'!K$729:K$1448,'ReEDs Generation Data'!$E$729:$E$1448,Calculations!$A63)</f>
        <v>1.1295968959482993E-2</v>
      </c>
      <c r="G63" s="1">
        <f>SUMIFS('ReEDs Generation Data'!L$729:L$1448,'ReEDs Generation Data'!$E$729:$E$1448,Calculations!$A63)</f>
        <v>1.1501125179314372E-2</v>
      </c>
      <c r="H63" s="1">
        <f>SUMIFS('ReEDs Generation Data'!M$729:M$1448,'ReEDs Generation Data'!$E$729:$E$1448,Calculations!$A63)</f>
        <v>1.143402810779221E-2</v>
      </c>
      <c r="I63" s="1">
        <f>SUMIFS('ReEDs Generation Data'!N$729:N$1448,'ReEDs Generation Data'!$E$729:$E$1448,Calculations!$A63)</f>
        <v>1.1367709378336661E-2</v>
      </c>
      <c r="J63" s="1">
        <f>SUMIFS('ReEDs Generation Data'!O$729:O$1448,'ReEDs Generation Data'!$E$729:$E$1448,Calculations!$A63)</f>
        <v>1.1401919781962902E-2</v>
      </c>
      <c r="K63" s="1">
        <f>SUMIFS('ReEDs Generation Data'!P$729:P$1448,'ReEDs Generation Data'!$E$729:$E$1448,Calculations!$A63)</f>
        <v>1.1436336715226441E-2</v>
      </c>
      <c r="L63" s="1">
        <f>SUMIFS('ReEDs Generation Data'!Q$729:Q$1448,'ReEDs Generation Data'!$E$729:$E$1448,Calculations!$A63)</f>
        <v>1.1455960249704274E-2</v>
      </c>
      <c r="M63" s="1">
        <f>SUMIFS('ReEDs Generation Data'!R$729:R$1448,'ReEDs Generation Data'!$E$729:$E$1448,Calculations!$A63)</f>
        <v>1.147565124372135E-2</v>
      </c>
    </row>
    <row r="64" spans="1:33" ht="15.75" customHeight="1">
      <c r="A64" s="4" t="s">
        <v>491</v>
      </c>
      <c r="B64" s="1">
        <f>SUMIFS('ReEDs Generation Data'!G$729:G$1448,'ReEDs Generation Data'!$E$729:$E$1448,Calculations!$A64)</f>
        <v>2.1405916835295344E-2</v>
      </c>
      <c r="C64" s="1">
        <f>SUMIFS('ReEDs Generation Data'!H$729:H$1448,'ReEDs Generation Data'!$E$729:$E$1448,Calculations!$A64)</f>
        <v>2.3739554481443294E-2</v>
      </c>
      <c r="D64" s="1">
        <f>SUMIFS('ReEDs Generation Data'!I$729:I$1448,'ReEDs Generation Data'!$E$729:$E$1448,Calculations!$A64)</f>
        <v>2.9085963234868114E-2</v>
      </c>
      <c r="E64" s="1">
        <f>SUMIFS('ReEDs Generation Data'!J$729:J$1448,'ReEDs Generation Data'!$E$729:$E$1448,Calculations!$A64)</f>
        <v>3.4623314157233978E-2</v>
      </c>
      <c r="F64" s="1">
        <f>SUMIFS('ReEDs Generation Data'!K$729:K$1448,'ReEDs Generation Data'!$E$729:$E$1448,Calculations!$A64)</f>
        <v>3.5228387447752946E-2</v>
      </c>
      <c r="G64" s="1">
        <f>SUMIFS('ReEDs Generation Data'!L$729:L$1448,'ReEDs Generation Data'!$E$729:$E$1448,Calculations!$A64)</f>
        <v>3.5854985289663847E-2</v>
      </c>
      <c r="H64" s="1">
        <f>SUMIFS('ReEDs Generation Data'!M$729:M$1448,'ReEDs Generation Data'!$E$729:$E$1448,Calculations!$A64)</f>
        <v>5.0096666927515771E-2</v>
      </c>
      <c r="I64" s="1">
        <f>SUMIFS('ReEDs Generation Data'!N$729:N$1448,'ReEDs Generation Data'!$E$729:$E$1448,Calculations!$A64)</f>
        <v>6.4173141654447291E-2</v>
      </c>
      <c r="J64" s="1">
        <f>SUMIFS('ReEDs Generation Data'!O$729:O$1448,'ReEDs Generation Data'!$E$729:$E$1448,Calculations!$A64)</f>
        <v>6.4366187485784265E-2</v>
      </c>
      <c r="K64" s="1">
        <f>SUMIFS('ReEDs Generation Data'!P$729:P$1448,'ReEDs Generation Data'!$E$729:$E$1448,Calculations!$A64)</f>
        <v>6.4560398742877764E-2</v>
      </c>
      <c r="L64" s="1">
        <f>SUMIFS('ReEDs Generation Data'!Q$729:Q$1448,'ReEDs Generation Data'!$E$729:$E$1448,Calculations!$A64)</f>
        <v>6.4671181045775017E-2</v>
      </c>
      <c r="M64" s="1">
        <f>SUMIFS('ReEDs Generation Data'!R$729:R$1448,'ReEDs Generation Data'!$E$729:$E$1448,Calculations!$A64)</f>
        <v>6.4782344183384688E-2</v>
      </c>
    </row>
    <row r="65" spans="1:37" ht="15.75" customHeight="1">
      <c r="A65" s="4" t="s">
        <v>492</v>
      </c>
      <c r="B65" s="1">
        <f>SUMIFS('ReEDs Generation Data'!G$729:G$1448,'ReEDs Generation Data'!$E$729:$E$1448,Calculations!$A65)</f>
        <v>3.0050442077059068E-3</v>
      </c>
      <c r="C65" s="1">
        <f>SUMIFS('ReEDs Generation Data'!H$729:H$1448,'ReEDs Generation Data'!$E$729:$E$1448,Calculations!$A65)</f>
        <v>3.3924758848026112E-3</v>
      </c>
      <c r="D65" s="1">
        <f>SUMIFS('ReEDs Generation Data'!I$729:I$1448,'ReEDs Generation Data'!$E$729:$E$1448,Calculations!$A65)</f>
        <v>4.026290282643329E-3</v>
      </c>
      <c r="E65" s="1">
        <f>SUMIFS('ReEDs Generation Data'!J$729:J$1448,'ReEDs Generation Data'!$E$729:$E$1448,Calculations!$A65)</f>
        <v>4.6827407903310995E-3</v>
      </c>
      <c r="F65" s="1">
        <f>SUMIFS('ReEDs Generation Data'!K$729:K$1448,'ReEDs Generation Data'!$E$729:$E$1448,Calculations!$A65)</f>
        <v>5.4559906099460199E-3</v>
      </c>
      <c r="G65" s="1">
        <f>SUMIFS('ReEDs Generation Data'!L$729:L$1448,'ReEDs Generation Data'!$E$729:$E$1448,Calculations!$A65)</f>
        <v>6.256747602232258E-3</v>
      </c>
      <c r="H65" s="1">
        <f>SUMIFS('ReEDs Generation Data'!M$729:M$1448,'ReEDs Generation Data'!$E$729:$E$1448,Calculations!$A65)</f>
        <v>7.1078446763341626E-3</v>
      </c>
      <c r="I65" s="1">
        <f>SUMIFS('ReEDs Generation Data'!N$729:N$1448,'ReEDs Generation Data'!$E$729:$E$1448,Calculations!$A65)</f>
        <v>7.9490688209547609E-3</v>
      </c>
      <c r="J65" s="1">
        <f>SUMIFS('ReEDs Generation Data'!O$729:O$1448,'ReEDs Generation Data'!$E$729:$E$1448,Calculations!$A65)</f>
        <v>9.0503159739686138E-3</v>
      </c>
      <c r="K65" s="1">
        <f>SUMIFS('ReEDs Generation Data'!P$729:P$1448,'ReEDs Generation Data'!$E$729:$E$1448,Calculations!$A65)</f>
        <v>1.0158211402096958E-2</v>
      </c>
      <c r="L65" s="1">
        <f>SUMIFS('ReEDs Generation Data'!Q$729:Q$1448,'ReEDs Generation Data'!$E$729:$E$1448,Calculations!$A65)</f>
        <v>1.1466962119659049E-2</v>
      </c>
      <c r="M65" s="1">
        <f>SUMIFS('ReEDs Generation Data'!R$729:R$1448,'ReEDs Generation Data'!$E$729:$E$1448,Calculations!$A65)</f>
        <v>1.278021191053977E-2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3.9724330627814143E-5</v>
      </c>
      <c r="C67" s="1">
        <f>SUMIFS('ReEDs Generation Data'!H$729:H$1448,'ReEDs Generation Data'!$E$729:$E$1448,Calculations!$A67)</f>
        <v>7.6311492418073759E-5</v>
      </c>
      <c r="D67" s="1">
        <f>SUMIFS('ReEDs Generation Data'!I$729:I$1448,'ReEDs Generation Data'!$E$729:$E$1448,Calculations!$A67)</f>
        <v>4.1371125343996061E-5</v>
      </c>
      <c r="E67" s="1">
        <f>SUMIFS('ReEDs Generation Data'!J$729:J$1448,'ReEDs Generation Data'!$E$729:$E$1448,Calculations!$A67)</f>
        <v>5.1828945579552918E-6</v>
      </c>
      <c r="F67" s="1">
        <f>SUMIFS('ReEDs Generation Data'!K$729:K$1448,'ReEDs Generation Data'!$E$729:$E$1448,Calculations!$A67)</f>
        <v>2.6367351311219162E-6</v>
      </c>
      <c r="G67" s="1">
        <f>SUMIFS('ReEDs Generation Data'!L$729:L$1448,'ReEDs Generation Data'!$E$729:$E$1448,Calculations!$A67)</f>
        <v>0</v>
      </c>
      <c r="H67" s="1">
        <f>SUMIFS('ReEDs Generation Data'!M$729:M$1448,'ReEDs Generation Data'!$E$729:$E$1448,Calculations!$A67)</f>
        <v>2.6679778229873316E-6</v>
      </c>
      <c r="I67" s="1">
        <f>SUMIFS('ReEDs Generation Data'!N$729:N$1448,'ReEDs Generation Data'!$E$729:$E$1448,Calculations!$A67)</f>
        <v>5.3050064655514456E-6</v>
      </c>
      <c r="J67" s="1">
        <f>SUMIFS('ReEDs Generation Data'!O$729:O$1448,'ReEDs Generation Data'!$E$729:$E$1448,Calculations!$A67)</f>
        <v>2.6604857737778792E-6</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1.9731941660586136E-3</v>
      </c>
      <c r="C70" s="1">
        <f>SUMIFS('ReEDs Generation Data'!H$729:H$1448,'ReEDs Generation Data'!$E$729:$E$1448,Calculations!$A70)</f>
        <v>1.4826969576401299E-3</v>
      </c>
      <c r="D70" s="1">
        <f>SUMIFS('ReEDs Generation Data'!I$729:I$1448,'ReEDs Generation Data'!$E$729:$E$1448,Calculations!$A70)</f>
        <v>1.4744141220108518E-3</v>
      </c>
      <c r="E70" s="1">
        <f>SUMIFS('ReEDs Generation Data'!J$729:J$1448,'ReEDs Generation Data'!$E$729:$E$1448,Calculations!$A70)</f>
        <v>1.4658354723738954E-3</v>
      </c>
      <c r="F70" s="1">
        <f>SUMIFS('ReEDs Generation Data'!K$729:K$1448,'ReEDs Generation Data'!$E$729:$E$1448,Calculations!$A70)</f>
        <v>1.4914522544243042E-3</v>
      </c>
      <c r="G70" s="1">
        <f>SUMIFS('ReEDs Generation Data'!L$729:L$1448,'ReEDs Generation Data'!$E$729:$E$1448,Calculations!$A70)</f>
        <v>1.5179803140841861E-3</v>
      </c>
      <c r="H70" s="1">
        <f>SUMIFS('ReEDs Generation Data'!M$729:M$1448,'ReEDs Generation Data'!$E$729:$E$1448,Calculations!$A70)</f>
        <v>1.499342824612107E-3</v>
      </c>
      <c r="I70" s="1">
        <f>SUMIFS('ReEDs Generation Data'!N$729:N$1448,'ReEDs Generation Data'!$E$729:$E$1448,Calculations!$A70)</f>
        <v>1.4809215344724735E-3</v>
      </c>
      <c r="J70" s="1">
        <f>SUMIFS('ReEDs Generation Data'!O$729:O$1448,'ReEDs Generation Data'!$E$729:$E$1448,Calculations!$A70)</f>
        <v>1.4853782743262953E-3</v>
      </c>
      <c r="K70" s="1">
        <f>SUMIFS('ReEDs Generation Data'!P$729:P$1448,'ReEDs Generation Data'!$E$729:$E$1448,Calculations!$A70)</f>
        <v>1.4898619197049857E-3</v>
      </c>
      <c r="L70" s="1">
        <f>SUMIFS('ReEDs Generation Data'!Q$729:Q$1448,'ReEDs Generation Data'!$E$729:$E$1448,Calculations!$A70)</f>
        <v>1.4924183639123006E-3</v>
      </c>
      <c r="M70" s="1">
        <f>SUMIFS('ReEDs Generation Data'!R$729:R$1448,'ReEDs Generation Data'!$E$729:$E$1448,Calculations!$A70)</f>
        <v>1.4949835963707083E-3</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7.6426990848691666E-3</v>
      </c>
      <c r="C73" s="1">
        <f>SUMIFS('ReEDs Generation Data'!H$729:H$1448,'ReEDs Generation Data'!$E$729:$E$1448,Calculations!$A73)</f>
        <v>7.2852794792683017E-3</v>
      </c>
      <c r="D73" s="1">
        <f>SUMIFS('ReEDs Generation Data'!I$729:I$1448,'ReEDs Generation Data'!$E$729:$E$1448,Calculations!$A73)</f>
        <v>7.469701091363393E-3</v>
      </c>
      <c r="E73" s="1">
        <f>SUMIFS('ReEDs Generation Data'!J$729:J$1448,'ReEDs Generation Data'!$E$729:$E$1448,Calculations!$A73)</f>
        <v>7.660709155081824E-3</v>
      </c>
      <c r="F73" s="1">
        <f>SUMIFS('ReEDs Generation Data'!K$729:K$1448,'ReEDs Generation Data'!$E$729:$E$1448,Calculations!$A73)</f>
        <v>7.7945868790664213E-3</v>
      </c>
      <c r="G73" s="1">
        <f>SUMIFS('ReEDs Generation Data'!L$729:L$1448,'ReEDs Generation Data'!$E$729:$E$1448,Calculations!$A73)</f>
        <v>7.9332270971080102E-3</v>
      </c>
      <c r="H73" s="1">
        <f>SUMIFS('ReEDs Generation Data'!M$729:M$1448,'ReEDs Generation Data'!$E$729:$E$1448,Calculations!$A73)</f>
        <v>7.8869449901282866E-3</v>
      </c>
      <c r="I73" s="1">
        <f>SUMIFS('ReEDs Generation Data'!N$729:N$1448,'ReEDs Generation Data'!$E$729:$E$1448,Calculations!$A73)</f>
        <v>7.8411997666514733E-3</v>
      </c>
      <c r="J73" s="1">
        <f>SUMIFS('ReEDs Generation Data'!O$729:O$1448,'ReEDs Generation Data'!$E$729:$E$1448,Calculations!$A73)</f>
        <v>7.8580546271172173E-3</v>
      </c>
      <c r="K73" s="1">
        <f>SUMIFS('ReEDs Generation Data'!P$729:P$1448,'ReEDs Generation Data'!$E$729:$E$1448,Calculations!$A73)</f>
        <v>7.8750112410804242E-3</v>
      </c>
      <c r="L73" s="1">
        <f>SUMIFS('ReEDs Generation Data'!Q$729:Q$1448,'ReEDs Generation Data'!$E$729:$E$1448,Calculations!$A73)</f>
        <v>7.9236860389550242E-3</v>
      </c>
      <c r="M73" s="1">
        <f>SUMIFS('ReEDs Generation Data'!R$729:R$1448,'ReEDs Generation Data'!$E$729:$E$1448,Calculations!$A73)</f>
        <v>7.9725281654747741E-3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58203125" defaultRowHeight="15" customHeight="1"/>
  <cols>
    <col min="1" max="3" width="7.58203125" customWidth="1"/>
    <col min="4" max="4" width="23.58203125" customWidth="1"/>
    <col min="5" max="5" width="32.83203125" customWidth="1"/>
    <col min="6" max="20" width="7.58203125" customWidth="1"/>
    <col min="21" max="21" width="13.58203125" customWidth="1"/>
    <col min="22" max="42" width="7.58203125"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3.9724330627814143E-5</v>
      </c>
      <c r="H1254" s="44">
        <f>H528/SUMIFS(H$3:H$722,$B$3:$B$722,$B1254)*SUMIFS(Calculations!$E$3:$E$53,Calculations!$A$3:$A$53,$B1254)</f>
        <v>7.6311492418073759E-5</v>
      </c>
      <c r="I1254" s="44">
        <f>I528/SUMIFS(I$3:I$722,$B$3:$B$722,$B1254)*SUMIFS(Calculations!$E$3:$E$53,Calculations!$A$3:$A$53,$B1254)</f>
        <v>4.1371125343996061E-5</v>
      </c>
      <c r="J1254" s="44">
        <f>J528/SUMIFS(J$3:J$722,$B$3:$B$722,$B1254)*SUMIFS(Calculations!$E$3:$E$53,Calculations!$A$3:$A$53,$B1254)</f>
        <v>5.1828945579552918E-6</v>
      </c>
      <c r="K1254" s="44">
        <f>K528/SUMIFS(K$3:K$722,$B$3:$B$722,$B1254)*SUMIFS(Calculations!$E$3:$E$53,Calculations!$A$3:$A$53,$B1254)</f>
        <v>2.6367351311219162E-6</v>
      </c>
      <c r="L1254" s="44">
        <f>L528/SUMIFS(L$3:L$722,$B$3:$B$722,$B1254)*SUMIFS(Calculations!$E$3:$E$53,Calculations!$A$3:$A$53,$B1254)</f>
        <v>0</v>
      </c>
      <c r="M1254" s="44">
        <f>M528/SUMIFS(M$3:M$722,$B$3:$B$722,$B1254)*SUMIFS(Calculations!$E$3:$E$53,Calculations!$A$3:$A$53,$B1254)</f>
        <v>2.6679778229873316E-6</v>
      </c>
      <c r="N1254" s="44">
        <f>N528/SUMIFS(N$3:N$722,$B$3:$B$722,$B1254)*SUMIFS(Calculations!$E$3:$E$53,Calculations!$A$3:$A$53,$B1254)</f>
        <v>5.3050064655514456E-6</v>
      </c>
      <c r="O1254" s="44">
        <f>O528/SUMIFS(O$3:O$722,$B$3:$B$722,$B1254)*SUMIFS(Calculations!$E$3:$E$53,Calculations!$A$3:$A$53,$B1254)</f>
        <v>2.6604857737778792E-6</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0.23879413385205253</v>
      </c>
      <c r="G1255" s="44">
        <f>G529/SUMIFS(G$3:G$722,$B$3:$B$722,$B1255)*SUMIFS(Calculations!$E$3:$E$53,Calculations!$A$3:$A$53,$B1255)</f>
        <v>0.21136231343935794</v>
      </c>
      <c r="H1255" s="44">
        <f>H529/SUMIFS(H$3:H$722,$B$3:$B$722,$B1255)*SUMIFS(Calculations!$E$3:$E$53,Calculations!$A$3:$A$53,$B1255)</f>
        <v>0.18609687949047546</v>
      </c>
      <c r="I1255" s="44">
        <f>I529/SUMIFS(I$3:I$722,$B$3:$B$722,$B1255)*SUMIFS(Calculations!$E$3:$E$53,Calculations!$A$3:$A$53,$B1255)</f>
        <v>0.19571341199676284</v>
      </c>
      <c r="J1255" s="44">
        <f>J529/SUMIFS(J$3:J$722,$B$3:$B$722,$B1255)*SUMIFS(Calculations!$E$3:$E$53,Calculations!$A$3:$A$53,$B1255)</f>
        <v>0.20567339029238796</v>
      </c>
      <c r="K1255" s="44">
        <f>K529/SUMIFS(K$3:K$722,$B$3:$B$722,$B1255)*SUMIFS(Calculations!$E$3:$E$53,Calculations!$A$3:$A$53,$B1255)</f>
        <v>0.21106386217892323</v>
      </c>
      <c r="L1255" s="44">
        <f>L529/SUMIFS(L$3:L$722,$B$3:$B$722,$B1255)*SUMIFS(Calculations!$E$3:$E$53,Calculations!$A$3:$A$53,$B1255)</f>
        <v>0.21664609180946495</v>
      </c>
      <c r="M1255" s="44">
        <f>M529/SUMIFS(M$3:M$722,$B$3:$B$722,$B1255)*SUMIFS(Calculations!$E$3:$E$53,Calculations!$A$3:$A$53,$B1255)</f>
        <v>0.21168288485808509</v>
      </c>
      <c r="N1255" s="44">
        <f>N529/SUMIFS(N$3:N$722,$B$3:$B$722,$B1255)*SUMIFS(Calculations!$E$3:$E$53,Calculations!$A$3:$A$53,$B1255)</f>
        <v>0.20677725229360336</v>
      </c>
      <c r="O1255" s="44">
        <f>O529/SUMIFS(O$3:O$722,$B$3:$B$722,$B1255)*SUMIFS(Calculations!$E$3:$E$53,Calculations!$A$3:$A$53,$B1255)</f>
        <v>0.20409370476949243</v>
      </c>
      <c r="P1255" s="44">
        <f>P529/SUMIFS(P$3:P$722,$B$3:$B$722,$B1255)*SUMIFS(Calculations!$E$3:$E$53,Calculations!$A$3:$A$53,$B1255)</f>
        <v>0.20139395655675835</v>
      </c>
      <c r="Q1255" s="44">
        <f>Q529/SUMIFS(Q$3:Q$722,$B$3:$B$722,$B1255)*SUMIFS(Calculations!$E$3:$E$53,Calculations!$A$3:$A$53,$B1255)</f>
        <v>0.20534987475058791</v>
      </c>
      <c r="R1255" s="44">
        <f>R529/SUMIFS(R$3:R$722,$B$3:$B$722,$B1255)*SUMIFS(Calculations!$E$3:$E$53,Calculations!$A$3:$A$53,$B1255)</f>
        <v>0.2093193921468918</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1.0752637594393859E-2</v>
      </c>
      <c r="G1258" s="44">
        <f>G532/SUMIFS(G$3:G$722,$B$3:$B$722,$B1258)*SUMIFS(Calculations!$E$3:$E$53,Calculations!$A$3:$A$53,$B1258)</f>
        <v>1.0737251033901369E-2</v>
      </c>
      <c r="H1258" s="44">
        <f>H532/SUMIFS(H$3:H$722,$B$3:$B$722,$B1258)*SUMIFS(Calculations!$E$3:$E$53,Calculations!$A$3:$A$53,$B1258)</f>
        <v>1.0723079603716457E-2</v>
      </c>
      <c r="I1258" s="44">
        <f>I532/SUMIFS(I$3:I$722,$B$3:$B$722,$B1258)*SUMIFS(Calculations!$E$3:$E$53,Calculations!$A$3:$A$53,$B1258)</f>
        <v>1.0907182347865496E-2</v>
      </c>
      <c r="J1258" s="44">
        <f>J532/SUMIFS(J$3:J$722,$B$3:$B$722,$B1258)*SUMIFS(Calculations!$E$3:$E$53,Calculations!$A$3:$A$53,$B1258)</f>
        <v>1.1097860155556635E-2</v>
      </c>
      <c r="K1258" s="44">
        <f>K532/SUMIFS(K$3:K$722,$B$3:$B$722,$B1258)*SUMIFS(Calculations!$E$3:$E$53,Calculations!$A$3:$A$53,$B1258)</f>
        <v>1.1295968959482993E-2</v>
      </c>
      <c r="L1258" s="44">
        <f>L532/SUMIFS(L$3:L$722,$B$3:$B$722,$B1258)*SUMIFS(Calculations!$E$3:$E$53,Calculations!$A$3:$A$53,$B1258)</f>
        <v>1.1501125179314372E-2</v>
      </c>
      <c r="M1258" s="44">
        <f>M532/SUMIFS(M$3:M$722,$B$3:$B$722,$B1258)*SUMIFS(Calculations!$E$3:$E$53,Calculations!$A$3:$A$53,$B1258)</f>
        <v>1.143402810779221E-2</v>
      </c>
      <c r="N1258" s="44">
        <f>N532/SUMIFS(N$3:N$722,$B$3:$B$722,$B1258)*SUMIFS(Calculations!$E$3:$E$53,Calculations!$A$3:$A$53,$B1258)</f>
        <v>1.1367709378336661E-2</v>
      </c>
      <c r="O1258" s="44">
        <f>O532/SUMIFS(O$3:O$722,$B$3:$B$722,$B1258)*SUMIFS(Calculations!$E$3:$E$53,Calculations!$A$3:$A$53,$B1258)</f>
        <v>1.1401919781962902E-2</v>
      </c>
      <c r="P1258" s="44">
        <f>P532/SUMIFS(P$3:P$722,$B$3:$B$722,$B1258)*SUMIFS(Calculations!$E$3:$E$53,Calculations!$A$3:$A$53,$B1258)</f>
        <v>1.1436336715226441E-2</v>
      </c>
      <c r="Q1258" s="44">
        <f>Q532/SUMIFS(Q$3:Q$722,$B$3:$B$722,$B1258)*SUMIFS(Calculations!$E$3:$E$53,Calculations!$A$3:$A$53,$B1258)</f>
        <v>1.1455960249704274E-2</v>
      </c>
      <c r="R1258" s="44">
        <f>R532/SUMIFS(R$3:R$722,$B$3:$B$722,$B1258)*SUMIFS(Calculations!$E$3:$E$53,Calculations!$A$3:$A$53,$B1258)</f>
        <v>1.147565124372135E-2</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1.8872181260163226E-2</v>
      </c>
      <c r="G1260" s="44">
        <f>G534/SUMIFS(G$3:G$722,$B$3:$B$722,$B1260)*SUMIFS(Calculations!$E$3:$E$53,Calculations!$A$3:$A$53,$B1260)</f>
        <v>2.1405916835295344E-2</v>
      </c>
      <c r="H1260" s="44">
        <f>H534/SUMIFS(H$3:H$722,$B$3:$B$722,$B1260)*SUMIFS(Calculations!$E$3:$E$53,Calculations!$A$3:$A$53,$B1260)</f>
        <v>2.3739554481443294E-2</v>
      </c>
      <c r="I1260" s="44">
        <f>I534/SUMIFS(I$3:I$722,$B$3:$B$722,$B1260)*SUMIFS(Calculations!$E$3:$E$53,Calculations!$A$3:$A$53,$B1260)</f>
        <v>2.9085963234868114E-2</v>
      </c>
      <c r="J1260" s="44">
        <f>J534/SUMIFS(J$3:J$722,$B$3:$B$722,$B1260)*SUMIFS(Calculations!$E$3:$E$53,Calculations!$A$3:$A$53,$B1260)</f>
        <v>3.4623314157233978E-2</v>
      </c>
      <c r="K1260" s="44">
        <f>K534/SUMIFS(K$3:K$722,$B$3:$B$722,$B1260)*SUMIFS(Calculations!$E$3:$E$53,Calculations!$A$3:$A$53,$B1260)</f>
        <v>3.5228387447752946E-2</v>
      </c>
      <c r="L1260" s="44">
        <f>L534/SUMIFS(L$3:L$722,$B$3:$B$722,$B1260)*SUMIFS(Calculations!$E$3:$E$53,Calculations!$A$3:$A$53,$B1260)</f>
        <v>3.5854985289663847E-2</v>
      </c>
      <c r="M1260" s="44">
        <f>M534/SUMIFS(M$3:M$722,$B$3:$B$722,$B1260)*SUMIFS(Calculations!$E$3:$E$53,Calculations!$A$3:$A$53,$B1260)</f>
        <v>5.0096666927515771E-2</v>
      </c>
      <c r="N1260" s="44">
        <f>N534/SUMIFS(N$3:N$722,$B$3:$B$722,$B1260)*SUMIFS(Calculations!$E$3:$E$53,Calculations!$A$3:$A$53,$B1260)</f>
        <v>6.4173141654447291E-2</v>
      </c>
      <c r="O1260" s="44">
        <f>O534/SUMIFS(O$3:O$722,$B$3:$B$722,$B1260)*SUMIFS(Calculations!$E$3:$E$53,Calculations!$A$3:$A$53,$B1260)</f>
        <v>6.4366187485784265E-2</v>
      </c>
      <c r="P1260" s="44">
        <f>P534/SUMIFS(P$3:P$722,$B$3:$B$722,$B1260)*SUMIFS(Calculations!$E$3:$E$53,Calculations!$A$3:$A$53,$B1260)</f>
        <v>6.4560398742877764E-2</v>
      </c>
      <c r="Q1260" s="44">
        <f>Q534/SUMIFS(Q$3:Q$722,$B$3:$B$722,$B1260)*SUMIFS(Calculations!$E$3:$E$53,Calculations!$A$3:$A$53,$B1260)</f>
        <v>6.4671181045775017E-2</v>
      </c>
      <c r="R1260" s="44">
        <f>R534/SUMIFS(R$3:R$722,$B$3:$B$722,$B1260)*SUMIFS(Calculations!$E$3:$E$53,Calculations!$A$3:$A$53,$B1260)</f>
        <v>6.4782344183384688E-2</v>
      </c>
    </row>
    <row r="1261" spans="2:18" ht="15.75" customHeight="1">
      <c r="B1261" s="44" t="s">
        <v>118</v>
      </c>
      <c r="C1261" s="44" t="s">
        <v>522</v>
      </c>
      <c r="D1261" s="44" t="s">
        <v>532</v>
      </c>
      <c r="E1261" s="44" t="str">
        <f t="shared" si="308"/>
        <v>natural gas nonpeaker</v>
      </c>
      <c r="F1261" s="44">
        <f>F535/SUMIFS(F$3:F$722,$B$3:$B$722,$B1261)*SUMIFS(Calculations!$E$3:$E$53,Calculations!$A$3:$A$53,$B1261)</f>
        <v>0.45714368658337434</v>
      </c>
      <c r="G1261" s="44">
        <f>G535/SUMIFS(G$3:G$722,$B$3:$B$722,$B1261)*SUMIFS(Calculations!$E$3:$E$53,Calculations!$A$3:$A$53,$B1261)</f>
        <v>0.50695086076507068</v>
      </c>
      <c r="H1261" s="44">
        <f>H535/SUMIFS(H$3:H$722,$B$3:$B$722,$B1261)*SUMIFS(Calculations!$E$3:$E$53,Calculations!$A$3:$A$53,$B1261)</f>
        <v>0.55282458881287377</v>
      </c>
      <c r="I1261" s="44">
        <f>I535/SUMIFS(I$3:I$722,$B$3:$B$722,$B1261)*SUMIFS(Calculations!$E$3:$E$53,Calculations!$A$3:$A$53,$B1261)</f>
        <v>0.56327671018015513</v>
      </c>
      <c r="J1261" s="44">
        <f>J535/SUMIFS(J$3:J$722,$B$3:$B$722,$B1261)*SUMIFS(Calculations!$E$3:$E$53,Calculations!$A$3:$A$53,$B1261)</f>
        <v>0.57410211963967694</v>
      </c>
      <c r="K1261" s="44">
        <f>K535/SUMIFS(K$3:K$722,$B$3:$B$722,$B1261)*SUMIFS(Calculations!$E$3:$E$53,Calculations!$A$3:$A$53,$B1261)</f>
        <v>0.56417008658782697</v>
      </c>
      <c r="L1261" s="44">
        <f>L535/SUMIFS(L$3:L$722,$B$3:$B$722,$B1261)*SUMIFS(Calculations!$E$3:$E$53,Calculations!$A$3:$A$53,$B1261)</f>
        <v>0.55388473674080396</v>
      </c>
      <c r="M1261" s="44">
        <f>M535/SUMIFS(M$3:M$722,$B$3:$B$722,$B1261)*SUMIFS(Calculations!$E$3:$E$53,Calculations!$A$3:$A$53,$B1261)</f>
        <v>0.54485531392884812</v>
      </c>
      <c r="N1261" s="44">
        <f>N535/SUMIFS(N$3:N$722,$B$3:$B$722,$B1261)*SUMIFS(Calculations!$E$3:$E$53,Calculations!$A$3:$A$53,$B1261)</f>
        <v>0.53593063457964429</v>
      </c>
      <c r="O1261" s="44">
        <f>O535/SUMIFS(O$3:O$722,$B$3:$B$722,$B1261)*SUMIFS(Calculations!$E$3:$E$53,Calculations!$A$3:$A$53,$B1261)</f>
        <v>0.53677203520977013</v>
      </c>
      <c r="P1261" s="44">
        <f>P535/SUMIFS(P$3:P$722,$B$3:$B$722,$B1261)*SUMIFS(Calculations!$E$3:$E$53,Calculations!$A$3:$A$53,$B1261)</f>
        <v>0.53761851541068562</v>
      </c>
      <c r="Q1261" s="44">
        <f>Q535/SUMIFS(Q$3:Q$722,$B$3:$B$722,$B1261)*SUMIFS(Calculations!$E$3:$E$53,Calculations!$A$3:$A$53,$B1261)</f>
        <v>0.53188828447481395</v>
      </c>
      <c r="R1261" s="44">
        <f>R535/SUMIFS(R$3:R$722,$B$3:$B$722,$B1261)*SUMIFS(Calculations!$E$3:$E$53,Calculations!$A$3:$A$53,$B1261)</f>
        <v>0.52613835480734494</v>
      </c>
    </row>
    <row r="1262" spans="2:18" ht="15.75" customHeight="1">
      <c r="B1262" s="44" t="s">
        <v>118</v>
      </c>
      <c r="C1262" s="44" t="s">
        <v>522</v>
      </c>
      <c r="D1262" s="44" t="s">
        <v>533</v>
      </c>
      <c r="E1262" s="44" t="str">
        <f t="shared" si="308"/>
        <v>natural gas peaker</v>
      </c>
      <c r="F1262" s="44">
        <f>F536/SUMIFS(F$3:F$722,$B$3:$B$722,$B1262)*SUMIFS(Calculations!$E$3:$E$53,Calculations!$A$3:$A$53,$B1262)</f>
        <v>2.5057490931375149E-3</v>
      </c>
      <c r="G1262" s="44">
        <f>G536/SUMIFS(G$3:G$722,$B$3:$B$722,$B1262)*SUMIFS(Calculations!$E$3:$E$53,Calculations!$A$3:$A$53,$B1262)</f>
        <v>1.9731941660586136E-3</v>
      </c>
      <c r="H1262" s="44">
        <f>H536/SUMIFS(H$3:H$722,$B$3:$B$722,$B1262)*SUMIFS(Calculations!$E$3:$E$53,Calculations!$A$3:$A$53,$B1262)</f>
        <v>1.4826969576401299E-3</v>
      </c>
      <c r="I1262" s="44">
        <f>I536/SUMIFS(I$3:I$722,$B$3:$B$722,$B1262)*SUMIFS(Calculations!$E$3:$E$53,Calculations!$A$3:$A$53,$B1262)</f>
        <v>1.4744141220108518E-3</v>
      </c>
      <c r="J1262" s="44">
        <f>J536/SUMIFS(J$3:J$722,$B$3:$B$722,$B1262)*SUMIFS(Calculations!$E$3:$E$53,Calculations!$A$3:$A$53,$B1262)</f>
        <v>1.4658354723738954E-3</v>
      </c>
      <c r="K1262" s="44">
        <f>K536/SUMIFS(K$3:K$722,$B$3:$B$722,$B1262)*SUMIFS(Calculations!$E$3:$E$53,Calculations!$A$3:$A$53,$B1262)</f>
        <v>1.4914522544243042E-3</v>
      </c>
      <c r="L1262" s="44">
        <f>L536/SUMIFS(L$3:L$722,$B$3:$B$722,$B1262)*SUMIFS(Calculations!$E$3:$E$53,Calculations!$A$3:$A$53,$B1262)</f>
        <v>1.5179803140841861E-3</v>
      </c>
      <c r="M1262" s="44">
        <f>M536/SUMIFS(M$3:M$722,$B$3:$B$722,$B1262)*SUMIFS(Calculations!$E$3:$E$53,Calculations!$A$3:$A$53,$B1262)</f>
        <v>1.499342824612107E-3</v>
      </c>
      <c r="N1262" s="44">
        <f>N536/SUMIFS(N$3:N$722,$B$3:$B$722,$B1262)*SUMIFS(Calculations!$E$3:$E$53,Calculations!$A$3:$A$53,$B1262)</f>
        <v>1.4809215344724735E-3</v>
      </c>
      <c r="O1262" s="44">
        <f>O536/SUMIFS(O$3:O$722,$B$3:$B$722,$B1262)*SUMIFS(Calculations!$E$3:$E$53,Calculations!$A$3:$A$53,$B1262)</f>
        <v>1.4853782743262953E-3</v>
      </c>
      <c r="P1262" s="44">
        <f>P536/SUMIFS(P$3:P$722,$B$3:$B$722,$B1262)*SUMIFS(Calculations!$E$3:$E$53,Calculations!$A$3:$A$53,$B1262)</f>
        <v>1.4898619197049857E-3</v>
      </c>
      <c r="Q1262" s="44">
        <f>Q536/SUMIFS(Q$3:Q$722,$B$3:$B$722,$B1262)*SUMIFS(Calculations!$E$3:$E$53,Calculations!$A$3:$A$53,$B1262)</f>
        <v>1.4924183639123006E-3</v>
      </c>
      <c r="R1262" s="44">
        <f>R536/SUMIFS(R$3:R$722,$B$3:$B$722,$B1262)*SUMIFS(Calculations!$E$3:$E$53,Calculations!$A$3:$A$53,$B1262)</f>
        <v>1.4949835963707083E-3</v>
      </c>
    </row>
    <row r="1263" spans="2:18" ht="15.75" customHeight="1">
      <c r="B1263" s="44" t="s">
        <v>118</v>
      </c>
      <c r="C1263" s="44" t="s">
        <v>522</v>
      </c>
      <c r="D1263" s="44" t="s">
        <v>534</v>
      </c>
      <c r="E1263" s="44" t="str">
        <f t="shared" si="308"/>
        <v>nuclear</v>
      </c>
      <c r="F1263" s="44">
        <f>F537/SUMIFS(F$3:F$722,$B$3:$B$722,$B1263)*SUMIFS(Calculations!$E$3:$E$53,Calculations!$A$3:$A$53,$B1263)</f>
        <v>0.26131645378304319</v>
      </c>
      <c r="G1263" s="44">
        <f>G537/SUMIFS(G$3:G$722,$B$3:$B$722,$B1263)*SUMIFS(Calculations!$E$3:$E$53,Calculations!$A$3:$A$53,$B1263)</f>
        <v>0.23688299613711328</v>
      </c>
      <c r="H1263" s="44">
        <f>H537/SUMIFS(H$3:H$722,$B$3:$B$722,$B1263)*SUMIFS(Calculations!$E$3:$E$53,Calculations!$A$3:$A$53,$B1263)</f>
        <v>0.21437913379736198</v>
      </c>
      <c r="I1263" s="44">
        <f>I537/SUMIFS(I$3:I$722,$B$3:$B$722,$B1263)*SUMIFS(Calculations!$E$3:$E$53,Calculations!$A$3:$A$53,$B1263)</f>
        <v>0.18800495561898692</v>
      </c>
      <c r="J1263" s="44">
        <f>J537/SUMIFS(J$3:J$722,$B$3:$B$722,$B1263)*SUMIFS(Calculations!$E$3:$E$53,Calculations!$A$3:$A$53,$B1263)</f>
        <v>0.16068884744279963</v>
      </c>
      <c r="K1263" s="44">
        <f>K537/SUMIFS(K$3:K$722,$B$3:$B$722,$B1263)*SUMIFS(Calculations!$E$3:$E$53,Calculations!$A$3:$A$53,$B1263)</f>
        <v>0.16349702834744598</v>
      </c>
      <c r="L1263" s="44">
        <f>L537/SUMIFS(L$3:L$722,$B$3:$B$722,$B1263)*SUMIFS(Calculations!$E$3:$E$53,Calculations!$A$3:$A$53,$B1263)</f>
        <v>0.16640510596732833</v>
      </c>
      <c r="M1263" s="44">
        <f>M537/SUMIFS(M$3:M$722,$B$3:$B$722,$B1263)*SUMIFS(Calculations!$E$3:$E$53,Calculations!$A$3:$A$53,$B1263)</f>
        <v>0.16543430570886106</v>
      </c>
      <c r="N1263" s="44">
        <f>N537/SUMIFS(N$3:N$722,$B$3:$B$722,$B1263)*SUMIFS(Calculations!$E$3:$E$53,Calculations!$A$3:$A$53,$B1263)</f>
        <v>0.16447476696542421</v>
      </c>
      <c r="O1263" s="44">
        <f>O537/SUMIFS(O$3:O$722,$B$3:$B$722,$B1263)*SUMIFS(Calculations!$E$3:$E$53,Calculations!$A$3:$A$53,$B1263)</f>
        <v>0.16496974339180454</v>
      </c>
      <c r="P1263" s="44">
        <f>P537/SUMIFS(P$3:P$722,$B$3:$B$722,$B1263)*SUMIFS(Calculations!$E$3:$E$53,Calculations!$A$3:$A$53,$B1263)</f>
        <v>0.16546770801156976</v>
      </c>
      <c r="Q1263" s="44">
        <f>Q537/SUMIFS(Q$3:Q$722,$B$3:$B$722,$B1263)*SUMIFS(Calculations!$E$3:$E$53,Calculations!$A$3:$A$53,$B1263)</f>
        <v>0.16575163295659259</v>
      </c>
      <c r="R1263" s="44">
        <f>R537/SUMIFS(R$3:R$722,$B$3:$B$722,$B1263)*SUMIFS(Calculations!$E$3:$E$53,Calculations!$A$3:$A$53,$B1263)</f>
        <v>0.16603653394627202</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8.0307656604386192E-3</v>
      </c>
      <c r="G1265" s="44">
        <f>G539/SUMIFS(G$3:G$722,$B$3:$B$722,$B1265)*SUMIFS(Calculations!$E$3:$E$53,Calculations!$A$3:$A$53,$B1265)</f>
        <v>7.6426990848691666E-3</v>
      </c>
      <c r="H1265" s="44">
        <f>H539/SUMIFS(H$3:H$722,$B$3:$B$722,$B1265)*SUMIFS(Calculations!$E$3:$E$53,Calculations!$A$3:$A$53,$B1265)</f>
        <v>7.2852794792683017E-3</v>
      </c>
      <c r="I1265" s="44">
        <f>I539/SUMIFS(I$3:I$722,$B$3:$B$722,$B1265)*SUMIFS(Calculations!$E$3:$E$53,Calculations!$A$3:$A$53,$B1265)</f>
        <v>7.469701091363393E-3</v>
      </c>
      <c r="J1265" s="44">
        <f>J539/SUMIFS(J$3:J$722,$B$3:$B$722,$B1265)*SUMIFS(Calculations!$E$3:$E$53,Calculations!$A$3:$A$53,$B1265)</f>
        <v>7.660709155081824E-3</v>
      </c>
      <c r="K1265" s="44">
        <f>K539/SUMIFS(K$3:K$722,$B$3:$B$722,$B1265)*SUMIFS(Calculations!$E$3:$E$53,Calculations!$A$3:$A$53,$B1265)</f>
        <v>7.7945868790664213E-3</v>
      </c>
      <c r="L1265" s="44">
        <f>L539/SUMIFS(L$3:L$722,$B$3:$B$722,$B1265)*SUMIFS(Calculations!$E$3:$E$53,Calculations!$A$3:$A$53,$B1265)</f>
        <v>7.9332270971080102E-3</v>
      </c>
      <c r="M1265" s="44">
        <f>M539/SUMIFS(M$3:M$722,$B$3:$B$722,$B1265)*SUMIFS(Calculations!$E$3:$E$53,Calculations!$A$3:$A$53,$B1265)</f>
        <v>7.8869449901282866E-3</v>
      </c>
      <c r="N1265" s="44">
        <f>N539/SUMIFS(N$3:N$722,$B$3:$B$722,$B1265)*SUMIFS(Calculations!$E$3:$E$53,Calculations!$A$3:$A$53,$B1265)</f>
        <v>7.8411997666514733E-3</v>
      </c>
      <c r="O1265" s="44">
        <f>O539/SUMIFS(O$3:O$722,$B$3:$B$722,$B1265)*SUMIFS(Calculations!$E$3:$E$53,Calculations!$A$3:$A$53,$B1265)</f>
        <v>7.8580546271172173E-3</v>
      </c>
      <c r="P1265" s="44">
        <f>P539/SUMIFS(P$3:P$722,$B$3:$B$722,$B1265)*SUMIFS(Calculations!$E$3:$E$53,Calculations!$A$3:$A$53,$B1265)</f>
        <v>7.8750112410804242E-3</v>
      </c>
      <c r="Q1265" s="44">
        <f>Q539/SUMIFS(Q$3:Q$722,$B$3:$B$722,$B1265)*SUMIFS(Calculations!$E$3:$E$53,Calculations!$A$3:$A$53,$B1265)</f>
        <v>7.9236860389550242E-3</v>
      </c>
      <c r="R1265" s="44">
        <f>R539/SUMIFS(R$3:R$722,$B$3:$B$722,$B1265)*SUMIFS(Calculations!$E$3:$E$53,Calculations!$A$3:$A$53,$B1265)</f>
        <v>7.9725281654747741E-3</v>
      </c>
    </row>
    <row r="1266" spans="2:18" ht="15.75" customHeight="1">
      <c r="B1266" s="44" t="s">
        <v>118</v>
      </c>
      <c r="C1266" s="44" t="s">
        <v>522</v>
      </c>
      <c r="D1266" s="44" t="s">
        <v>537</v>
      </c>
      <c r="E1266" s="44" t="str">
        <f t="shared" si="308"/>
        <v>solar PV</v>
      </c>
      <c r="F1266" s="44">
        <f>F540/SUMIFS(F$3:F$722,$B$3:$B$722,$B1266)*SUMIFS(Calculations!$E$3:$E$53,Calculations!$A$3:$A$53,$B1266)</f>
        <v>2.2277939999713128E-3</v>
      </c>
      <c r="G1266" s="44">
        <f>G540/SUMIFS(G$3:G$722,$B$3:$B$722,$B1266)*SUMIFS(Calculations!$E$3:$E$53,Calculations!$A$3:$A$53,$B1266)</f>
        <v>2.6631022900949694E-3</v>
      </c>
      <c r="H1266" s="44">
        <f>H540/SUMIFS(H$3:H$722,$B$3:$B$722,$B1266)*SUMIFS(Calculations!$E$3:$E$53,Calculations!$A$3:$A$53,$B1266)</f>
        <v>3.0640327674041055E-3</v>
      </c>
      <c r="I1266" s="44">
        <f>I540/SUMIFS(I$3:I$722,$B$3:$B$722,$B1266)*SUMIFS(Calculations!$E$3:$E$53,Calculations!$A$3:$A$53,$B1266)</f>
        <v>3.6920816728518964E-3</v>
      </c>
      <c r="J1266" s="44">
        <f>J540/SUMIFS(J$3:J$722,$B$3:$B$722,$B1266)*SUMIFS(Calculations!$E$3:$E$53,Calculations!$A$3:$A$53,$B1266)</f>
        <v>4.3425607787834098E-3</v>
      </c>
      <c r="K1266" s="44">
        <f>K540/SUMIFS(K$3:K$722,$B$3:$B$722,$B1266)*SUMIFS(Calculations!$E$3:$E$53,Calculations!$A$3:$A$53,$B1266)</f>
        <v>5.1115930567800488E-3</v>
      </c>
      <c r="L1266" s="44">
        <f>L540/SUMIFS(L$3:L$722,$B$3:$B$722,$B1266)*SUMIFS(Calculations!$E$3:$E$53,Calculations!$A$3:$A$53,$B1266)</f>
        <v>5.9079824748937138E-3</v>
      </c>
      <c r="M1266" s="44">
        <f>M540/SUMIFS(M$3:M$722,$B$3:$B$722,$B1266)*SUMIFS(Calculations!$E$3:$E$53,Calculations!$A$3:$A$53,$B1266)</f>
        <v>6.762844990281308E-3</v>
      </c>
      <c r="N1266" s="44">
        <f>N540/SUMIFS(N$3:N$722,$B$3:$B$722,$B1266)*SUMIFS(Calculations!$E$3:$E$53,Calculations!$A$3:$A$53,$B1266)</f>
        <v>7.6077908961686988E-3</v>
      </c>
      <c r="O1266" s="44">
        <f>O540/SUMIFS(O$3:O$722,$B$3:$B$722,$B1266)*SUMIFS(Calculations!$E$3:$E$53,Calculations!$A$3:$A$53,$B1266)</f>
        <v>8.7097186007405614E-3</v>
      </c>
      <c r="P1266" s="44">
        <f>P540/SUMIFS(P$3:P$722,$B$3:$B$722,$B1266)*SUMIFS(Calculations!$E$3:$E$53,Calculations!$A$3:$A$53,$B1266)</f>
        <v>9.8182986889451315E-3</v>
      </c>
      <c r="Q1266" s="44">
        <f>Q540/SUMIFS(Q$3:Q$722,$B$3:$B$722,$B1266)*SUMIFS(Calculations!$E$3:$E$53,Calculations!$A$3:$A$53,$B1266)</f>
        <v>1.1128163646320169E-2</v>
      </c>
      <c r="R1266" s="44">
        <f>R540/SUMIFS(R$3:R$722,$B$3:$B$722,$B1266)*SUMIFS(Calculations!$E$3:$E$53,Calculations!$A$3:$A$53,$B1266)</f>
        <v>1.2442531507419847E-2</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3.5659817342524358E-4</v>
      </c>
      <c r="G1268" s="44">
        <f>G542/SUMIFS(G$3:G$722,$B$3:$B$722,$B1268)*SUMIFS(Calculations!$E$3:$E$53,Calculations!$A$3:$A$53,$B1268)</f>
        <v>3.419419176109376E-4</v>
      </c>
      <c r="H1268" s="44">
        <f>H542/SUMIFS(H$3:H$722,$B$3:$B$722,$B1268)*SUMIFS(Calculations!$E$3:$E$53,Calculations!$A$3:$A$53,$B1268)</f>
        <v>3.2844311739850567E-4</v>
      </c>
      <c r="I1268" s="44">
        <f>I542/SUMIFS(I$3:I$722,$B$3:$B$722,$B1268)*SUMIFS(Calculations!$E$3:$E$53,Calculations!$A$3:$A$53,$B1268)</f>
        <v>3.342086097914328E-4</v>
      </c>
      <c r="J1268" s="44">
        <f>J542/SUMIFS(J$3:J$722,$B$3:$B$722,$B1268)*SUMIFS(Calculations!$E$3:$E$53,Calculations!$A$3:$A$53,$B1268)</f>
        <v>3.4018001154768955E-4</v>
      </c>
      <c r="K1268" s="44">
        <f>K542/SUMIFS(K$3:K$722,$B$3:$B$722,$B1268)*SUMIFS(Calculations!$E$3:$E$53,Calculations!$A$3:$A$53,$B1268)</f>
        <v>3.4439755316597118E-4</v>
      </c>
      <c r="L1268" s="44">
        <f>L542/SUMIFS(L$3:L$722,$B$3:$B$722,$B1268)*SUMIFS(Calculations!$E$3:$E$53,Calculations!$A$3:$A$53,$B1268)</f>
        <v>3.4876512733854451E-4</v>
      </c>
      <c r="M1268" s="44">
        <f>M542/SUMIFS(M$3:M$722,$B$3:$B$722,$B1268)*SUMIFS(Calculations!$E$3:$E$53,Calculations!$A$3:$A$53,$B1268)</f>
        <v>3.4499968605285501E-4</v>
      </c>
      <c r="N1268" s="44">
        <f>N542/SUMIFS(N$3:N$722,$B$3:$B$722,$B1268)*SUMIFS(Calculations!$E$3:$E$53,Calculations!$A$3:$A$53,$B1268)</f>
        <v>3.4127792478606226E-4</v>
      </c>
      <c r="O1268" s="44">
        <f>O542/SUMIFS(O$3:O$722,$B$3:$B$722,$B1268)*SUMIFS(Calculations!$E$3:$E$53,Calculations!$A$3:$A$53,$B1268)</f>
        <v>3.405973732280517E-4</v>
      </c>
      <c r="P1268" s="44">
        <f>P542/SUMIFS(P$3:P$722,$B$3:$B$722,$B1268)*SUMIFS(Calculations!$E$3:$E$53,Calculations!$A$3:$A$53,$B1268)</f>
        <v>3.3991271315182627E-4</v>
      </c>
      <c r="Q1268" s="44">
        <f>Q542/SUMIFS(Q$3:Q$722,$B$3:$B$722,$B1268)*SUMIFS(Calculations!$E$3:$E$53,Calculations!$A$3:$A$53,$B1268)</f>
        <v>3.3879847333887912E-4</v>
      </c>
      <c r="R1268" s="44">
        <f>R542/SUMIFS(R$3:R$722,$B$3:$B$722,$B1268)*SUMIFS(Calculations!$E$3:$E$53,Calculations!$A$3:$A$53,$B1268)</f>
        <v>3.3768040311992295E-4</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0.99999999999999978</v>
      </c>
      <c r="G1449" s="70">
        <f t="shared" si="312"/>
        <v>1</v>
      </c>
      <c r="H1449" s="70">
        <f t="shared" si="312"/>
        <v>1</v>
      </c>
      <c r="I1449" s="70">
        <f t="shared" si="312"/>
        <v>0.99999999999999989</v>
      </c>
      <c r="J1449" s="70">
        <f t="shared" si="312"/>
        <v>0.99999999999999989</v>
      </c>
      <c r="K1449" s="70">
        <f t="shared" si="312"/>
        <v>0.99999999999999978</v>
      </c>
      <c r="L1449" s="70">
        <f t="shared" si="312"/>
        <v>0.99999999999999989</v>
      </c>
      <c r="M1449" s="70">
        <f t="shared" si="312"/>
        <v>0.99999999999999989</v>
      </c>
      <c r="N1449" s="70">
        <f t="shared" si="312"/>
        <v>1</v>
      </c>
      <c r="O1449" s="70">
        <f t="shared" si="312"/>
        <v>1</v>
      </c>
      <c r="P1449" s="70">
        <f t="shared" si="312"/>
        <v>1.0000000000000004</v>
      </c>
      <c r="Q1449" s="70">
        <f t="shared" si="312"/>
        <v>1.0000000000000002</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58203125" defaultRowHeight="15" customHeight="1"/>
  <cols>
    <col min="1" max="63" width="10"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WV</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ht="14.5">
      <c r="A7" s="1" t="s">
        <v>546</v>
      </c>
      <c r="B7" s="1" t="str">
        <f>About!B2</f>
        <v>WV</v>
      </c>
      <c r="C7" s="1">
        <f t="shared" ref="C7:AE7" si="3">SUMIFS(C$20:C$119,$B$20:$B$119,$B$7,$A$20:$A$119,$A$7)</f>
        <v>53623093</v>
      </c>
      <c r="D7" s="1">
        <f t="shared" si="3"/>
        <v>46961239</v>
      </c>
      <c r="E7" s="1">
        <f t="shared" si="3"/>
        <v>48340675</v>
      </c>
      <c r="F7" s="1">
        <f t="shared" si="3"/>
        <v>47209794</v>
      </c>
      <c r="G7" s="1">
        <f t="shared" si="3"/>
        <v>53640349</v>
      </c>
      <c r="H7" s="1">
        <f t="shared" si="3"/>
        <v>51295732</v>
      </c>
      <c r="I7" s="1">
        <f t="shared" si="3"/>
        <v>57895225</v>
      </c>
      <c r="J7" s="1">
        <f t="shared" si="3"/>
        <v>62109699</v>
      </c>
      <c r="K7" s="1">
        <f t="shared" si="3"/>
        <v>63208614</v>
      </c>
      <c r="L7" s="1">
        <f t="shared" si="3"/>
        <v>64171644</v>
      </c>
      <c r="M7" s="1">
        <f t="shared" si="3"/>
        <v>61816671</v>
      </c>
      <c r="N7" s="1">
        <f t="shared" si="3"/>
        <v>51213230</v>
      </c>
      <c r="O7" s="1">
        <f t="shared" si="3"/>
        <v>63078305</v>
      </c>
      <c r="P7" s="1">
        <f t="shared" si="3"/>
        <v>63204176</v>
      </c>
      <c r="Q7" s="1">
        <f t="shared" si="3"/>
        <v>57282012</v>
      </c>
      <c r="R7" s="1">
        <f t="shared" si="3"/>
        <v>60019313</v>
      </c>
      <c r="S7" s="1">
        <f t="shared" si="3"/>
        <v>57861944</v>
      </c>
      <c r="T7" s="1">
        <f t="shared" si="3"/>
        <v>56496420</v>
      </c>
      <c r="U7" s="1">
        <f t="shared" si="3"/>
        <v>53754335</v>
      </c>
      <c r="V7" s="1">
        <f t="shared" si="3"/>
        <v>37939920</v>
      </c>
      <c r="W7" s="1">
        <f t="shared" si="3"/>
        <v>46051539</v>
      </c>
      <c r="X7" s="1">
        <f t="shared" si="3"/>
        <v>45120516</v>
      </c>
      <c r="Y7" s="1">
        <f t="shared" si="3"/>
        <v>39904841</v>
      </c>
      <c r="Z7" s="1">
        <f t="shared" si="3"/>
        <v>41745993</v>
      </c>
      <c r="AA7" s="1">
        <f t="shared" si="3"/>
        <v>45541237</v>
      </c>
      <c r="AB7" s="1">
        <f t="shared" si="3"/>
        <v>37228456</v>
      </c>
      <c r="AC7" s="1">
        <f t="shared" si="3"/>
        <v>41385191</v>
      </c>
      <c r="AD7" s="1">
        <f t="shared" si="3"/>
        <v>39070517</v>
      </c>
      <c r="AE7" s="1">
        <f t="shared" si="3"/>
        <v>31217329</v>
      </c>
      <c r="AF7" s="48">
        <f>AVERAGE(U7:AE7)</f>
        <v>41723624.909090906</v>
      </c>
      <c r="AG7" s="48">
        <f t="shared" ref="AG7:BK7" si="4">AF7</f>
        <v>41723624.909090906</v>
      </c>
      <c r="AH7" s="48">
        <f t="shared" si="4"/>
        <v>41723624.909090906</v>
      </c>
      <c r="AI7" s="48">
        <f t="shared" si="4"/>
        <v>41723624.909090906</v>
      </c>
      <c r="AJ7" s="48">
        <f t="shared" si="4"/>
        <v>41723624.909090906</v>
      </c>
      <c r="AK7" s="48">
        <f t="shared" si="4"/>
        <v>41723624.909090906</v>
      </c>
      <c r="AL7" s="48">
        <f t="shared" si="4"/>
        <v>41723624.909090906</v>
      </c>
      <c r="AM7" s="48">
        <f t="shared" si="4"/>
        <v>41723624.909090906</v>
      </c>
      <c r="AN7" s="48">
        <f t="shared" si="4"/>
        <v>41723624.909090906</v>
      </c>
      <c r="AO7" s="48">
        <f t="shared" si="4"/>
        <v>41723624.909090906</v>
      </c>
      <c r="AP7" s="48">
        <f t="shared" si="4"/>
        <v>41723624.909090906</v>
      </c>
      <c r="AQ7" s="48">
        <f t="shared" si="4"/>
        <v>41723624.909090906</v>
      </c>
      <c r="AR7" s="48">
        <f t="shared" si="4"/>
        <v>41723624.909090906</v>
      </c>
      <c r="AS7" s="48">
        <f t="shared" si="4"/>
        <v>41723624.909090906</v>
      </c>
      <c r="AT7" s="48">
        <f t="shared" si="4"/>
        <v>41723624.909090906</v>
      </c>
      <c r="AU7" s="48">
        <f t="shared" si="4"/>
        <v>41723624.909090906</v>
      </c>
      <c r="AV7" s="48">
        <f t="shared" si="4"/>
        <v>41723624.909090906</v>
      </c>
      <c r="AW7" s="48">
        <f t="shared" si="4"/>
        <v>41723624.909090906</v>
      </c>
      <c r="AX7" s="48">
        <f t="shared" si="4"/>
        <v>41723624.909090906</v>
      </c>
      <c r="AY7" s="48">
        <f t="shared" si="4"/>
        <v>41723624.909090906</v>
      </c>
      <c r="AZ7" s="48">
        <f t="shared" si="4"/>
        <v>41723624.909090906</v>
      </c>
      <c r="BA7" s="48">
        <f t="shared" si="4"/>
        <v>41723624.909090906</v>
      </c>
      <c r="BB7" s="48">
        <f t="shared" si="4"/>
        <v>41723624.909090906</v>
      </c>
      <c r="BC7" s="48">
        <f t="shared" si="4"/>
        <v>41723624.909090906</v>
      </c>
      <c r="BD7" s="48">
        <f t="shared" si="4"/>
        <v>41723624.909090906</v>
      </c>
      <c r="BE7" s="48">
        <f t="shared" si="4"/>
        <v>41723624.909090906</v>
      </c>
      <c r="BF7" s="48">
        <f t="shared" si="4"/>
        <v>41723624.909090906</v>
      </c>
      <c r="BG7" s="48">
        <f t="shared" si="4"/>
        <v>41723624.909090906</v>
      </c>
      <c r="BH7" s="48">
        <f t="shared" si="4"/>
        <v>41723624.909090906</v>
      </c>
      <c r="BI7" s="48">
        <f t="shared" si="4"/>
        <v>41723624.909090906</v>
      </c>
      <c r="BJ7" s="48">
        <f t="shared" si="4"/>
        <v>41723624.909090906</v>
      </c>
      <c r="BK7" s="48">
        <f t="shared" si="4"/>
        <v>41723624.909090906</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4.5">
      <c r="A10" s="1" t="s">
        <v>545</v>
      </c>
      <c r="B10" s="49" t="str">
        <f>About!B2</f>
        <v>WV</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0</v>
      </c>
      <c r="Q10" s="29">
        <f t="shared" si="6"/>
        <v>0</v>
      </c>
      <c r="R10" s="29">
        <f t="shared" si="6"/>
        <v>0</v>
      </c>
      <c r="S10" s="29">
        <f t="shared" si="6"/>
        <v>0</v>
      </c>
      <c r="T10" s="29">
        <f t="shared" si="6"/>
        <v>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397</v>
      </c>
      <c r="AE10" s="29">
        <f t="shared" si="6"/>
        <v>8784</v>
      </c>
      <c r="AF10" s="35">
        <f t="shared" ref="AF10:BK10" si="7">AE10</f>
        <v>8784</v>
      </c>
      <c r="AG10" s="35">
        <f t="shared" si="7"/>
        <v>8784</v>
      </c>
      <c r="AH10" s="35">
        <f t="shared" si="7"/>
        <v>8784</v>
      </c>
      <c r="AI10" s="35">
        <f t="shared" si="7"/>
        <v>8784</v>
      </c>
      <c r="AJ10" s="35">
        <f t="shared" si="7"/>
        <v>8784</v>
      </c>
      <c r="AK10" s="35">
        <f t="shared" si="7"/>
        <v>8784</v>
      </c>
      <c r="AL10" s="35">
        <f t="shared" si="7"/>
        <v>8784</v>
      </c>
      <c r="AM10" s="35">
        <f t="shared" si="7"/>
        <v>8784</v>
      </c>
      <c r="AN10" s="35">
        <f t="shared" si="7"/>
        <v>8784</v>
      </c>
      <c r="AO10" s="35">
        <f t="shared" si="7"/>
        <v>8784</v>
      </c>
      <c r="AP10" s="35">
        <f t="shared" si="7"/>
        <v>8784</v>
      </c>
      <c r="AQ10" s="35">
        <f t="shared" si="7"/>
        <v>8784</v>
      </c>
      <c r="AR10" s="35">
        <f t="shared" si="7"/>
        <v>8784</v>
      </c>
      <c r="AS10" s="35">
        <f t="shared" si="7"/>
        <v>8784</v>
      </c>
      <c r="AT10" s="35">
        <f t="shared" si="7"/>
        <v>8784</v>
      </c>
      <c r="AU10" s="35">
        <f t="shared" si="7"/>
        <v>8784</v>
      </c>
      <c r="AV10" s="35">
        <f t="shared" si="7"/>
        <v>8784</v>
      </c>
      <c r="AW10" s="35">
        <f t="shared" si="7"/>
        <v>8784</v>
      </c>
      <c r="AX10" s="35">
        <f t="shared" si="7"/>
        <v>8784</v>
      </c>
      <c r="AY10" s="35">
        <f t="shared" si="7"/>
        <v>8784</v>
      </c>
      <c r="AZ10" s="35">
        <f t="shared" si="7"/>
        <v>8784</v>
      </c>
      <c r="BA10" s="35">
        <f t="shared" si="7"/>
        <v>8784</v>
      </c>
      <c r="BB10" s="35">
        <f t="shared" si="7"/>
        <v>8784</v>
      </c>
      <c r="BC10" s="35">
        <f t="shared" si="7"/>
        <v>8784</v>
      </c>
      <c r="BD10" s="35">
        <f t="shared" si="7"/>
        <v>8784</v>
      </c>
      <c r="BE10" s="35">
        <f t="shared" si="7"/>
        <v>8784</v>
      </c>
      <c r="BF10" s="35">
        <f t="shared" si="7"/>
        <v>8784</v>
      </c>
      <c r="BG10" s="35">
        <f t="shared" si="7"/>
        <v>8784</v>
      </c>
      <c r="BH10" s="35">
        <f t="shared" si="7"/>
        <v>8784</v>
      </c>
      <c r="BI10" s="35">
        <f t="shared" si="7"/>
        <v>8784</v>
      </c>
      <c r="BJ10" s="35">
        <f t="shared" si="7"/>
        <v>8784</v>
      </c>
      <c r="BK10" s="35">
        <f t="shared" si="7"/>
        <v>8784</v>
      </c>
    </row>
    <row r="11" spans="1:63" ht="14.5">
      <c r="A11" s="1" t="s">
        <v>546</v>
      </c>
      <c r="B11" s="29" t="str">
        <f>About!B2</f>
        <v>WV</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0</v>
      </c>
      <c r="S11" s="29">
        <f t="shared" si="8"/>
        <v>0</v>
      </c>
      <c r="T11" s="29">
        <f t="shared" si="8"/>
        <v>0</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10</v>
      </c>
      <c r="AE11" s="29">
        <f t="shared" si="8"/>
        <v>246</v>
      </c>
      <c r="AF11" s="35">
        <f>AVERAGE(W11:AE11)</f>
        <v>28.444444444444443</v>
      </c>
      <c r="AG11" s="35">
        <f t="shared" ref="AG11:BK11" si="9">AF11</f>
        <v>28.444444444444443</v>
      </c>
      <c r="AH11" s="35">
        <f t="shared" si="9"/>
        <v>28.444444444444443</v>
      </c>
      <c r="AI11" s="35">
        <f t="shared" si="9"/>
        <v>28.444444444444443</v>
      </c>
      <c r="AJ11" s="35">
        <f t="shared" si="9"/>
        <v>28.444444444444443</v>
      </c>
      <c r="AK11" s="35">
        <f t="shared" si="9"/>
        <v>28.444444444444443</v>
      </c>
      <c r="AL11" s="35">
        <f t="shared" si="9"/>
        <v>28.444444444444443</v>
      </c>
      <c r="AM11" s="35">
        <f t="shared" si="9"/>
        <v>28.444444444444443</v>
      </c>
      <c r="AN11" s="35">
        <f t="shared" si="9"/>
        <v>28.444444444444443</v>
      </c>
      <c r="AO11" s="35">
        <f t="shared" si="9"/>
        <v>28.444444444444443</v>
      </c>
      <c r="AP11" s="35">
        <f t="shared" si="9"/>
        <v>28.444444444444443</v>
      </c>
      <c r="AQ11" s="35">
        <f t="shared" si="9"/>
        <v>28.444444444444443</v>
      </c>
      <c r="AR11" s="35">
        <f t="shared" si="9"/>
        <v>28.444444444444443</v>
      </c>
      <c r="AS11" s="35">
        <f t="shared" si="9"/>
        <v>28.444444444444443</v>
      </c>
      <c r="AT11" s="35">
        <f t="shared" si="9"/>
        <v>28.444444444444443</v>
      </c>
      <c r="AU11" s="35">
        <f t="shared" si="9"/>
        <v>28.444444444444443</v>
      </c>
      <c r="AV11" s="35">
        <f t="shared" si="9"/>
        <v>28.444444444444443</v>
      </c>
      <c r="AW11" s="35">
        <f t="shared" si="9"/>
        <v>28.444444444444443</v>
      </c>
      <c r="AX11" s="35">
        <f t="shared" si="9"/>
        <v>28.444444444444443</v>
      </c>
      <c r="AY11" s="35">
        <f t="shared" si="9"/>
        <v>28.444444444444443</v>
      </c>
      <c r="AZ11" s="35">
        <f t="shared" si="9"/>
        <v>28.444444444444443</v>
      </c>
      <c r="BA11" s="35">
        <f t="shared" si="9"/>
        <v>28.444444444444443</v>
      </c>
      <c r="BB11" s="35">
        <f t="shared" si="9"/>
        <v>28.444444444444443</v>
      </c>
      <c r="BC11" s="35">
        <f t="shared" si="9"/>
        <v>28.444444444444443</v>
      </c>
      <c r="BD11" s="35">
        <f t="shared" si="9"/>
        <v>28.444444444444443</v>
      </c>
      <c r="BE11" s="35">
        <f t="shared" si="9"/>
        <v>28.444444444444443</v>
      </c>
      <c r="BF11" s="35">
        <f t="shared" si="9"/>
        <v>28.444444444444443</v>
      </c>
      <c r="BG11" s="35">
        <f t="shared" si="9"/>
        <v>28.444444444444443</v>
      </c>
      <c r="BH11" s="35">
        <f t="shared" si="9"/>
        <v>28.444444444444443</v>
      </c>
      <c r="BI11" s="35">
        <f t="shared" si="9"/>
        <v>28.444444444444443</v>
      </c>
      <c r="BJ11" s="35">
        <f t="shared" si="9"/>
        <v>28.444444444444443</v>
      </c>
      <c r="BK11" s="35">
        <f t="shared" si="9"/>
        <v>28.444444444444443</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WV</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387</v>
      </c>
      <c r="AE14" s="29">
        <f t="shared" si="11"/>
        <v>8538</v>
      </c>
      <c r="AF14" s="29">
        <f t="shared" si="11"/>
        <v>8755.5555555555547</v>
      </c>
      <c r="AG14" s="29">
        <f t="shared" si="11"/>
        <v>8755.5555555555547</v>
      </c>
      <c r="AH14" s="29">
        <f t="shared" si="11"/>
        <v>8755.5555555555547</v>
      </c>
      <c r="AI14" s="29">
        <f t="shared" ref="AI14:BK14" si="12">IF(AI10&gt;AI11,AI10-AI11,0)</f>
        <v>8755.5555555555547</v>
      </c>
      <c r="AJ14" s="29">
        <f t="shared" si="12"/>
        <v>8755.5555555555547</v>
      </c>
      <c r="AK14" s="29">
        <f t="shared" si="12"/>
        <v>8755.5555555555547</v>
      </c>
      <c r="AL14" s="29">
        <f t="shared" si="12"/>
        <v>8755.5555555555547</v>
      </c>
      <c r="AM14" s="29">
        <f t="shared" si="12"/>
        <v>8755.5555555555547</v>
      </c>
      <c r="AN14" s="29">
        <f t="shared" si="12"/>
        <v>8755.5555555555547</v>
      </c>
      <c r="AO14" s="29">
        <f t="shared" si="12"/>
        <v>8755.5555555555547</v>
      </c>
      <c r="AP14" s="29">
        <f t="shared" si="12"/>
        <v>8755.5555555555547</v>
      </c>
      <c r="AQ14" s="29">
        <f t="shared" si="12"/>
        <v>8755.5555555555547</v>
      </c>
      <c r="AR14" s="29">
        <f t="shared" si="12"/>
        <v>8755.5555555555547</v>
      </c>
      <c r="AS14" s="29">
        <f t="shared" si="12"/>
        <v>8755.5555555555547</v>
      </c>
      <c r="AT14" s="29">
        <f t="shared" si="12"/>
        <v>8755.5555555555547</v>
      </c>
      <c r="AU14" s="29">
        <f t="shared" si="12"/>
        <v>8755.5555555555547</v>
      </c>
      <c r="AV14" s="29">
        <f t="shared" si="12"/>
        <v>8755.5555555555547</v>
      </c>
      <c r="AW14" s="29">
        <f t="shared" si="12"/>
        <v>8755.5555555555547</v>
      </c>
      <c r="AX14" s="29">
        <f t="shared" si="12"/>
        <v>8755.5555555555547</v>
      </c>
      <c r="AY14" s="29">
        <f t="shared" si="12"/>
        <v>8755.5555555555547</v>
      </c>
      <c r="AZ14" s="29">
        <f t="shared" si="12"/>
        <v>8755.5555555555547</v>
      </c>
      <c r="BA14" s="29">
        <f t="shared" si="12"/>
        <v>8755.5555555555547</v>
      </c>
      <c r="BB14" s="29">
        <f t="shared" si="12"/>
        <v>8755.5555555555547</v>
      </c>
      <c r="BC14" s="29">
        <f t="shared" si="12"/>
        <v>8755.5555555555547</v>
      </c>
      <c r="BD14" s="29">
        <f t="shared" si="12"/>
        <v>8755.5555555555547</v>
      </c>
      <c r="BE14" s="29">
        <f t="shared" si="12"/>
        <v>8755.5555555555547</v>
      </c>
      <c r="BF14" s="29">
        <f t="shared" si="12"/>
        <v>8755.5555555555547</v>
      </c>
      <c r="BG14" s="29">
        <f t="shared" si="12"/>
        <v>8755.5555555555547</v>
      </c>
      <c r="BH14" s="29">
        <f t="shared" si="12"/>
        <v>8755.5555555555547</v>
      </c>
      <c r="BI14" s="29">
        <f t="shared" si="12"/>
        <v>8755.5555555555547</v>
      </c>
      <c r="BJ14" s="29">
        <f t="shared" si="12"/>
        <v>8755.5555555555547</v>
      </c>
      <c r="BK14" s="29">
        <f t="shared" si="12"/>
        <v>8755.5555555555547</v>
      </c>
    </row>
    <row r="15" spans="1:63" ht="14.5">
      <c r="A15" s="1" t="s">
        <v>546</v>
      </c>
      <c r="B15" s="29" t="str">
        <f>About!B2</f>
        <v>WV</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58203125" defaultRowHeight="15" customHeight="1"/>
  <cols>
    <col min="1" max="1" width="44.33203125" customWidth="1"/>
    <col min="3" max="3" width="19.08203125" customWidth="1"/>
    <col min="5" max="5" width="22.08203125" customWidth="1"/>
    <col min="6" max="6" width="18.08203125" customWidth="1"/>
    <col min="10" max="10" width="21.58203125"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56" t="s">
        <v>550</v>
      </c>
      <c r="B3" s="157"/>
      <c r="C3" s="157"/>
      <c r="D3" s="15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6"/>
  <sheetViews>
    <sheetView tabSelected="1" workbookViewId="0">
      <selection activeCell="B3" sqref="B3"/>
    </sheetView>
  </sheetViews>
  <sheetFormatPr defaultColWidth="11" defaultRowHeight="14"/>
  <cols>
    <col min="1" max="1" width="42.08203125" customWidth="1"/>
    <col min="2" max="2" width="22.33203125" bestFit="1" customWidth="1"/>
    <col min="3" max="3" width="18.08203125" bestFit="1" customWidth="1"/>
    <col min="4" max="4" width="16" bestFit="1" customWidth="1"/>
    <col min="5" max="5" width="16.33203125" bestFit="1" customWidth="1"/>
    <col min="6" max="6" width="23.58203125" customWidth="1"/>
    <col min="7" max="7" width="19.33203125" customWidth="1"/>
  </cols>
  <sheetData>
    <row r="1" spans="1:12" ht="14.5" thickBot="1">
      <c r="A1" s="133" t="str">
        <f>About!$B$1</f>
        <v>West Virginia</v>
      </c>
      <c r="B1" s="135"/>
      <c r="C1" s="94"/>
      <c r="D1" s="94" t="s">
        <v>4640</v>
      </c>
      <c r="E1" s="94"/>
      <c r="F1" s="94"/>
      <c r="G1" s="94"/>
      <c r="H1" s="94"/>
      <c r="I1" s="94"/>
      <c r="J1" s="94"/>
      <c r="K1" s="94"/>
      <c r="L1" s="94"/>
    </row>
    <row r="2" spans="1:12">
      <c r="A2" s="135" t="s">
        <v>4670</v>
      </c>
      <c r="B2" s="150">
        <f>SUMIFS('Source-Disposition'!D:D,'Source-Disposition'!A:A,$A$1,'Source-Disposition'!$B:$B,$D$2)+SUMIFS('Source-Disposition'!D:D,'Source-Disposition'!A:A,$A$1,'Source-Disposition'!$B:$B,$D$1)</f>
        <v>0</v>
      </c>
      <c r="C2" s="94"/>
      <c r="D2" s="94" t="s">
        <v>4641</v>
      </c>
      <c r="F2" s="94"/>
      <c r="G2" s="94"/>
      <c r="H2" s="94"/>
      <c r="I2" s="94"/>
      <c r="J2" s="94"/>
      <c r="K2" s="94"/>
      <c r="L2" s="94"/>
    </row>
    <row r="3" spans="1:12" s="94" customFormat="1" ht="14.5" thickBot="1">
      <c r="A3" s="135" t="s">
        <v>4673</v>
      </c>
      <c r="B3" s="150">
        <v>0</v>
      </c>
      <c r="C3" s="132" t="s">
        <v>4675</v>
      </c>
    </row>
    <row r="4" spans="1:12" s="94" customFormat="1" ht="14.5" thickBot="1">
      <c r="A4" s="135" t="s">
        <v>4674</v>
      </c>
      <c r="B4" s="153">
        <f>SUM(B2:B3)</f>
        <v>0</v>
      </c>
      <c r="C4" s="151" t="b">
        <f>SUM('EIaE-BIE'!B2:B17)='Manual Adjustment'!B4</f>
        <v>1</v>
      </c>
    </row>
    <row r="5" spans="1:12">
      <c r="A5" s="94"/>
      <c r="B5" s="94"/>
      <c r="C5" s="94"/>
      <c r="D5" s="94"/>
      <c r="F5" s="94"/>
      <c r="G5" s="94"/>
      <c r="H5" s="94"/>
      <c r="I5" s="94"/>
      <c r="J5" s="94"/>
      <c r="K5" s="94"/>
      <c r="L5" s="94"/>
    </row>
    <row r="6" spans="1:12">
      <c r="A6" s="141" t="s">
        <v>571</v>
      </c>
      <c r="B6" s="142"/>
      <c r="C6" s="143"/>
      <c r="D6" s="94"/>
      <c r="E6" s="94"/>
      <c r="F6" s="94"/>
      <c r="G6" s="94"/>
      <c r="H6" s="94"/>
      <c r="I6" s="94"/>
      <c r="J6" s="94"/>
      <c r="K6" s="94"/>
      <c r="L6" s="94"/>
    </row>
    <row r="7" spans="1:12">
      <c r="A7" s="77" t="s">
        <v>572</v>
      </c>
      <c r="B7" s="78"/>
      <c r="C7" s="79"/>
      <c r="D7" s="75"/>
      <c r="E7" s="94"/>
      <c r="F7" s="94"/>
      <c r="G7" s="94"/>
      <c r="H7" s="94"/>
      <c r="I7" s="94"/>
      <c r="J7" s="94"/>
      <c r="K7" s="94"/>
      <c r="L7" s="94"/>
    </row>
    <row r="8" spans="1:12">
      <c r="A8" s="80"/>
      <c r="B8" s="81" t="s">
        <v>531</v>
      </c>
      <c r="C8" s="82" t="s">
        <v>573</v>
      </c>
      <c r="D8" s="75"/>
      <c r="E8" s="94"/>
      <c r="F8" s="94"/>
      <c r="G8" s="94"/>
      <c r="H8" s="94"/>
      <c r="I8" s="94"/>
      <c r="J8" s="94"/>
      <c r="K8" s="94"/>
      <c r="L8" s="94"/>
    </row>
    <row r="9" spans="1:12" ht="15" customHeight="1">
      <c r="A9" s="83" t="s">
        <v>487</v>
      </c>
      <c r="B9" s="84">
        <f>(Calculations!B60*'EIA SEDS data'!AF$6)+('EIA SEDS data'!AF$10*IF(About!$N$12,Calculations!$B114,Calculations!B92))</f>
        <v>726.83458803117344</v>
      </c>
      <c r="C9" s="130">
        <f>B9/SUM($B$9:$B$24)</f>
        <v>8.2745285522674544E-2</v>
      </c>
      <c r="D9" s="131">
        <f>SUM(C9:C24)</f>
        <v>0.99999999999999967</v>
      </c>
      <c r="E9" s="94"/>
      <c r="F9" s="94"/>
      <c r="G9" s="94"/>
      <c r="H9" s="94"/>
      <c r="I9" s="94"/>
      <c r="J9" s="94"/>
      <c r="K9" s="94"/>
      <c r="L9" s="94"/>
    </row>
    <row r="10" spans="1:12" ht="15" customHeight="1">
      <c r="A10" s="83" t="s">
        <v>488</v>
      </c>
      <c r="B10" s="84">
        <f>(Calculations!B61*'EIA SEDS data'!AF$6)+('EIA SEDS data'!AF$10*IF(About!$N$12,Calculations!$B115,Calculations!B93))</f>
        <v>810.74237771696119</v>
      </c>
      <c r="C10" s="130">
        <f t="shared" ref="C10:C24" si="0">B10/SUM($B$9:$B$24)</f>
        <v>9.2297629521511937E-2</v>
      </c>
      <c r="E10" s="94"/>
      <c r="F10" s="94"/>
      <c r="G10" s="94"/>
      <c r="H10" s="94"/>
      <c r="I10" s="94"/>
      <c r="J10" s="94"/>
      <c r="K10" s="94"/>
      <c r="L10" s="94"/>
    </row>
    <row r="11" spans="1:12" ht="15" customHeight="1">
      <c r="A11" s="83" t="s">
        <v>489</v>
      </c>
      <c r="B11" s="84">
        <f>(Calculations!B62*'EIA SEDS data'!AF$6)+('EIA SEDS data'!AF$10*IF(About!$N$12,Calculations!$B116,Calculations!B94))</f>
        <v>1283.4884113975279</v>
      </c>
      <c r="C11" s="130">
        <f t="shared" si="0"/>
        <v>0.14611662242685877</v>
      </c>
      <c r="E11" s="94"/>
      <c r="F11" s="94"/>
      <c r="G11" s="94"/>
      <c r="H11" s="94"/>
      <c r="I11" s="94"/>
      <c r="J11" s="94"/>
      <c r="K11" s="94"/>
      <c r="L11" s="94"/>
    </row>
    <row r="12" spans="1:12" ht="15" customHeight="1">
      <c r="A12" s="83" t="s">
        <v>490</v>
      </c>
      <c r="B12" s="84">
        <f>(Calculations!B63*'EIA SEDS data'!AF$6)+('EIA SEDS data'!AF$10*IF(About!$N$12,Calculations!$B117,Calculations!B95))</f>
        <v>5371.4529668526538</v>
      </c>
      <c r="C12" s="130">
        <f t="shared" si="0"/>
        <v>0.6115042084304021</v>
      </c>
      <c r="F12" s="94"/>
      <c r="G12" s="128"/>
      <c r="H12" s="129"/>
    </row>
    <row r="13" spans="1:12" ht="15" customHeight="1">
      <c r="A13" s="83" t="s">
        <v>491</v>
      </c>
      <c r="B13" s="84">
        <f>(Calculations!B64*'EIA SEDS data'!AF$6)+('EIA SEDS data'!AF$10*IF(About!$N$12,Calculations!$B118,Calculations!B96))</f>
        <v>411.97121938656807</v>
      </c>
      <c r="C13" s="130">
        <f t="shared" si="0"/>
        <v>4.6900184356394342E-2</v>
      </c>
      <c r="F13" s="94"/>
      <c r="G13" s="128"/>
      <c r="H13" s="129"/>
    </row>
    <row r="14" spans="1:12" ht="15" customHeight="1">
      <c r="A14" s="83" t="s">
        <v>492</v>
      </c>
      <c r="B14" s="84">
        <f>(Calculations!B65*'EIA SEDS data'!AF$6)+('EIA SEDS data'!AF$10*IF(About!$N$12,Calculations!$B119,Calculations!B97))</f>
        <v>44.754402734625749</v>
      </c>
      <c r="C14" s="130">
        <f t="shared" si="0"/>
        <v>5.0949912038508348E-3</v>
      </c>
      <c r="F14" s="94"/>
      <c r="G14" s="128"/>
      <c r="H14" s="129"/>
    </row>
    <row r="15" spans="1:12" ht="15" customHeight="1">
      <c r="A15" s="83" t="s">
        <v>493</v>
      </c>
      <c r="B15" s="84">
        <f>(Calculations!B66*'EIA SEDS data'!AF$6)+('EIA SEDS data'!AF$10*IF(About!$N$12,Calculations!$B120,Calculations!B98))</f>
        <v>0</v>
      </c>
      <c r="C15" s="130">
        <f t="shared" si="0"/>
        <v>0</v>
      </c>
      <c r="F15" s="94"/>
      <c r="G15" s="128"/>
      <c r="H15" s="129"/>
    </row>
    <row r="16" spans="1:12" ht="15" customHeight="1">
      <c r="A16" s="83" t="s">
        <v>494</v>
      </c>
      <c r="B16" s="84">
        <f>(Calculations!B67*'EIA SEDS data'!AF$6)+('EIA SEDS data'!AF$10*IF(About!$N$12,Calculations!$B121,Calculations!B99))</f>
        <v>50.628220679808855</v>
      </c>
      <c r="C16" s="130">
        <f t="shared" si="0"/>
        <v>5.7636863251148487E-3</v>
      </c>
      <c r="F16" s="94"/>
      <c r="G16" s="128"/>
      <c r="H16" s="129"/>
    </row>
    <row r="17" spans="1:8" ht="15" customHeight="1">
      <c r="A17" s="83" t="s">
        <v>495</v>
      </c>
      <c r="B17" s="84">
        <f>(Calculations!B68*'EIA SEDS data'!AF$6)+('EIA SEDS data'!AF$10*IF(About!$N$12,Calculations!$B122,Calculations!B100))</f>
        <v>50.628220679808855</v>
      </c>
      <c r="C17" s="130">
        <f t="shared" si="0"/>
        <v>5.7636863251148487E-3</v>
      </c>
      <c r="F17" s="94"/>
      <c r="G17" s="128"/>
      <c r="H17" s="129"/>
    </row>
    <row r="18" spans="1:8" ht="15" customHeight="1">
      <c r="A18" s="83" t="s">
        <v>496</v>
      </c>
      <c r="B18" s="84">
        <f>(Calculations!B69*'EIA SEDS data'!AF$6)+('EIA SEDS data'!AF$10*IF(About!$N$12,Calculations!$B123,Calculations!B101))</f>
        <v>33.499592520873662</v>
      </c>
      <c r="C18" s="130">
        <f t="shared" si="0"/>
        <v>3.8137058880776012E-3</v>
      </c>
      <c r="F18" s="94"/>
      <c r="G18" s="128"/>
      <c r="H18" s="129"/>
    </row>
    <row r="19" spans="1:8" ht="15" customHeight="1">
      <c r="A19" s="83" t="s">
        <v>497</v>
      </c>
      <c r="B19" s="84">
        <f>(Calculations!B70*'EIA SEDS data'!AF$6)+('EIA SEDS data'!AF$10*IF(About!$N$12,Calculations!$B124,Calculations!B102))</f>
        <v>0</v>
      </c>
      <c r="C19" s="130">
        <f t="shared" si="0"/>
        <v>0</v>
      </c>
      <c r="F19" s="94"/>
      <c r="G19" s="128"/>
      <c r="H19" s="129"/>
    </row>
    <row r="20" spans="1:8" ht="15" customHeight="1">
      <c r="A20" s="83" t="s">
        <v>498</v>
      </c>
      <c r="B20" s="84">
        <f>(Calculations!B71*'EIA SEDS data'!AF$6)+('EIA SEDS data'!AF$10*IF(About!$N$12,Calculations!$B125,Calculations!B103))</f>
        <v>0</v>
      </c>
      <c r="C20" s="130">
        <f t="shared" si="0"/>
        <v>0</v>
      </c>
      <c r="F20" s="94"/>
      <c r="G20" s="128"/>
      <c r="H20" s="129"/>
    </row>
    <row r="21" spans="1:8" ht="15" customHeight="1">
      <c r="A21" s="83" t="s">
        <v>499</v>
      </c>
      <c r="B21" s="84">
        <f>(Calculations!B72*'EIA SEDS data'!AF$6)+('EIA SEDS data'!AF$10*IF(About!$N$12,Calculations!$B126,Calculations!B104))</f>
        <v>0</v>
      </c>
      <c r="C21" s="130">
        <f t="shared" si="0"/>
        <v>0</v>
      </c>
      <c r="F21" s="94"/>
      <c r="G21" s="128"/>
      <c r="H21" s="129"/>
    </row>
    <row r="22" spans="1:8" ht="15" customHeight="1">
      <c r="A22" s="83" t="s">
        <v>500</v>
      </c>
      <c r="B22" s="84">
        <f>(Calculations!B73*'EIA SEDS data'!AF$6)+('EIA SEDS data'!AF$10*IF(About!$N$12,Calculations!$B127,Calculations!B105))</f>
        <v>0</v>
      </c>
      <c r="C22" s="130">
        <f t="shared" si="0"/>
        <v>0</v>
      </c>
      <c r="F22" s="94"/>
      <c r="G22" s="128"/>
      <c r="H22" s="129"/>
    </row>
    <row r="23" spans="1:8" ht="15" customHeight="1">
      <c r="A23" s="83" t="s">
        <v>501</v>
      </c>
      <c r="B23" s="84">
        <f>(Calculations!B74*'EIA SEDS data'!AF$6)+('EIA SEDS data'!AF$10*IF(About!$N$12,Calculations!$B128,Calculations!B106))</f>
        <v>0</v>
      </c>
      <c r="C23" s="130">
        <f t="shared" si="0"/>
        <v>0</v>
      </c>
      <c r="F23" s="94"/>
      <c r="G23" s="128"/>
      <c r="H23" s="129"/>
    </row>
    <row r="24" spans="1:8" ht="15" customHeight="1">
      <c r="A24" s="83" t="s">
        <v>502</v>
      </c>
      <c r="B24" s="84">
        <f>(Calculations!B75*'EIA SEDS data'!AF$6)+('EIA SEDS data'!AF$10*IF(About!$N$12,Calculations!$B129,Calculations!B107))</f>
        <v>0</v>
      </c>
      <c r="C24" s="130">
        <f t="shared" si="0"/>
        <v>0</v>
      </c>
      <c r="F24" s="94"/>
      <c r="G24" s="128"/>
      <c r="H24" s="129"/>
    </row>
    <row r="25" spans="1:8">
      <c r="A25" s="80"/>
      <c r="B25" s="76"/>
      <c r="C25" s="85"/>
      <c r="F25" s="94"/>
      <c r="G25" s="128"/>
      <c r="H25" s="129"/>
    </row>
    <row r="26" spans="1:8">
      <c r="A26" s="77" t="s">
        <v>574</v>
      </c>
      <c r="B26" s="86" t="s">
        <v>575</v>
      </c>
      <c r="C26" s="87"/>
      <c r="F26" s="94"/>
      <c r="G26" s="128"/>
      <c r="H26" s="129"/>
    </row>
    <row r="27" spans="1:8" ht="15" customHeight="1">
      <c r="A27" s="83" t="s">
        <v>487</v>
      </c>
      <c r="B27" s="88">
        <f>IF($B$4&gt;0, $B$4*C9, 0)</f>
        <v>0</v>
      </c>
      <c r="C27" s="89"/>
      <c r="F27" s="94"/>
      <c r="G27" s="128"/>
      <c r="H27" s="129"/>
    </row>
    <row r="28" spans="1:8" ht="15" customHeight="1">
      <c r="A28" s="83" t="s">
        <v>488</v>
      </c>
      <c r="B28" s="88">
        <f t="shared" ref="B28:B42" si="1">IF($B$4&gt;0, $B$4*C10, 0)</f>
        <v>0</v>
      </c>
      <c r="C28" s="89"/>
      <c r="F28" s="94"/>
      <c r="G28" s="128"/>
      <c r="H28" s="129"/>
    </row>
    <row r="29" spans="1:8" ht="15" customHeight="1">
      <c r="A29" s="83" t="s">
        <v>489</v>
      </c>
      <c r="B29" s="88">
        <f t="shared" si="1"/>
        <v>0</v>
      </c>
      <c r="C29" s="89"/>
      <c r="F29" s="94"/>
      <c r="G29" s="128"/>
      <c r="H29" s="129"/>
    </row>
    <row r="30" spans="1:8" ht="15" customHeight="1">
      <c r="A30" s="83" t="s">
        <v>490</v>
      </c>
      <c r="B30" s="88">
        <f t="shared" si="1"/>
        <v>0</v>
      </c>
      <c r="C30" s="89"/>
      <c r="F30" s="94"/>
      <c r="G30" s="128"/>
      <c r="H30" s="129"/>
    </row>
    <row r="31" spans="1:8" ht="15" customHeight="1">
      <c r="A31" s="83" t="s">
        <v>491</v>
      </c>
      <c r="B31" s="88">
        <f t="shared" si="1"/>
        <v>0</v>
      </c>
      <c r="C31" s="89"/>
      <c r="F31" s="94"/>
      <c r="G31" s="128"/>
      <c r="H31" s="129"/>
    </row>
    <row r="32" spans="1:8" ht="15" customHeight="1">
      <c r="A32" s="83" t="s">
        <v>492</v>
      </c>
      <c r="B32" s="88">
        <f t="shared" si="1"/>
        <v>0</v>
      </c>
      <c r="C32" s="89"/>
      <c r="F32" s="94"/>
      <c r="G32" s="128"/>
      <c r="H32" s="129"/>
    </row>
    <row r="33" spans="1:34" ht="15" customHeight="1">
      <c r="A33" s="83" t="s">
        <v>493</v>
      </c>
      <c r="B33" s="88">
        <f t="shared" si="1"/>
        <v>0</v>
      </c>
      <c r="C33" s="89"/>
      <c r="F33" s="94"/>
      <c r="G33" s="128"/>
      <c r="H33" s="129"/>
    </row>
    <row r="34" spans="1:34" ht="15" customHeight="1">
      <c r="A34" s="83" t="s">
        <v>494</v>
      </c>
      <c r="B34" s="88">
        <f t="shared" si="1"/>
        <v>0</v>
      </c>
      <c r="C34" s="89"/>
      <c r="F34" s="94"/>
      <c r="G34" s="128"/>
      <c r="H34" s="129"/>
    </row>
    <row r="35" spans="1:34" ht="15" customHeight="1">
      <c r="A35" s="83" t="s">
        <v>495</v>
      </c>
      <c r="B35" s="88">
        <f t="shared" si="1"/>
        <v>0</v>
      </c>
      <c r="C35" s="89"/>
      <c r="F35" s="94"/>
      <c r="G35" s="128"/>
      <c r="H35" s="129"/>
    </row>
    <row r="36" spans="1:34" ht="15" customHeight="1">
      <c r="A36" s="83" t="s">
        <v>496</v>
      </c>
      <c r="B36" s="88">
        <f t="shared" si="1"/>
        <v>0</v>
      </c>
      <c r="C36" s="89"/>
      <c r="F36" s="94"/>
      <c r="G36" s="128"/>
      <c r="H36" s="129"/>
    </row>
    <row r="37" spans="1:34" ht="15" customHeight="1">
      <c r="A37" s="83" t="s">
        <v>497</v>
      </c>
      <c r="B37" s="88">
        <f t="shared" si="1"/>
        <v>0</v>
      </c>
      <c r="C37" s="89"/>
      <c r="F37" s="94"/>
      <c r="G37" s="128"/>
      <c r="H37" s="129"/>
    </row>
    <row r="38" spans="1:34" ht="15" customHeight="1">
      <c r="A38" s="83" t="s">
        <v>498</v>
      </c>
      <c r="B38" s="88">
        <f t="shared" si="1"/>
        <v>0</v>
      </c>
      <c r="C38" s="89"/>
      <c r="F38" s="94"/>
      <c r="G38" s="128"/>
      <c r="H38" s="129"/>
    </row>
    <row r="39" spans="1:34" ht="15" customHeight="1">
      <c r="A39" s="83" t="s">
        <v>499</v>
      </c>
      <c r="B39" s="88">
        <f t="shared" si="1"/>
        <v>0</v>
      </c>
      <c r="C39" s="89"/>
      <c r="F39" s="94"/>
      <c r="G39" s="128"/>
      <c r="H39" s="129"/>
    </row>
    <row r="40" spans="1:34" ht="15" customHeight="1">
      <c r="A40" s="83" t="s">
        <v>500</v>
      </c>
      <c r="B40" s="88">
        <f>IF($B$4&gt;0, $B$4*C22, 0)</f>
        <v>0</v>
      </c>
      <c r="C40" s="89"/>
      <c r="F40" s="94"/>
      <c r="G40" s="128"/>
      <c r="H40" s="129"/>
    </row>
    <row r="41" spans="1:34" ht="15" customHeight="1">
      <c r="A41" s="83" t="s">
        <v>501</v>
      </c>
      <c r="B41" s="88">
        <f t="shared" si="1"/>
        <v>0</v>
      </c>
      <c r="C41" s="89"/>
      <c r="F41" s="94"/>
      <c r="G41" s="128"/>
      <c r="H41" s="129"/>
    </row>
    <row r="42" spans="1:34" ht="15" customHeight="1">
      <c r="A42" s="90" t="s">
        <v>502</v>
      </c>
      <c r="B42" s="91">
        <f t="shared" si="1"/>
        <v>0</v>
      </c>
      <c r="C42" s="92"/>
      <c r="F42" s="94"/>
      <c r="G42" s="128"/>
      <c r="H42" s="129"/>
    </row>
    <row r="43" spans="1:34">
      <c r="B43" s="69"/>
      <c r="F43" s="94"/>
      <c r="G43" s="128"/>
      <c r="H43" s="129"/>
    </row>
    <row r="44" spans="1:34">
      <c r="F44" s="94"/>
      <c r="G44" s="128"/>
      <c r="H44" s="129"/>
    </row>
    <row r="45" spans="1:34" ht="29">
      <c r="B45" s="64" t="s">
        <v>578</v>
      </c>
      <c r="C45" s="1">
        <v>2019</v>
      </c>
      <c r="D45" s="1">
        <v>2020</v>
      </c>
      <c r="E45" s="1">
        <v>2021</v>
      </c>
      <c r="F45" s="1">
        <v>2022</v>
      </c>
      <c r="G45" s="1">
        <v>2023</v>
      </c>
      <c r="H45" s="1">
        <v>2024</v>
      </c>
      <c r="I45" s="1">
        <v>2025</v>
      </c>
      <c r="J45" s="1">
        <v>2026</v>
      </c>
      <c r="K45" s="1">
        <v>2027</v>
      </c>
      <c r="L45" s="1">
        <v>2028</v>
      </c>
      <c r="M45" s="1">
        <v>2029</v>
      </c>
      <c r="N45" s="1">
        <v>2030</v>
      </c>
      <c r="O45" s="1">
        <v>2031</v>
      </c>
      <c r="P45" s="1">
        <v>2032</v>
      </c>
      <c r="Q45" s="1">
        <v>2033</v>
      </c>
      <c r="R45" s="1">
        <v>2034</v>
      </c>
      <c r="S45" s="1">
        <v>2035</v>
      </c>
      <c r="T45" s="1">
        <v>2036</v>
      </c>
      <c r="U45" s="1">
        <v>2037</v>
      </c>
      <c r="V45" s="1">
        <v>2038</v>
      </c>
      <c r="W45" s="1">
        <v>2039</v>
      </c>
      <c r="X45" s="1">
        <v>2040</v>
      </c>
      <c r="Y45" s="1">
        <v>2041</v>
      </c>
      <c r="Z45" s="1">
        <v>2042</v>
      </c>
      <c r="AA45" s="1">
        <v>2043</v>
      </c>
      <c r="AB45" s="1">
        <v>2044</v>
      </c>
      <c r="AC45" s="1">
        <v>2045</v>
      </c>
      <c r="AD45" s="1">
        <v>2046</v>
      </c>
      <c r="AE45" s="1">
        <v>2047</v>
      </c>
      <c r="AF45" s="1">
        <v>2048</v>
      </c>
      <c r="AG45" s="1">
        <v>2049</v>
      </c>
      <c r="AH45" s="1">
        <v>2050</v>
      </c>
    </row>
    <row r="46" spans="1:34" ht="14.5">
      <c r="A46" s="134" t="s">
        <v>4653</v>
      </c>
      <c r="B46" s="1" t="s">
        <v>579</v>
      </c>
      <c r="C46" s="136">
        <f>SUMIFS('Source-Disposition'!$E:$E,'Source-Disposition'!$A:$A,$A$1,'Source-Disposition'!$B:$B,$A46)</f>
        <v>28050434</v>
      </c>
      <c r="D46" s="136">
        <f>SUMIFS('Source-Disposition'!$D:$D,'Source-Disposition'!$A:$A,$A$1,'Source-Disposition'!$B:$B,$A46)</f>
        <v>22109426</v>
      </c>
      <c r="E46" s="136">
        <f>SUMIFS('Source-Disposition'!$C:$C,'Source-Disposition'!$A:$A,$A$1,'Source-Disposition'!$B:$B,$A46)</f>
        <v>30111926.5</v>
      </c>
      <c r="F46" s="136">
        <f>E46</f>
        <v>30111926.5</v>
      </c>
      <c r="G46" s="136">
        <f t="shared" ref="G46:AH46" si="2">F46</f>
        <v>30111926.5</v>
      </c>
      <c r="H46" s="136">
        <f t="shared" si="2"/>
        <v>30111926.5</v>
      </c>
      <c r="I46" s="136">
        <f t="shared" si="2"/>
        <v>30111926.5</v>
      </c>
      <c r="J46" s="136">
        <f t="shared" si="2"/>
        <v>30111926.5</v>
      </c>
      <c r="K46" s="136">
        <f t="shared" si="2"/>
        <v>30111926.5</v>
      </c>
      <c r="L46" s="136">
        <f t="shared" si="2"/>
        <v>30111926.5</v>
      </c>
      <c r="M46" s="136">
        <f t="shared" si="2"/>
        <v>30111926.5</v>
      </c>
      <c r="N46" s="136">
        <f t="shared" si="2"/>
        <v>30111926.5</v>
      </c>
      <c r="O46" s="136">
        <f t="shared" si="2"/>
        <v>30111926.5</v>
      </c>
      <c r="P46" s="136">
        <f t="shared" si="2"/>
        <v>30111926.5</v>
      </c>
      <c r="Q46" s="136">
        <f t="shared" si="2"/>
        <v>30111926.5</v>
      </c>
      <c r="R46" s="136">
        <f t="shared" si="2"/>
        <v>30111926.5</v>
      </c>
      <c r="S46" s="136">
        <f t="shared" si="2"/>
        <v>30111926.5</v>
      </c>
      <c r="T46" s="136">
        <f t="shared" si="2"/>
        <v>30111926.5</v>
      </c>
      <c r="U46" s="136">
        <f t="shared" si="2"/>
        <v>30111926.5</v>
      </c>
      <c r="V46" s="136">
        <f t="shared" si="2"/>
        <v>30111926.5</v>
      </c>
      <c r="W46" s="136">
        <f t="shared" si="2"/>
        <v>30111926.5</v>
      </c>
      <c r="X46" s="136">
        <f t="shared" si="2"/>
        <v>30111926.5</v>
      </c>
      <c r="Y46" s="136">
        <f t="shared" si="2"/>
        <v>30111926.5</v>
      </c>
      <c r="Z46" s="136">
        <f t="shared" si="2"/>
        <v>30111926.5</v>
      </c>
      <c r="AA46" s="136">
        <f t="shared" si="2"/>
        <v>30111926.5</v>
      </c>
      <c r="AB46" s="136">
        <f t="shared" si="2"/>
        <v>30111926.5</v>
      </c>
      <c r="AC46" s="136">
        <f t="shared" si="2"/>
        <v>30111926.5</v>
      </c>
      <c r="AD46" s="136">
        <f t="shared" si="2"/>
        <v>30111926.5</v>
      </c>
      <c r="AE46" s="136">
        <f t="shared" si="2"/>
        <v>30111926.5</v>
      </c>
      <c r="AF46" s="136">
        <f t="shared" si="2"/>
        <v>30111926.5</v>
      </c>
      <c r="AG46" s="136">
        <f t="shared" si="2"/>
        <v>30111926.5</v>
      </c>
      <c r="AH46" s="136">
        <f t="shared" si="2"/>
        <v>30111926.5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workbookViewId="0">
      <selection activeCell="D4" sqref="D4"/>
    </sheetView>
  </sheetViews>
  <sheetFormatPr defaultRowHeight="14"/>
  <cols>
    <col min="2" max="2" width="58.25" customWidth="1"/>
    <col min="3" max="3" width="14.83203125" style="94" customWidth="1"/>
    <col min="4" max="4" width="14.75" style="145" bestFit="1" customWidth="1"/>
  </cols>
  <sheetData>
    <row r="1" spans="1:34">
      <c r="B1" s="74" t="s">
        <v>4566</v>
      </c>
      <c r="C1" s="140" t="s">
        <v>4669</v>
      </c>
      <c r="D1" s="145">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s="145"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s="14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s="145"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s="145">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s="145">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s="145">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s="145">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s="145">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s="145">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s="145">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s="145">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s="14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s="145">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s="145">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s="145"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s="145"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s="145">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s="145">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s="145">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s="145">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s="145">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s="14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s="145">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s="145">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s="145">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s="145">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s="145">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s="145">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s="145"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s="145"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s="145"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s="145"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s="145">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s="145">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s="145">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s="145">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s="145">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s="145">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s="1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s="145">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s="145">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s="145">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s="145">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s="145"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s="145"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s="145">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s="145">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s="145">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s="14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s="145">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s="145">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s="145">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s="145">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s="145">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s="145">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s="145">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s="145">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s="14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s="145"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s="145"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s="145"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s="145">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s="145">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s="145">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s="145">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s="14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s="145">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s="145">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s="145">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s="145">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s="145">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s="145">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s="145"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s="145"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s="145">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s="14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s="145">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s="145">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s="145">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s="145">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s="145">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s="145">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s="145">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s="145">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s="145">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s="14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s="145"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s="145"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s="145"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s="145"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s="145">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s="145">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s="14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s="145">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s="145">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s="145">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s="145">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s="145">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s="145">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s="145">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s="145">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s="145"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s="14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s="145">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s="145">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s="145">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s="145">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s="145">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s="145">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s="145">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s="145">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s="145">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s="14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s="145">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s="145">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s="145"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s="145"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s="145"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s="145"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s="14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s="145">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s="145">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s="145">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s="145">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s="145">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s="145">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s="145">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s="145">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s="145">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s="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s="145"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s="145"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s="145">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s="145">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s="145">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s="145">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s="145">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s="145">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s="145">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s="14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s="145">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s="145">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s="145">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s="145">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s="145"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s="145"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s="14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s="145"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s="145">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s="145">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s="145">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s="145">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s="145">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s="145">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s="145">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s="145">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s="14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s="145">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s="145">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s="145"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s="145"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s="145">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s="145">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s="145">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s="145">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s="145">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s="14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s="145">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s="145">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s="145">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s="145">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s="145">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s="145">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s="145"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s="145"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s="145"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s="145"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s="145">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s="145">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s="145">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s="145">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s="145">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s="145">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s="14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s="145">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s="145">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s="145">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s="145">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s="145"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s="145">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s="145">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s="145">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s="14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s="145">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s="145">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s="145">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s="145">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s="145">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s="145">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s="145">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s="145">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s="145"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s="145"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s="145"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s="145">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s="145">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s="145">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s="145">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s="145">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s="14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s="145">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s="145">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s="145">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s="145">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s="145">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s="145"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s="145"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s="145">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s="145">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s="1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s="145">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s="145">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s="145">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s="145">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s="145">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s="145">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s="145">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s="145">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s="145">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s="145"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s="145"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s="145"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s="145"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s="145">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s="145">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s="145">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s="14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s="145">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s="145">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s="145">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s="145">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s="145">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s="145">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s="145">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s="145"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s="145"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s="14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s="145">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s="145">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s="145">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s="145">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s="145">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s="145">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s="145">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s="145">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s="145">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s="14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s="145">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s="145"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s="145"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s="145"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s="145"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s="145">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s="14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s="145">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s="145">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s="145">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s="145">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s="145">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s="145">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s="145">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s="145">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s="145">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s="14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s="145"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s="145">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s="145">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s="145">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s="145">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s="145">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s="145">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s="145">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s="145">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s="14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s="145">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s="145">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s="145">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s="145"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s="145"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s="145"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s="14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s="145">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s="145">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s="145">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s="145">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s="145">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s="145">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s="145">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s="145">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s="145">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s="14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s="145">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s="145"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s="145"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s="145">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s="145">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s="145">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s="145">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s="145">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s="145">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s="1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s="145">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s="145">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s="145">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s="145">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s="145">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s="145"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s="14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s="145"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s="145"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s="145">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s="145">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s="145">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s="145">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s="145">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s="145">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s="145">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s="14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s="145">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s="145">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s="145">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s="145"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s="145"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s="145">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s="145">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s="145">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s="145">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s="14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s="145">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s="145">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s="145">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s="145">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s="145">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s="145">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s="145">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s="145"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s="145"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s="145"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s="145"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s="145">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s="145">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s="145">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s="145">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s="145">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s="14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s="145">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s="145">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s="145">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s="145">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s="145">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s="145"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s="145"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s="145">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s="145">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s="14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s="145">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s="145">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s="145">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s="145">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s="145">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s="145">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s="145">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s="145">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s="145">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s="145"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s="145"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s="145"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s="145"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s="145">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s="145">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s="145">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s="14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s="145">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s="145">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s="145">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s="145">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s="145">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s="145">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s="145">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s="145"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s="145"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s="14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s="145">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s="145">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s="145">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s="145">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s="145">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s="145">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s="145">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s="145">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s="145">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s="1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s="145">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s="145"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s="145"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s="145"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s="145"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s="145">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s="14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s="145">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s="145">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s="145">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s="145">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s="145">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s="145">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s="145">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s="145">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s="145">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s="14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s="145"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s="145">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s="145">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s="145">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s="145">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s="145">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s="145">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s="145">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s="145">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s="14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s="145">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s="145">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s="145">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s="145"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s="145"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s="145"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s="14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s="145">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s="145">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s="145">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s="145">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s="145">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s="145">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s="145">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s="145">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s="145">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s="14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s="145">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s="145"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s="145"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s="145">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s="145">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s="145">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s="145">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s="145">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s="145">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s="14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s="145">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s="145">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s="145">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s="145">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s="145">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s="145"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s="14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s="145"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s="145"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s="145">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s="145">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s="145">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s="145">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s="145">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s="145">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s="145">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s="14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s="145">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s="145">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s="145">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s="145"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s="145"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s="145">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s="145">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s="145">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s="145">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s="14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s="145">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s="145">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s="145">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s="145">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s="145">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s="145">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s="145">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s="145"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s="145"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s="145"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s="145">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s="145">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s="145">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s="147" t="s">
        <v>4635</v>
      </c>
      <c r="C553" s="144">
        <f>IFERROR(AVERAGE(D553:G553),0)</f>
        <v>69222444</v>
      </c>
      <c r="D553" s="146">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s="145">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s="14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s="145">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s="145">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s="145">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s="137" t="s">
        <v>4641</v>
      </c>
      <c r="C559" s="139">
        <f t="shared" si="8"/>
        <v>18020144.25</v>
      </c>
      <c r="D559" s="145">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s="145">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s="145"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s="145"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s="145">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s="145">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s="14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s="148" t="s">
        <v>4648</v>
      </c>
      <c r="C566" s="139">
        <f t="shared" si="8"/>
        <v>91911804.25</v>
      </c>
      <c r="D566" s="145">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s="145">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s="145">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s="145">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s="145">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s="145">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s="145">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s="145">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s="145">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s="145"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s="145"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s="145"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s="145"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s="145">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s="145">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s="145">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s="14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s="145">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s="145">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s="145">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s="145">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s="145">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s="145">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s="145">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s="145"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s="145"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s="14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s="145">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s="145">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s="145">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s="145">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s="145">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s="145">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s="145">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s="145">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s="145">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s="14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s="145">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s="145"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s="145"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s="145"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s="145"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s="145">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s="14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s="145">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s="145">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s="145">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s="145">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s="145">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s="145">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s="145">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s="145">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s="145">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s="14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s="145"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s="145">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s="145">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s="145">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s="145">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s="145">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s="145">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s="145">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s="145">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s="14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s="145">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s="145">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s="145">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s="145"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s="145"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s="145"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s="1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s="145">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s="145">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s="145">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s="145">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s="145">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s="145">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s="145">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s="145">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s="145">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s="14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s="145">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s="145"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s="145"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s="145">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s="145">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s="145">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s="145">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s="145">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s="145">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s="14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s="145">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s="145">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s="145">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s="145">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s="145">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s="145"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s="14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s="145"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s="145"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s="145">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s="145">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s="145">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s="145">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s="145">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s="145">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s="145">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s="14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s="145">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s="145">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s="145">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s="145"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s="145"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s="145">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s="145">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s="145">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s="145">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s="14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s="145">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s="145">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s="145">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s="145">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s="145">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s="145">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s="145">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s="145"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s="145"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s="145"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s="145"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s="145">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s="145">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s="145">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s="145">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s="145">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s="14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s="145">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s="145">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s="145">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s="145">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s="145">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s="145"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s="145"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s="145">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s="145">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s="14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s="145">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s="145">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s="145">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s="145">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s="145">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s="145">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s="145">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s="145">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s="145">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s="145"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s="145"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s="145"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s="145"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s="145">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s="145">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s="145">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s="1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s="145">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s="145">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s="145">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s="145">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s="145">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s="145">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s="145">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s="145"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s="145"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s="14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s="145">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s="145">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s="145">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s="145">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s="145">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s="145">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s="145">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s="145">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s="145">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s="14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s="145">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s="145"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s="145"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s="145"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s="145"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s="145">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s="14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s="145">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s="145">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s="145">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s="145">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s="145">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s="145">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s="145">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s="145">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s="145">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s="14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s="145"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s="145">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s="145">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s="145">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s="145">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s="145">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s="145">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s="145">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s="145">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s="14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s="145">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s="145">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s="145">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s="145"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s="145"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s="145"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s="14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s="145">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s="145">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s="145">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s="145">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s="145">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s="145">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s="145">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s="145">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s="145">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s="14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s="145">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s="145"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s="145"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s="145">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s="145">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s="145">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s="145">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s="145">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s="145">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s="14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s="145">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s="145">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s="145">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s="145">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s="145">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s="145"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s="14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s="145"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s="145"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s="145">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s="145">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s="145">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s="145">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s="145">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s="145">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s="145">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s="1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s="145">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s="145">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s="145">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s="145"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s="145"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s="145">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s="145">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s="145">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s="145">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s="14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s="145">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s="145">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s="145">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s="145">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s="145">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s="145">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s="145">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s="145"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s="145"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s="145"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s="145"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s="145">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s="145">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s="145">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s="145">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s="145">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s="14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s="145">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s="145">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s="145">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s="145">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s="145">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s="145"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s="145"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s="145">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s="145">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s="14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s="145">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s="145">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s="145">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s="145">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s="145">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s="145">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s="145">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s="145">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s="145">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s="145"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s="145"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s="145"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s="145"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s="145">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s="145">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s="145">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s="14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s="145">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s="145">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s="145">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s="145">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s="145">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s="145">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s="145">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s="145"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s="145"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s="14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s="145">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s="145">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s="145">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s="145">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s="145">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s="145">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s="145">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s="145">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s="145">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s="14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s="145">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s="145"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s="145"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s="145"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s="145"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s="145">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s="14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s="145">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s="145">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s="145">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s="145">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s="145">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s="145">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s="145">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s="145">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s="145">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s="1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s="145"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s="145">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s="145">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s="145">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s="145">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s="145">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s="145">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s="145">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s="145">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s="14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s="145">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s="145">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s="145">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s="145"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s="145"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s="145"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s="14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s="145">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s="145">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s="145">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s="145">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s="145">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s="145">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s="145">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s="145">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s="145">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s="14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s="145">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s="145"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s="145"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s="145">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s="145">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s="145">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s="145">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s="145">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s="145">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s="14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s="145">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s="145">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s="145">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s="145">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s="145">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s="145"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s="14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s="145"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s="145"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s="145">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s="145">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s="145">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s="145">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s="145">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s="145">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s="145">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s="14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s="145">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s="145">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s="145">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s="145"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s="145"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s="145">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s="145">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s="145">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s="145">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s="14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s="145">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s="145">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s="145">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s="145">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s="145">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s="145">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s="145">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s="145"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s="145"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s="145"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s="145"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s="145">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s="145">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s="145">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s="145">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s="145">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s="14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s="145">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s="145">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s="145">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s="145">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s="145">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s="145"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s="145"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s="145">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s="145">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s="1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s="145">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s="145">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s="145">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s="145">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s="145">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s="145">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s="145">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s="145">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s="145">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s="145"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s="145"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s="145"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s="145"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s="145">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s="145">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s="145">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s="14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s="145">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s="145">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s="145">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s="145">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s="145">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s="145">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s="145">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s="145"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s="145"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s="14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s="145">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s="145">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s="145">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s="145">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s="145">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s="145">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s="145">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s="145">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s="145">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s="14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s="145">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s="145"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s="145"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s="145"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s="145"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s="145">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s="14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s="145">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s="145">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s="145">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s="145">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s="145">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s="145">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s="145">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s="145">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s="145">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s="14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s="145"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s="145">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s="145">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s="145">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s="145">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s="145">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s="145">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s="145">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s="145">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s="14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s="145">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s="145">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s="145">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s="145"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s="145"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s="145"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s="14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s="145">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s="145">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s="145">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s="145">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s="145">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s="145">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s="145">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s="145">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s="145">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s="14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s="145">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s="145"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s="145"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s="145">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s="145">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s="145">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s="145">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s="145">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s="145">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s="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s="145">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s="145">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s="145">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s="145">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s="145">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s="145"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s="14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s="145"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s="145"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s="145">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s="145">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s="145">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s="145">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s="145">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s="145">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s="145">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s="14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s="145">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s="145">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s="145">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s="145"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s="145"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s="145">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s="145">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s="145">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s="145">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s="14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s="145">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s="145">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s="145">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s="145">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s="145">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s="145">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s="145">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s="145"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s="145"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s="145"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s="145"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s="145">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s="145">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s="145">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s="145">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s="145">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s="14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s="145">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s="145">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s="145">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s="145">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s="145">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s="145"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s="145"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s="145">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s="145">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s="14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s="145">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s="145">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s="145">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s="145">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s="145">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s="145">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s="145">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s="145">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s="145">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s="145"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s="145"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s="145"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s="145"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s="145">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s="145">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s="145">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s="14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s="145">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s="145">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s="145">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s="145">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s="145">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s="145">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s="145">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s="145"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s="145"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s="14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s="145">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s="145">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s="145">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s="145">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s="145">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s="145">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s="145">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s="145">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s="145">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s="1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s="145">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s="145"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s="145"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s="145"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s="145"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s="145">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s="14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s="145">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s="145">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s="145">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s="145">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s="145">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s="145">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s="145">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s="145">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s="145">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s="14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s="145"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s="145">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s="145">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s="145">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s="145">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s="145">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s="145">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s="145">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s="145">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s="14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s="145">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s="145">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s="145">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s="145"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s="145"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s="145"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s="14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s="145">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s="145">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s="145">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s="145">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s="145">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s="145">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s="145">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s="145">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s="145">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s="14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s="145">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s="145"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s="145"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s="145">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s="145">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s="145">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s="145">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s="145">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s="145">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s="14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s="145">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s="145">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s="145">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s="145">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s="145">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s="145"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s="14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s="145"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s="145"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s="145">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s="145">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s="145">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s="145">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s="145">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s="145">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s="145">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s="14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s="145">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s="145">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s="145">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s="145"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s="145"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s="145">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s="145">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s="145">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s="145">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s="14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s="145">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s="145">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s="145">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s="145">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s="145">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s="145">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s="145">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s="145"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s="145"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s="145"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s="145"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s="145">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s="145">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s="145">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s="145">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s="145">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s="14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s="145">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s="145">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s="145">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s="145">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s="145">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s="145"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s="145"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s="145">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s="145">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s="14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s="145">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s="145">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s="145">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s="145">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s="145">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s="145">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s="145">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s="145">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s="145">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s="145"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s="145"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s="145"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s="145"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s="145">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s="145">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s="145">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s="14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s="145">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s="145">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s="145">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s="145">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s="145">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s="145">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s="145">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s="145"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s="145"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s="14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s="145">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s="145">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s="145">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s="145">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s="145">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s="145">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s="145">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s="145">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s="145">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s="14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s="145">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s="145"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s="145"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s="145"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s="145"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s="145">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s="14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s="145">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s="145">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s="145">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s="145">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s="145">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s="145">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s="145">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s="145">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s="145">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s="14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s="145"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s="145">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s="145">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s="145">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s="145">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s="145">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s="145">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s="145">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s="145">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s="14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s="145">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s="145">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s="145">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s="145"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s="145"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s="145"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s="1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s="145">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s="145">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s="145">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s="145">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s="145">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s="145">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s="145">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s="145">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s="145">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s="14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s="145">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s="145"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s="145"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s="145">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s="145">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s="145">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s="145">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s="145">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s="145">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s="14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s="145">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s="145">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s="145">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s="145">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s="145">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s="145"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s="14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s="145"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s="145"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s="145">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s="145">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s="145">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s="145">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s="145">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s="145">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s="145">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s="14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s="145">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s="145">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s="145">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s="145"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s="145"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s="145">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s="145">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s="145">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s="145">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s="14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s="145">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s="145">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s="145">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s="145">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s="145">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s="145">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s="145">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s="145"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s="145"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s="145"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s="145"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s="145">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s="145">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s="145">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s="145">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s="145">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s="14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s="145">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s="145">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s="145">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s="145">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s="145">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s="145"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s="145"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s="145">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s="145">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s="14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s="145">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s="145">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s="145">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s="145">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s="145">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s="145">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s="145">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s="145">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s="145">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s="145"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s="145"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s="145"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s="145"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s="145">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s="145">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s="145">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s="1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s="145">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s="145">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s="145">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s="145">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s="145">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s="145">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s="145">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s="145"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s="145"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s="14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s="145">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s="145">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s="145">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s="145">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s="145">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s="145">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s="145">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s="145">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s="145">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s="14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s="145">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s="145"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s="145"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s="145"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s="145"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s="145">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s="14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s="145">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s="145">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s="145">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s="145">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s="145">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s="145">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s="145">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s="145">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s="145">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s="14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s="145"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s="145">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s="145">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s="145">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s="145">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s="145">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s="145">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s="145">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s="145">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s="14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s="145">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s="145">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s="145">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3" sqref="C3"/>
    </sheetView>
  </sheetViews>
  <sheetFormatPr defaultRowHeight="14"/>
  <cols>
    <col min="2" max="2" width="38.33203125" bestFit="1" customWidth="1"/>
    <col min="3" max="3" width="13.75" bestFit="1" customWidth="1"/>
  </cols>
  <sheetData>
    <row r="1" spans="1:3" s="94" customFormat="1">
      <c r="A1" s="132" t="s">
        <v>4672</v>
      </c>
    </row>
    <row r="3" spans="1:3">
      <c r="B3" s="147" t="s">
        <v>4635</v>
      </c>
      <c r="C3">
        <f>SUMIFS('Source-Disposition'!$D:$D,'Source-Disposition'!$B:$B,'retail sales summary'!$B3,'Source-Disposition'!$A:$A,About!$B$1)</f>
        <v>55376935</v>
      </c>
    </row>
    <row r="4" spans="1:3" s="94" customFormat="1">
      <c r="B4" s="152" t="s">
        <v>4641</v>
      </c>
      <c r="C4">
        <f>SUMIFS('Source-Disposition'!$D:$D,'Source-Disposition'!$B:$B,'retail sales summary'!$B4,'Source-Disposition'!$A:$A,About!$B$1)</f>
        <v>0</v>
      </c>
    </row>
    <row r="5" spans="1:3">
      <c r="B5" s="147" t="s">
        <v>4648</v>
      </c>
      <c r="C5">
        <f>SUMIFS('Source-Disposition'!$D:$D,'Source-Disposition'!$B:$B,$B5,'Source-Disposition'!$A:$A,About!$B$1)</f>
        <v>32076583</v>
      </c>
    </row>
    <row r="6" spans="1:3">
      <c r="B6" s="75" t="s">
        <v>4671</v>
      </c>
      <c r="C6" s="149">
        <f>MAX(C5-C4-C3,0)</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58203125" defaultRowHeight="14.5"/>
  <cols>
    <col min="1" max="1" width="8.58203125" style="98" bestFit="1" customWidth="1"/>
    <col min="2" max="3" width="35.58203125" style="98" bestFit="1" customWidth="1"/>
    <col min="4" max="5" width="14.33203125" style="98" bestFit="1" customWidth="1"/>
    <col min="6" max="6" width="28.58203125" style="98" bestFit="1" customWidth="1"/>
    <col min="7" max="9" width="21.5" style="98" bestFit="1" customWidth="1"/>
    <col min="10" max="10" width="28.58203125" style="98" bestFit="1" customWidth="1"/>
    <col min="11" max="11" width="8.58203125" style="98" bestFit="1" customWidth="1"/>
    <col min="12" max="12" width="20.58203125" style="98" customWidth="1"/>
    <col min="13" max="16384" width="7.58203125" style="98"/>
  </cols>
  <sheetData>
    <row r="1" spans="1:16" s="96" customFormat="1" ht="16" customHeight="1">
      <c r="A1" s="96" t="s">
        <v>584</v>
      </c>
    </row>
    <row r="2" spans="1:16" s="96" customFormat="1" ht="16" customHeight="1">
      <c r="A2" s="96" t="s">
        <v>585</v>
      </c>
      <c r="O2" s="97" t="s">
        <v>586</v>
      </c>
      <c r="P2" s="97" t="b">
        <v>1</v>
      </c>
    </row>
    <row r="3" spans="1:16" s="96" customFormat="1" ht="16" customHeight="1">
      <c r="A3" s="96" t="s">
        <v>587</v>
      </c>
      <c r="O3" s="97" t="s">
        <v>588</v>
      </c>
      <c r="P3" s="97" t="b">
        <v>0</v>
      </c>
    </row>
    <row r="4" spans="1:16" ht="16" customHeight="1">
      <c r="J4" s="99">
        <f>SUBTOTAL(9,J7:J6743)</f>
        <v>4009085002.7220097</v>
      </c>
    </row>
    <row r="5" spans="1:16" ht="15" customHeight="1">
      <c r="A5" s="100" t="s">
        <v>583</v>
      </c>
      <c r="B5" s="101"/>
      <c r="C5" s="101"/>
      <c r="D5" s="101"/>
      <c r="E5" s="101"/>
      <c r="F5" s="101"/>
      <c r="G5" s="101"/>
      <c r="H5" s="101"/>
      <c r="I5" s="101"/>
      <c r="J5" s="102"/>
      <c r="K5" s="103" t="s">
        <v>583</v>
      </c>
    </row>
    <row r="6" spans="1:16" ht="26.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3203125" defaultRowHeight="14.5"/>
  <cols>
    <col min="1" max="1" width="7.83203125" style="97"/>
    <col min="2" max="2" width="31.58203125" style="97" customWidth="1"/>
    <col min="3" max="3" width="7.83203125" style="97"/>
    <col min="4" max="4" width="11.5" style="97" customWidth="1"/>
    <col min="5" max="5" width="27.08203125" style="97" customWidth="1"/>
    <col min="6" max="6" width="18.83203125" style="97" customWidth="1"/>
    <col min="7" max="9" width="7.83203125" style="97"/>
    <col min="10" max="10" width="18.08203125" style="97" bestFit="1" customWidth="1"/>
    <col min="11" max="16384" width="7.83203125" style="97"/>
  </cols>
  <sheetData>
    <row r="1" spans="1:10">
      <c r="A1" s="110" t="s">
        <v>4387</v>
      </c>
      <c r="B1" s="110"/>
      <c r="D1" s="111" t="s">
        <v>4388</v>
      </c>
      <c r="H1" s="111" t="s">
        <v>4389</v>
      </c>
    </row>
    <row r="2" spans="1:10" ht="15" thickBot="1">
      <c r="A2" s="112"/>
      <c r="B2" s="112"/>
    </row>
    <row r="3" spans="1:10" ht="39.5" thickBot="1">
      <c r="A3" s="113" t="s">
        <v>4390</v>
      </c>
      <c r="B3" s="114" t="s">
        <v>4391</v>
      </c>
      <c r="D3" s="115" t="s">
        <v>4392</v>
      </c>
      <c r="E3" s="115" t="s">
        <v>4393</v>
      </c>
      <c r="F3" s="116" t="s">
        <v>4394</v>
      </c>
      <c r="H3" s="115" t="s">
        <v>4395</v>
      </c>
      <c r="I3" s="115" t="s">
        <v>4396</v>
      </c>
      <c r="J3" s="116" t="s">
        <v>599</v>
      </c>
    </row>
    <row r="4" spans="1:10" ht="25.5" thickBot="1">
      <c r="A4" s="117" t="s">
        <v>725</v>
      </c>
      <c r="B4" s="118" t="s">
        <v>4397</v>
      </c>
      <c r="D4" s="119" t="s">
        <v>1294</v>
      </c>
      <c r="E4" s="120" t="s">
        <v>4398</v>
      </c>
      <c r="F4" s="121" t="s">
        <v>494</v>
      </c>
      <c r="H4" s="119" t="s">
        <v>604</v>
      </c>
      <c r="I4" s="119" t="s">
        <v>16</v>
      </c>
      <c r="J4" s="122" t="s">
        <v>488</v>
      </c>
    </row>
    <row r="5" spans="1:10" ht="15" thickBot="1">
      <c r="A5" s="117" t="s">
        <v>4384</v>
      </c>
      <c r="B5" s="118" t="s">
        <v>4399</v>
      </c>
      <c r="D5" s="119" t="s">
        <v>933</v>
      </c>
      <c r="E5" s="120" t="s">
        <v>4400</v>
      </c>
      <c r="F5" s="121" t="s">
        <v>487</v>
      </c>
      <c r="H5" s="119" t="s">
        <v>604</v>
      </c>
      <c r="I5" s="119" t="s">
        <v>4401</v>
      </c>
      <c r="J5" s="122" t="s">
        <v>488</v>
      </c>
    </row>
    <row r="6" spans="1:10" ht="25.5" thickBot="1">
      <c r="A6" s="117" t="s">
        <v>2840</v>
      </c>
      <c r="B6" s="118" t="s">
        <v>4402</v>
      </c>
      <c r="D6" s="119" t="s">
        <v>961</v>
      </c>
      <c r="E6" s="120" t="s">
        <v>4403</v>
      </c>
      <c r="F6" s="121" t="s">
        <v>4404</v>
      </c>
      <c r="H6" s="119" t="s">
        <v>604</v>
      </c>
      <c r="I6" s="119" t="s">
        <v>4384</v>
      </c>
      <c r="J6" s="123" t="s">
        <v>4404</v>
      </c>
    </row>
    <row r="7" spans="1:10" ht="15" thickBot="1">
      <c r="A7" s="117" t="s">
        <v>4385</v>
      </c>
      <c r="B7" s="118" t="s">
        <v>4405</v>
      </c>
      <c r="D7" s="119" t="s">
        <v>606</v>
      </c>
      <c r="E7" s="120" t="s">
        <v>4406</v>
      </c>
      <c r="F7" s="121" t="s">
        <v>487</v>
      </c>
      <c r="H7" s="119" t="s">
        <v>604</v>
      </c>
      <c r="I7" s="119" t="s">
        <v>644</v>
      </c>
      <c r="J7" s="122" t="s">
        <v>488</v>
      </c>
    </row>
    <row r="8" spans="1:10" ht="25.5" thickBot="1">
      <c r="A8" s="117" t="s">
        <v>635</v>
      </c>
      <c r="B8" s="118" t="s">
        <v>4407</v>
      </c>
      <c r="D8" s="119" t="s">
        <v>1463</v>
      </c>
      <c r="E8" s="120" t="s">
        <v>4408</v>
      </c>
      <c r="F8" s="121" t="s">
        <v>494</v>
      </c>
      <c r="H8" s="119" t="s">
        <v>604</v>
      </c>
      <c r="I8" s="119" t="s">
        <v>24</v>
      </c>
      <c r="J8" s="122" t="s">
        <v>488</v>
      </c>
    </row>
    <row r="9" spans="1:10" ht="25.5" thickBot="1">
      <c r="A9" s="117" t="s">
        <v>4409</v>
      </c>
      <c r="B9" s="118" t="s">
        <v>4410</v>
      </c>
      <c r="D9" s="119" t="s">
        <v>4411</v>
      </c>
      <c r="E9" s="120" t="s">
        <v>4412</v>
      </c>
      <c r="F9" s="121" t="s">
        <v>490</v>
      </c>
      <c r="H9" s="119" t="s">
        <v>604</v>
      </c>
      <c r="I9" s="119" t="s">
        <v>3287</v>
      </c>
      <c r="J9" s="123" t="s">
        <v>4404</v>
      </c>
    </row>
    <row r="10" spans="1:10" ht="38" thickBot="1">
      <c r="A10" s="119" t="s">
        <v>605</v>
      </c>
      <c r="B10" s="120" t="s">
        <v>4413</v>
      </c>
      <c r="D10" s="119" t="s">
        <v>612</v>
      </c>
      <c r="E10" s="120" t="s">
        <v>4414</v>
      </c>
      <c r="F10" s="121" t="s">
        <v>496</v>
      </c>
      <c r="H10" s="119" t="s">
        <v>604</v>
      </c>
      <c r="I10" s="119" t="s">
        <v>611</v>
      </c>
      <c r="J10" s="122" t="s">
        <v>497</v>
      </c>
    </row>
    <row r="11" spans="1:10" ht="38" thickBot="1">
      <c r="A11" s="117" t="s">
        <v>611</v>
      </c>
      <c r="B11" s="118" t="s">
        <v>4415</v>
      </c>
      <c r="D11" s="119" t="s">
        <v>700</v>
      </c>
      <c r="E11" s="120" t="s">
        <v>528</v>
      </c>
      <c r="F11" s="121" t="s">
        <v>495</v>
      </c>
      <c r="H11" s="119" t="s">
        <v>604</v>
      </c>
      <c r="I11" s="119" t="s">
        <v>649</v>
      </c>
      <c r="J11" s="122" t="s">
        <v>497</v>
      </c>
    </row>
    <row r="12" spans="1:10" ht="25.5" thickBot="1">
      <c r="A12" s="117" t="s">
        <v>649</v>
      </c>
      <c r="B12" s="118" t="s">
        <v>4416</v>
      </c>
      <c r="D12" s="119" t="s">
        <v>850</v>
      </c>
      <c r="E12" s="120" t="s">
        <v>4417</v>
      </c>
      <c r="F12" s="121" t="s">
        <v>496</v>
      </c>
      <c r="H12" s="119" t="s">
        <v>604</v>
      </c>
      <c r="I12" s="119" t="s">
        <v>1694</v>
      </c>
      <c r="J12" s="123" t="s">
        <v>4404</v>
      </c>
    </row>
    <row r="13" spans="1:10" ht="15" thickBot="1">
      <c r="A13" s="117" t="s">
        <v>16</v>
      </c>
      <c r="B13" s="118" t="s">
        <v>4418</v>
      </c>
      <c r="D13" s="119" t="s">
        <v>782</v>
      </c>
      <c r="E13" s="120" t="s">
        <v>4419</v>
      </c>
      <c r="F13" s="121" t="s">
        <v>4404</v>
      </c>
      <c r="H13" s="119" t="s">
        <v>604</v>
      </c>
      <c r="I13" s="124" t="s">
        <v>605</v>
      </c>
      <c r="J13" s="122" t="s">
        <v>497</v>
      </c>
    </row>
    <row r="14" spans="1:10" ht="25.5" thickBot="1">
      <c r="A14" s="117" t="s">
        <v>24</v>
      </c>
      <c r="B14" s="118" t="s">
        <v>4420</v>
      </c>
      <c r="D14" s="119" t="s">
        <v>650</v>
      </c>
      <c r="E14" s="120" t="s">
        <v>4421</v>
      </c>
      <c r="F14" s="121" t="s">
        <v>494</v>
      </c>
      <c r="H14" s="119" t="s">
        <v>636</v>
      </c>
      <c r="I14" s="124" t="s">
        <v>664</v>
      </c>
      <c r="J14" s="122" t="s">
        <v>490</v>
      </c>
    </row>
    <row r="15" spans="1:10" ht="38" thickBot="1">
      <c r="A15" s="117" t="s">
        <v>644</v>
      </c>
      <c r="B15" s="118" t="s">
        <v>4422</v>
      </c>
      <c r="D15" s="119" t="s">
        <v>619</v>
      </c>
      <c r="E15" s="120" t="s">
        <v>4423</v>
      </c>
      <c r="F15" s="121" t="s">
        <v>498</v>
      </c>
      <c r="H15" s="119" t="s">
        <v>636</v>
      </c>
      <c r="I15" s="124" t="s">
        <v>635</v>
      </c>
      <c r="J15" s="122" t="s">
        <v>4404</v>
      </c>
    </row>
    <row r="16" spans="1:10" ht="50.5" thickBot="1">
      <c r="A16" s="119" t="s">
        <v>4401</v>
      </c>
      <c r="B16" s="120" t="s">
        <v>4424</v>
      </c>
      <c r="D16" s="119" t="s">
        <v>726</v>
      </c>
      <c r="E16" s="120" t="s">
        <v>4425</v>
      </c>
      <c r="F16" s="121" t="s">
        <v>4404</v>
      </c>
      <c r="H16" s="119" t="s">
        <v>662</v>
      </c>
      <c r="I16" s="119" t="s">
        <v>661</v>
      </c>
      <c r="J16" s="122" t="s">
        <v>4426</v>
      </c>
    </row>
    <row r="17" spans="1:10" ht="15" thickBot="1">
      <c r="A17" s="117" t="s">
        <v>4427</v>
      </c>
      <c r="B17" s="118" t="s">
        <v>4428</v>
      </c>
      <c r="D17" s="119" t="s">
        <v>980</v>
      </c>
      <c r="E17" s="120" t="s">
        <v>4429</v>
      </c>
      <c r="F17" s="121" t="s">
        <v>502</v>
      </c>
      <c r="H17" s="119" t="s">
        <v>662</v>
      </c>
      <c r="I17" s="124" t="s">
        <v>605</v>
      </c>
      <c r="J17" s="121" t="s">
        <v>493</v>
      </c>
    </row>
    <row r="18" spans="1:10" ht="15" thickBot="1">
      <c r="A18" s="117" t="s">
        <v>4430</v>
      </c>
      <c r="B18" s="118" t="s">
        <v>4431</v>
      </c>
      <c r="D18" s="119" t="s">
        <v>981</v>
      </c>
      <c r="E18" s="120" t="s">
        <v>4432</v>
      </c>
      <c r="F18" s="121" t="s">
        <v>502</v>
      </c>
      <c r="H18" s="119" t="s">
        <v>847</v>
      </c>
      <c r="I18" s="119" t="s">
        <v>846</v>
      </c>
      <c r="J18" s="122" t="s">
        <v>491</v>
      </c>
    </row>
    <row r="19" spans="1:10" ht="25.5" thickBot="1">
      <c r="A19" s="117" t="s">
        <v>4433</v>
      </c>
      <c r="B19" s="118" t="s">
        <v>4434</v>
      </c>
      <c r="D19" s="119" t="s">
        <v>4435</v>
      </c>
      <c r="E19" s="120" t="s">
        <v>4436</v>
      </c>
      <c r="F19" s="121" t="s">
        <v>502</v>
      </c>
      <c r="H19" s="119" t="s">
        <v>847</v>
      </c>
      <c r="I19" s="119" t="s">
        <v>3165</v>
      </c>
      <c r="J19" s="121" t="s">
        <v>499</v>
      </c>
    </row>
    <row r="20" spans="1:10" ht="38" thickBot="1">
      <c r="A20" s="117" t="s">
        <v>664</v>
      </c>
      <c r="B20" s="118" t="s">
        <v>4437</v>
      </c>
      <c r="D20" s="119" t="s">
        <v>559</v>
      </c>
      <c r="E20" s="120" t="s">
        <v>4438</v>
      </c>
      <c r="F20" s="121" t="s">
        <v>4404</v>
      </c>
    </row>
    <row r="21" spans="1:10" ht="38" thickBot="1">
      <c r="A21" s="117" t="s">
        <v>2057</v>
      </c>
      <c r="B21" s="118" t="s">
        <v>4439</v>
      </c>
      <c r="D21" s="119" t="s">
        <v>604</v>
      </c>
      <c r="E21" s="120" t="s">
        <v>513</v>
      </c>
      <c r="F21" s="121" t="s">
        <v>4440</v>
      </c>
      <c r="H21" s="125" t="s">
        <v>4441</v>
      </c>
    </row>
    <row r="22" spans="1:10" ht="25.5" thickBot="1">
      <c r="A22" s="117" t="s">
        <v>661</v>
      </c>
      <c r="B22" s="118" t="s">
        <v>4442</v>
      </c>
      <c r="D22" s="119" t="s">
        <v>616</v>
      </c>
      <c r="E22" s="120" t="s">
        <v>4443</v>
      </c>
      <c r="F22" s="121" t="s">
        <v>489</v>
      </c>
    </row>
    <row r="23" spans="1:10" ht="38" thickBot="1">
      <c r="A23" s="117" t="s">
        <v>846</v>
      </c>
      <c r="B23" s="118" t="s">
        <v>4444</v>
      </c>
      <c r="D23" s="119" t="s">
        <v>688</v>
      </c>
      <c r="E23" s="120" t="s">
        <v>4445</v>
      </c>
      <c r="F23" s="121" t="s">
        <v>494</v>
      </c>
    </row>
    <row r="24" spans="1:10" ht="63" thickBot="1">
      <c r="A24" s="117" t="s">
        <v>3165</v>
      </c>
      <c r="B24" s="118" t="s">
        <v>4446</v>
      </c>
      <c r="D24" s="119" t="s">
        <v>1564</v>
      </c>
      <c r="E24" s="120" t="s">
        <v>4447</v>
      </c>
      <c r="F24" s="121" t="s">
        <v>494</v>
      </c>
    </row>
    <row r="25" spans="1:10" ht="50.5" thickBot="1">
      <c r="A25" s="117" t="s">
        <v>3287</v>
      </c>
      <c r="B25" s="118" t="s">
        <v>4448</v>
      </c>
      <c r="D25" s="119" t="s">
        <v>1019</v>
      </c>
      <c r="E25" s="120" t="s">
        <v>4449</v>
      </c>
      <c r="F25" s="121" t="s">
        <v>494</v>
      </c>
    </row>
    <row r="26" spans="1:10" ht="38" thickBot="1">
      <c r="A26" s="117" t="s">
        <v>1694</v>
      </c>
      <c r="B26" s="118" t="s">
        <v>4450</v>
      </c>
      <c r="D26" s="119" t="s">
        <v>733</v>
      </c>
      <c r="E26" s="120" t="s">
        <v>4451</v>
      </c>
      <c r="F26" s="121" t="s">
        <v>4404</v>
      </c>
    </row>
    <row r="27" spans="1:10" ht="38" thickBot="1">
      <c r="D27" s="119" t="s">
        <v>727</v>
      </c>
      <c r="E27" s="120" t="s">
        <v>4452</v>
      </c>
      <c r="F27" s="121" t="s">
        <v>4404</v>
      </c>
    </row>
    <row r="28" spans="1:10" ht="15" thickBot="1">
      <c r="D28" s="119" t="s">
        <v>656</v>
      </c>
      <c r="E28" s="120" t="s">
        <v>4453</v>
      </c>
      <c r="F28" s="121" t="s">
        <v>496</v>
      </c>
    </row>
    <row r="29" spans="1:10" ht="15" thickBot="1">
      <c r="D29" s="119" t="s">
        <v>620</v>
      </c>
      <c r="E29" s="120" t="s">
        <v>4454</v>
      </c>
      <c r="F29" s="121" t="s">
        <v>4404</v>
      </c>
    </row>
    <row r="30" spans="1:10" ht="15" thickBot="1">
      <c r="D30" s="119" t="s">
        <v>1827</v>
      </c>
      <c r="E30" s="120" t="s">
        <v>4455</v>
      </c>
      <c r="F30" s="121" t="s">
        <v>4404</v>
      </c>
    </row>
    <row r="31" spans="1:10" ht="15" thickBot="1">
      <c r="D31" s="119" t="s">
        <v>628</v>
      </c>
      <c r="E31" s="120" t="s">
        <v>4456</v>
      </c>
      <c r="F31" s="121" t="s">
        <v>487</v>
      </c>
    </row>
    <row r="32" spans="1:10" ht="38" thickBot="1">
      <c r="D32" s="119" t="s">
        <v>646</v>
      </c>
      <c r="E32" s="120" t="s">
        <v>4457</v>
      </c>
      <c r="F32" s="121" t="s">
        <v>496</v>
      </c>
    </row>
    <row r="33" spans="4:6" ht="15" thickBot="1">
      <c r="D33" s="126" t="s">
        <v>123</v>
      </c>
      <c r="E33" s="127" t="s">
        <v>4458</v>
      </c>
      <c r="F33" s="121" t="s">
        <v>487</v>
      </c>
    </row>
    <row r="34" spans="4:6" ht="25.5" thickBot="1">
      <c r="D34" s="119" t="s">
        <v>3101</v>
      </c>
      <c r="E34" s="120" t="s">
        <v>4459</v>
      </c>
      <c r="F34" s="121" t="s">
        <v>4404</v>
      </c>
    </row>
    <row r="35" spans="4:6" ht="15" thickBot="1">
      <c r="D35" s="119" t="s">
        <v>878</v>
      </c>
      <c r="E35" s="120" t="s">
        <v>4460</v>
      </c>
      <c r="F35" s="121" t="s">
        <v>487</v>
      </c>
    </row>
    <row r="36" spans="4:6" ht="15" thickBot="1">
      <c r="D36" s="119" t="s">
        <v>1565</v>
      </c>
      <c r="E36" s="120" t="s">
        <v>4461</v>
      </c>
      <c r="F36" s="121" t="s">
        <v>494</v>
      </c>
    </row>
    <row r="37" spans="4:6" ht="15" thickBot="1">
      <c r="D37" s="119" t="s">
        <v>608</v>
      </c>
      <c r="E37" s="120" t="s">
        <v>4462</v>
      </c>
      <c r="F37" s="121" t="s">
        <v>487</v>
      </c>
    </row>
    <row r="38" spans="4:6" ht="15" thickBot="1">
      <c r="D38" s="119" t="s">
        <v>662</v>
      </c>
      <c r="E38" s="120" t="s">
        <v>4463</v>
      </c>
      <c r="F38" s="121" t="s">
        <v>4464</v>
      </c>
    </row>
    <row r="39" spans="4:6" ht="15" thickBot="1">
      <c r="D39" s="119" t="s">
        <v>917</v>
      </c>
      <c r="E39" s="120" t="s">
        <v>4465</v>
      </c>
      <c r="F39" s="121" t="s">
        <v>4404</v>
      </c>
    </row>
    <row r="40" spans="4:6" ht="15" thickBot="1">
      <c r="D40" s="119" t="s">
        <v>4466</v>
      </c>
      <c r="E40" s="120" t="s">
        <v>4467</v>
      </c>
      <c r="F40" s="121" t="s">
        <v>490</v>
      </c>
    </row>
    <row r="41" spans="4:6" ht="25.5" thickBot="1">
      <c r="D41" s="119" t="s">
        <v>636</v>
      </c>
      <c r="E41" s="120" t="s">
        <v>4468</v>
      </c>
      <c r="F41" s="121" t="s">
        <v>490</v>
      </c>
    </row>
    <row r="42" spans="4:6" ht="25.5" thickBot="1">
      <c r="D42" s="119" t="s">
        <v>861</v>
      </c>
      <c r="E42" s="120" t="s">
        <v>4469</v>
      </c>
      <c r="F42" s="121" t="s">
        <v>487</v>
      </c>
    </row>
    <row r="43" spans="4:6" ht="50.5" thickBot="1">
      <c r="D43" s="119" t="s">
        <v>4386</v>
      </c>
      <c r="E43" s="120" t="s">
        <v>4470</v>
      </c>
      <c r="F43" s="121" t="s">
        <v>494</v>
      </c>
    </row>
    <row r="44" spans="4:6" ht="50.5" thickBot="1">
      <c r="D44" s="119" t="s">
        <v>785</v>
      </c>
      <c r="E44" s="120" t="s">
        <v>4471</v>
      </c>
      <c r="F44" s="121" t="s">
        <v>494</v>
      </c>
    </row>
    <row r="45" spans="4:6" ht="15" thickBot="1">
      <c r="D45" s="119" t="s">
        <v>1558</v>
      </c>
      <c r="E45" s="120" t="s">
        <v>4472</v>
      </c>
      <c r="F45" s="121" t="s">
        <v>4404</v>
      </c>
    </row>
    <row r="46" spans="4:6" ht="15" thickBot="1">
      <c r="D46" s="119" t="s">
        <v>847</v>
      </c>
      <c r="E46" s="120" t="s">
        <v>508</v>
      </c>
      <c r="F46" s="121" t="s">
        <v>4473</v>
      </c>
    </row>
    <row r="47" spans="4:6" ht="63" thickBot="1">
      <c r="D47" s="119" t="s">
        <v>963</v>
      </c>
      <c r="E47" s="120" t="s">
        <v>4474</v>
      </c>
      <c r="F47" s="121" t="s">
        <v>496</v>
      </c>
    </row>
    <row r="48" spans="4:6" ht="15" thickBot="1">
      <c r="D48" s="119" t="s">
        <v>146</v>
      </c>
      <c r="E48" s="120" t="s">
        <v>4475</v>
      </c>
      <c r="F48" s="121" t="s">
        <v>490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58203125" defaultRowHeight="15" customHeight="1"/>
  <cols>
    <col min="1" max="1" width="22.83203125" customWidth="1"/>
    <col min="2" max="2" width="10.58203125" customWidth="1"/>
    <col min="3" max="33" width="10.08203125" customWidth="1"/>
  </cols>
  <sheetData>
    <row r="1" spans="1:33" ht="32.15"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95">
        <f>'Manual Adjustment'!$B27</f>
        <v>0</v>
      </c>
      <c r="C2" s="95">
        <f>B2</f>
        <v>0</v>
      </c>
      <c r="D2" s="95">
        <f t="shared" ref="D2:AG10" si="0">C2</f>
        <v>0</v>
      </c>
      <c r="E2" s="95">
        <f t="shared" si="0"/>
        <v>0</v>
      </c>
      <c r="F2" s="95">
        <f t="shared" si="0"/>
        <v>0</v>
      </c>
      <c r="G2" s="95">
        <f t="shared" si="0"/>
        <v>0</v>
      </c>
      <c r="H2" s="95">
        <f t="shared" si="0"/>
        <v>0</v>
      </c>
      <c r="I2" s="95">
        <f t="shared" si="0"/>
        <v>0</v>
      </c>
      <c r="J2" s="95">
        <f t="shared" si="0"/>
        <v>0</v>
      </c>
      <c r="K2" s="95">
        <f t="shared" si="0"/>
        <v>0</v>
      </c>
      <c r="L2" s="95">
        <f t="shared" si="0"/>
        <v>0</v>
      </c>
      <c r="M2" s="95">
        <f t="shared" si="0"/>
        <v>0</v>
      </c>
      <c r="N2" s="95">
        <f t="shared" si="0"/>
        <v>0</v>
      </c>
      <c r="O2" s="95">
        <f t="shared" si="0"/>
        <v>0</v>
      </c>
      <c r="P2" s="95">
        <f t="shared" si="0"/>
        <v>0</v>
      </c>
      <c r="Q2" s="95">
        <f t="shared" si="0"/>
        <v>0</v>
      </c>
      <c r="R2" s="95">
        <f t="shared" si="0"/>
        <v>0</v>
      </c>
      <c r="S2" s="95">
        <f t="shared" si="0"/>
        <v>0</v>
      </c>
      <c r="T2" s="95">
        <f t="shared" si="0"/>
        <v>0</v>
      </c>
      <c r="U2" s="95">
        <f t="shared" si="0"/>
        <v>0</v>
      </c>
      <c r="V2" s="95">
        <f t="shared" si="0"/>
        <v>0</v>
      </c>
      <c r="W2" s="95">
        <f t="shared" si="0"/>
        <v>0</v>
      </c>
      <c r="X2" s="95">
        <f t="shared" si="0"/>
        <v>0</v>
      </c>
      <c r="Y2" s="95">
        <f t="shared" si="0"/>
        <v>0</v>
      </c>
      <c r="Z2" s="95">
        <f t="shared" si="0"/>
        <v>0</v>
      </c>
      <c r="AA2" s="95">
        <f t="shared" si="0"/>
        <v>0</v>
      </c>
      <c r="AB2" s="95">
        <f t="shared" si="0"/>
        <v>0</v>
      </c>
      <c r="AC2" s="95">
        <f t="shared" si="0"/>
        <v>0</v>
      </c>
      <c r="AD2" s="95">
        <f t="shared" si="0"/>
        <v>0</v>
      </c>
      <c r="AE2" s="95">
        <f t="shared" si="0"/>
        <v>0</v>
      </c>
      <c r="AF2" s="95">
        <f t="shared" si="0"/>
        <v>0</v>
      </c>
      <c r="AG2" s="95">
        <f t="shared" si="0"/>
        <v>0</v>
      </c>
    </row>
    <row r="3" spans="1:33" ht="14.5">
      <c r="A3" s="4" t="s">
        <v>488</v>
      </c>
      <c r="B3" s="95">
        <f>'Manual Adjustment'!$B28</f>
        <v>0</v>
      </c>
      <c r="C3" s="95">
        <f t="shared" ref="C3:R17" si="1">B3</f>
        <v>0</v>
      </c>
      <c r="D3" s="95">
        <f t="shared" si="1"/>
        <v>0</v>
      </c>
      <c r="E3" s="95">
        <f t="shared" si="1"/>
        <v>0</v>
      </c>
      <c r="F3" s="95">
        <f t="shared" si="1"/>
        <v>0</v>
      </c>
      <c r="G3" s="95">
        <f t="shared" si="1"/>
        <v>0</v>
      </c>
      <c r="H3" s="95">
        <f t="shared" si="1"/>
        <v>0</v>
      </c>
      <c r="I3" s="95">
        <f t="shared" si="1"/>
        <v>0</v>
      </c>
      <c r="J3" s="95">
        <f t="shared" si="1"/>
        <v>0</v>
      </c>
      <c r="K3" s="95">
        <f t="shared" si="1"/>
        <v>0</v>
      </c>
      <c r="L3" s="95">
        <f t="shared" si="1"/>
        <v>0</v>
      </c>
      <c r="M3" s="95">
        <f t="shared" si="1"/>
        <v>0</v>
      </c>
      <c r="N3" s="95">
        <f t="shared" si="1"/>
        <v>0</v>
      </c>
      <c r="O3" s="95">
        <f t="shared" si="1"/>
        <v>0</v>
      </c>
      <c r="P3" s="95">
        <f t="shared" si="1"/>
        <v>0</v>
      </c>
      <c r="Q3" s="95">
        <f t="shared" si="1"/>
        <v>0</v>
      </c>
      <c r="R3" s="95">
        <f t="shared" si="1"/>
        <v>0</v>
      </c>
      <c r="S3" s="95">
        <f t="shared" si="0"/>
        <v>0</v>
      </c>
      <c r="T3" s="95">
        <f t="shared" si="0"/>
        <v>0</v>
      </c>
      <c r="U3" s="95">
        <f t="shared" si="0"/>
        <v>0</v>
      </c>
      <c r="V3" s="95">
        <f t="shared" si="0"/>
        <v>0</v>
      </c>
      <c r="W3" s="95">
        <f t="shared" si="0"/>
        <v>0</v>
      </c>
      <c r="X3" s="95">
        <f t="shared" si="0"/>
        <v>0</v>
      </c>
      <c r="Y3" s="95">
        <f t="shared" si="0"/>
        <v>0</v>
      </c>
      <c r="Z3" s="95">
        <f t="shared" si="0"/>
        <v>0</v>
      </c>
      <c r="AA3" s="95">
        <f t="shared" si="0"/>
        <v>0</v>
      </c>
      <c r="AB3" s="95">
        <f t="shared" si="0"/>
        <v>0</v>
      </c>
      <c r="AC3" s="95">
        <f t="shared" si="0"/>
        <v>0</v>
      </c>
      <c r="AD3" s="95">
        <f t="shared" si="0"/>
        <v>0</v>
      </c>
      <c r="AE3" s="95">
        <f t="shared" si="0"/>
        <v>0</v>
      </c>
      <c r="AF3" s="95">
        <f t="shared" si="0"/>
        <v>0</v>
      </c>
      <c r="AG3" s="95">
        <f t="shared" si="0"/>
        <v>0</v>
      </c>
    </row>
    <row r="4" spans="1:33" ht="14.5">
      <c r="A4" s="4" t="s">
        <v>489</v>
      </c>
      <c r="B4" s="95">
        <f>'Manual Adjustment'!$B29</f>
        <v>0</v>
      </c>
      <c r="C4" s="95">
        <f t="shared" si="1"/>
        <v>0</v>
      </c>
      <c r="D4" s="95">
        <f t="shared" si="0"/>
        <v>0</v>
      </c>
      <c r="E4" s="95">
        <f t="shared" si="0"/>
        <v>0</v>
      </c>
      <c r="F4" s="95">
        <f t="shared" si="0"/>
        <v>0</v>
      </c>
      <c r="G4" s="95">
        <f t="shared" si="0"/>
        <v>0</v>
      </c>
      <c r="H4" s="95">
        <f t="shared" si="0"/>
        <v>0</v>
      </c>
      <c r="I4" s="95">
        <f t="shared" si="0"/>
        <v>0</v>
      </c>
      <c r="J4" s="95">
        <f t="shared" si="0"/>
        <v>0</v>
      </c>
      <c r="K4" s="95">
        <f t="shared" si="0"/>
        <v>0</v>
      </c>
      <c r="L4" s="95">
        <f t="shared" si="0"/>
        <v>0</v>
      </c>
      <c r="M4" s="95">
        <f t="shared" si="0"/>
        <v>0</v>
      </c>
      <c r="N4" s="95">
        <f t="shared" si="0"/>
        <v>0</v>
      </c>
      <c r="O4" s="95">
        <f t="shared" si="0"/>
        <v>0</v>
      </c>
      <c r="P4" s="95">
        <f t="shared" si="0"/>
        <v>0</v>
      </c>
      <c r="Q4" s="95">
        <f t="shared" si="0"/>
        <v>0</v>
      </c>
      <c r="R4" s="95">
        <f t="shared" si="0"/>
        <v>0</v>
      </c>
      <c r="S4" s="95">
        <f t="shared" si="0"/>
        <v>0</v>
      </c>
      <c r="T4" s="95">
        <f t="shared" si="0"/>
        <v>0</v>
      </c>
      <c r="U4" s="95">
        <f t="shared" si="0"/>
        <v>0</v>
      </c>
      <c r="V4" s="95">
        <f t="shared" si="0"/>
        <v>0</v>
      </c>
      <c r="W4" s="95">
        <f t="shared" si="0"/>
        <v>0</v>
      </c>
      <c r="X4" s="95">
        <f t="shared" si="0"/>
        <v>0</v>
      </c>
      <c r="Y4" s="95">
        <f t="shared" si="0"/>
        <v>0</v>
      </c>
      <c r="Z4" s="95">
        <f t="shared" si="0"/>
        <v>0</v>
      </c>
      <c r="AA4" s="95">
        <f t="shared" si="0"/>
        <v>0</v>
      </c>
      <c r="AB4" s="95">
        <f t="shared" si="0"/>
        <v>0</v>
      </c>
      <c r="AC4" s="95">
        <f t="shared" si="0"/>
        <v>0</v>
      </c>
      <c r="AD4" s="95">
        <f t="shared" si="0"/>
        <v>0</v>
      </c>
      <c r="AE4" s="95">
        <f t="shared" si="0"/>
        <v>0</v>
      </c>
      <c r="AF4" s="95">
        <f t="shared" si="0"/>
        <v>0</v>
      </c>
      <c r="AG4" s="95">
        <f t="shared" si="0"/>
        <v>0</v>
      </c>
    </row>
    <row r="5" spans="1:33" ht="14.5">
      <c r="A5" s="4" t="s">
        <v>490</v>
      </c>
      <c r="B5" s="95">
        <f>'Manual Adjustment'!$B30</f>
        <v>0</v>
      </c>
      <c r="C5" s="95">
        <f t="shared" si="1"/>
        <v>0</v>
      </c>
      <c r="D5" s="95">
        <f t="shared" si="0"/>
        <v>0</v>
      </c>
      <c r="E5" s="95">
        <f t="shared" si="0"/>
        <v>0</v>
      </c>
      <c r="F5" s="95">
        <f t="shared" si="0"/>
        <v>0</v>
      </c>
      <c r="G5" s="95">
        <f t="shared" si="0"/>
        <v>0</v>
      </c>
      <c r="H5" s="95">
        <f t="shared" si="0"/>
        <v>0</v>
      </c>
      <c r="I5" s="95">
        <f t="shared" si="0"/>
        <v>0</v>
      </c>
      <c r="J5" s="95">
        <f t="shared" si="0"/>
        <v>0</v>
      </c>
      <c r="K5" s="95">
        <f t="shared" si="0"/>
        <v>0</v>
      </c>
      <c r="L5" s="95">
        <f t="shared" si="0"/>
        <v>0</v>
      </c>
      <c r="M5" s="95">
        <f t="shared" si="0"/>
        <v>0</v>
      </c>
      <c r="N5" s="95">
        <f t="shared" si="0"/>
        <v>0</v>
      </c>
      <c r="O5" s="95">
        <f t="shared" si="0"/>
        <v>0</v>
      </c>
      <c r="P5" s="95">
        <f t="shared" si="0"/>
        <v>0</v>
      </c>
      <c r="Q5" s="95">
        <f t="shared" si="0"/>
        <v>0</v>
      </c>
      <c r="R5" s="95">
        <f t="shared" si="0"/>
        <v>0</v>
      </c>
      <c r="S5" s="95">
        <f t="shared" si="0"/>
        <v>0</v>
      </c>
      <c r="T5" s="95">
        <f t="shared" si="0"/>
        <v>0</v>
      </c>
      <c r="U5" s="95">
        <f t="shared" si="0"/>
        <v>0</v>
      </c>
      <c r="V5" s="95">
        <f t="shared" si="0"/>
        <v>0</v>
      </c>
      <c r="W5" s="95">
        <f t="shared" si="0"/>
        <v>0</v>
      </c>
      <c r="X5" s="95">
        <f t="shared" si="0"/>
        <v>0</v>
      </c>
      <c r="Y5" s="95">
        <f t="shared" si="0"/>
        <v>0</v>
      </c>
      <c r="Z5" s="95">
        <f t="shared" si="0"/>
        <v>0</v>
      </c>
      <c r="AA5" s="95">
        <f t="shared" si="0"/>
        <v>0</v>
      </c>
      <c r="AB5" s="95">
        <f t="shared" si="0"/>
        <v>0</v>
      </c>
      <c r="AC5" s="95">
        <f t="shared" si="0"/>
        <v>0</v>
      </c>
      <c r="AD5" s="95">
        <f t="shared" si="0"/>
        <v>0</v>
      </c>
      <c r="AE5" s="95">
        <f t="shared" si="0"/>
        <v>0</v>
      </c>
      <c r="AF5" s="95">
        <f t="shared" si="0"/>
        <v>0</v>
      </c>
      <c r="AG5" s="95">
        <f t="shared" si="0"/>
        <v>0</v>
      </c>
    </row>
    <row r="6" spans="1:33" ht="14.5">
      <c r="A6" s="4" t="s">
        <v>491</v>
      </c>
      <c r="B6" s="95">
        <f>'Manual Adjustment'!$B31</f>
        <v>0</v>
      </c>
      <c r="C6" s="95">
        <f t="shared" si="1"/>
        <v>0</v>
      </c>
      <c r="D6" s="95">
        <f t="shared" si="0"/>
        <v>0</v>
      </c>
      <c r="E6" s="95">
        <f t="shared" si="0"/>
        <v>0</v>
      </c>
      <c r="F6" s="95">
        <f t="shared" si="0"/>
        <v>0</v>
      </c>
      <c r="G6" s="95">
        <f t="shared" si="0"/>
        <v>0</v>
      </c>
      <c r="H6" s="95">
        <f t="shared" si="0"/>
        <v>0</v>
      </c>
      <c r="I6" s="95">
        <f t="shared" si="0"/>
        <v>0</v>
      </c>
      <c r="J6" s="95">
        <f t="shared" si="0"/>
        <v>0</v>
      </c>
      <c r="K6" s="95">
        <f t="shared" si="0"/>
        <v>0</v>
      </c>
      <c r="L6" s="95">
        <f t="shared" si="0"/>
        <v>0</v>
      </c>
      <c r="M6" s="95">
        <f t="shared" si="0"/>
        <v>0</v>
      </c>
      <c r="N6" s="95">
        <f t="shared" si="0"/>
        <v>0</v>
      </c>
      <c r="O6" s="95">
        <f t="shared" si="0"/>
        <v>0</v>
      </c>
      <c r="P6" s="95">
        <f t="shared" si="0"/>
        <v>0</v>
      </c>
      <c r="Q6" s="95">
        <f t="shared" si="0"/>
        <v>0</v>
      </c>
      <c r="R6" s="95">
        <f t="shared" si="0"/>
        <v>0</v>
      </c>
      <c r="S6" s="95">
        <f t="shared" si="0"/>
        <v>0</v>
      </c>
      <c r="T6" s="95">
        <f t="shared" si="0"/>
        <v>0</v>
      </c>
      <c r="U6" s="95">
        <f t="shared" si="0"/>
        <v>0</v>
      </c>
      <c r="V6" s="95">
        <f t="shared" si="0"/>
        <v>0</v>
      </c>
      <c r="W6" s="95">
        <f t="shared" si="0"/>
        <v>0</v>
      </c>
      <c r="X6" s="95">
        <f t="shared" si="0"/>
        <v>0</v>
      </c>
      <c r="Y6" s="95">
        <f t="shared" si="0"/>
        <v>0</v>
      </c>
      <c r="Z6" s="95">
        <f t="shared" si="0"/>
        <v>0</v>
      </c>
      <c r="AA6" s="95">
        <f t="shared" si="0"/>
        <v>0</v>
      </c>
      <c r="AB6" s="95">
        <f t="shared" si="0"/>
        <v>0</v>
      </c>
      <c r="AC6" s="95">
        <f t="shared" si="0"/>
        <v>0</v>
      </c>
      <c r="AD6" s="95">
        <f t="shared" si="0"/>
        <v>0</v>
      </c>
      <c r="AE6" s="95">
        <f t="shared" si="0"/>
        <v>0</v>
      </c>
      <c r="AF6" s="95">
        <f t="shared" si="0"/>
        <v>0</v>
      </c>
      <c r="AG6" s="95">
        <f t="shared" si="0"/>
        <v>0</v>
      </c>
    </row>
    <row r="7" spans="1:33" ht="14.5">
      <c r="A7" s="4" t="s">
        <v>492</v>
      </c>
      <c r="B7" s="95">
        <f>'Manual Adjustment'!$B32</f>
        <v>0</v>
      </c>
      <c r="C7" s="95">
        <f t="shared" si="1"/>
        <v>0</v>
      </c>
      <c r="D7" s="95">
        <f t="shared" si="0"/>
        <v>0</v>
      </c>
      <c r="E7" s="95">
        <f t="shared" si="0"/>
        <v>0</v>
      </c>
      <c r="F7" s="95">
        <f t="shared" si="0"/>
        <v>0</v>
      </c>
      <c r="G7" s="95">
        <f t="shared" si="0"/>
        <v>0</v>
      </c>
      <c r="H7" s="95">
        <f t="shared" si="0"/>
        <v>0</v>
      </c>
      <c r="I7" s="95">
        <f t="shared" si="0"/>
        <v>0</v>
      </c>
      <c r="J7" s="95">
        <f t="shared" si="0"/>
        <v>0</v>
      </c>
      <c r="K7" s="95">
        <f t="shared" si="0"/>
        <v>0</v>
      </c>
      <c r="L7" s="95">
        <f t="shared" si="0"/>
        <v>0</v>
      </c>
      <c r="M7" s="95">
        <f t="shared" si="0"/>
        <v>0</v>
      </c>
      <c r="N7" s="95">
        <f t="shared" si="0"/>
        <v>0</v>
      </c>
      <c r="O7" s="95">
        <f t="shared" si="0"/>
        <v>0</v>
      </c>
      <c r="P7" s="95">
        <f t="shared" si="0"/>
        <v>0</v>
      </c>
      <c r="Q7" s="95">
        <f t="shared" si="0"/>
        <v>0</v>
      </c>
      <c r="R7" s="95">
        <f t="shared" si="0"/>
        <v>0</v>
      </c>
      <c r="S7" s="95">
        <f t="shared" si="0"/>
        <v>0</v>
      </c>
      <c r="T7" s="95">
        <f t="shared" si="0"/>
        <v>0</v>
      </c>
      <c r="U7" s="95">
        <f t="shared" si="0"/>
        <v>0</v>
      </c>
      <c r="V7" s="95">
        <f t="shared" si="0"/>
        <v>0</v>
      </c>
      <c r="W7" s="95">
        <f t="shared" si="0"/>
        <v>0</v>
      </c>
      <c r="X7" s="95">
        <f t="shared" si="0"/>
        <v>0</v>
      </c>
      <c r="Y7" s="95">
        <f t="shared" si="0"/>
        <v>0</v>
      </c>
      <c r="Z7" s="95">
        <f t="shared" si="0"/>
        <v>0</v>
      </c>
      <c r="AA7" s="95">
        <f t="shared" si="0"/>
        <v>0</v>
      </c>
      <c r="AB7" s="95">
        <f t="shared" si="0"/>
        <v>0</v>
      </c>
      <c r="AC7" s="95">
        <f t="shared" si="0"/>
        <v>0</v>
      </c>
      <c r="AD7" s="95">
        <f t="shared" si="0"/>
        <v>0</v>
      </c>
      <c r="AE7" s="95">
        <f t="shared" si="0"/>
        <v>0</v>
      </c>
      <c r="AF7" s="95">
        <f t="shared" si="0"/>
        <v>0</v>
      </c>
      <c r="AG7" s="95">
        <f t="shared" si="0"/>
        <v>0</v>
      </c>
    </row>
    <row r="8" spans="1:33" ht="14.5">
      <c r="A8" s="4" t="s">
        <v>493</v>
      </c>
      <c r="B8" s="95">
        <f>'Manual Adjustment'!$B33</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ht="14.5">
      <c r="A9" s="4" t="s">
        <v>494</v>
      </c>
      <c r="B9" s="95">
        <f>'Manual Adjustment'!$B34</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ht="14.5">
      <c r="A10" s="4" t="s">
        <v>495</v>
      </c>
      <c r="B10" s="95">
        <f>'Manual Adjustment'!$B35</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ht="14.5">
      <c r="A11" s="4" t="s">
        <v>496</v>
      </c>
      <c r="B11" s="95">
        <f>'Manual Adjustment'!$B36</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ht="14.5">
      <c r="A12" s="4" t="s">
        <v>497</v>
      </c>
      <c r="B12" s="95">
        <f>'Manual Adjustment'!$B37</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ht="14.5">
      <c r="A13" s="4" t="s">
        <v>498</v>
      </c>
      <c r="B13" s="95">
        <f>'Manual Adjustment'!$B38</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ht="14.5">
      <c r="A14" s="4" t="s">
        <v>499</v>
      </c>
      <c r="B14" s="95">
        <f>'Manual Adjustment'!$B39</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ht="14.5">
      <c r="A15" s="4" t="s">
        <v>500</v>
      </c>
      <c r="B15" s="95">
        <f>'Manual Adjustment'!$B40</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ht="14.5">
      <c r="A16" s="4" t="s">
        <v>501</v>
      </c>
      <c r="B16" s="95">
        <f>'Manual Adjustment'!$B41</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ht="14.5">
      <c r="A17" s="4" t="s">
        <v>502</v>
      </c>
      <c r="B17" s="95">
        <f>'Manual Adjustment'!$B42</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58203125" defaultRowHeight="15" customHeight="1"/>
  <cols>
    <col min="1" max="1" width="22.83203125" customWidth="1"/>
    <col min="2" max="33" width="7.58203125" customWidth="1"/>
  </cols>
  <sheetData>
    <row r="1" spans="1:33" ht="32.15"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579</v>
      </c>
      <c r="B2" s="1">
        <f>'Manual Adjustment'!C46</f>
        <v>28050434</v>
      </c>
      <c r="C2" s="1">
        <f>'Manual Adjustment'!D46</f>
        <v>22109426</v>
      </c>
      <c r="D2" s="1">
        <f>'Manual Adjustment'!E46</f>
        <v>30111926.5</v>
      </c>
      <c r="E2" s="1">
        <f>'Manual Adjustment'!F46</f>
        <v>30111926.5</v>
      </c>
      <c r="F2" s="1">
        <f>'Manual Adjustment'!G46</f>
        <v>30111926.5</v>
      </c>
      <c r="G2" s="1">
        <f>'Manual Adjustment'!H46</f>
        <v>30111926.5</v>
      </c>
      <c r="H2" s="1">
        <f>'Manual Adjustment'!I46</f>
        <v>30111926.5</v>
      </c>
      <c r="I2" s="1">
        <f>'Manual Adjustment'!J46</f>
        <v>30111926.5</v>
      </c>
      <c r="J2" s="1">
        <f>'Manual Adjustment'!K46</f>
        <v>30111926.5</v>
      </c>
      <c r="K2" s="1">
        <f>'Manual Adjustment'!L46</f>
        <v>30111926.5</v>
      </c>
      <c r="L2" s="1">
        <f>'Manual Adjustment'!M46</f>
        <v>30111926.5</v>
      </c>
      <c r="M2" s="1">
        <f>'Manual Adjustment'!N46</f>
        <v>30111926.5</v>
      </c>
      <c r="N2" s="1">
        <f>'Manual Adjustment'!O46</f>
        <v>30111926.5</v>
      </c>
      <c r="O2" s="1">
        <f>'Manual Adjustment'!P46</f>
        <v>30111926.5</v>
      </c>
      <c r="P2" s="1">
        <f>'Manual Adjustment'!Q46</f>
        <v>30111926.5</v>
      </c>
      <c r="Q2" s="1">
        <f>'Manual Adjustment'!R46</f>
        <v>30111926.5</v>
      </c>
      <c r="R2" s="1">
        <f>'Manual Adjustment'!S46</f>
        <v>30111926.5</v>
      </c>
      <c r="S2" s="1">
        <f>'Manual Adjustment'!T46</f>
        <v>30111926.5</v>
      </c>
      <c r="T2" s="1">
        <f>'Manual Adjustment'!U46</f>
        <v>30111926.5</v>
      </c>
      <c r="U2" s="1">
        <f>'Manual Adjustment'!V46</f>
        <v>30111926.5</v>
      </c>
      <c r="V2" s="1">
        <f>'Manual Adjustment'!W46</f>
        <v>30111926.5</v>
      </c>
      <c r="W2" s="1">
        <f>'Manual Adjustment'!X46</f>
        <v>30111926.5</v>
      </c>
      <c r="X2" s="1">
        <f>'Manual Adjustment'!Y46</f>
        <v>30111926.5</v>
      </c>
      <c r="Y2" s="1">
        <f>'Manual Adjustment'!Z46</f>
        <v>30111926.5</v>
      </c>
      <c r="Z2" s="1">
        <f>'Manual Adjustment'!AA46</f>
        <v>30111926.5</v>
      </c>
      <c r="AA2" s="1">
        <f>'Manual Adjustment'!AB46</f>
        <v>30111926.5</v>
      </c>
      <c r="AB2" s="1">
        <f>'Manual Adjustment'!AC46</f>
        <v>30111926.5</v>
      </c>
      <c r="AC2" s="1">
        <f>'Manual Adjustment'!AD46</f>
        <v>30111926.5</v>
      </c>
      <c r="AD2" s="1">
        <f>'Manual Adjustment'!AE46</f>
        <v>30111926.5</v>
      </c>
      <c r="AE2" s="1">
        <f>'Manual Adjustment'!AF46</f>
        <v>30111926.5</v>
      </c>
      <c r="AF2" s="1">
        <f>'Manual Adjustment'!AG46</f>
        <v>30111926.5</v>
      </c>
      <c r="AG2" s="1">
        <f>'Manual Adjustment'!AH46</f>
        <v>30111926.5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58203125" defaultRowHeight="15" customHeight="1"/>
  <cols>
    <col min="1" max="1" width="23" customWidth="1"/>
    <col min="2" max="2" width="16.08203125" customWidth="1"/>
    <col min="3"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581</v>
      </c>
      <c r="B2" s="66">
        <f>SUMIFS('State Generation Costs Calcs'!B105:B155,'State Generation Costs Calcs'!$A$105:$A$155,About!$B$2)*About!$A$52</f>
        <v>46.514105505346315</v>
      </c>
      <c r="C2" s="66">
        <f>SUMIFS('State Generation Costs Calcs'!C105:C155,'State Generation Costs Calcs'!$A$105:$A$155,About!$B$2)*About!$A$52</f>
        <v>44.196372897331891</v>
      </c>
      <c r="D2" s="66">
        <f>SUMIFS('State Generation Costs Calcs'!D105:D155,'State Generation Costs Calcs'!$A$105:$A$155,About!$B$2)*About!$A$52</f>
        <v>43.79776349768381</v>
      </c>
      <c r="E2" s="66">
        <f>SUMIFS('State Generation Costs Calcs'!E105:E155,'State Generation Costs Calcs'!$A$105:$A$155,About!$B$2)*About!$A$52</f>
        <v>43.162902106249213</v>
      </c>
      <c r="F2" s="66">
        <f>SUMIFS('State Generation Costs Calcs'!F105:F155,'State Generation Costs Calcs'!$A$105:$A$155,About!$B$2)*About!$A$52</f>
        <v>42.606671122044951</v>
      </c>
      <c r="G2" s="66">
        <f>SUMIFS('State Generation Costs Calcs'!G105:G155,'State Generation Costs Calcs'!$A$105:$A$155,About!$B$2)*About!$A$52</f>
        <v>42.679938726399762</v>
      </c>
      <c r="H2" s="66">
        <f>SUMIFS('State Generation Costs Calcs'!H105:H155,'State Generation Costs Calcs'!$A$105:$A$155,About!$B$2)*About!$A$52</f>
        <v>43.043308323002044</v>
      </c>
      <c r="I2" s="66">
        <f>SUMIFS('State Generation Costs Calcs'!I105:I155,'State Generation Costs Calcs'!$A$105:$A$155,About!$B$2)*About!$A$52</f>
        <v>43.361210758033806</v>
      </c>
      <c r="J2" s="66">
        <f>SUMIFS('State Generation Costs Calcs'!J105:J155,'State Generation Costs Calcs'!$A$105:$A$155,About!$B$2)*About!$A$52</f>
        <v>43.466013991781892</v>
      </c>
      <c r="K2" s="66">
        <f>SUMIFS('State Generation Costs Calcs'!K105:K155,'State Generation Costs Calcs'!$A$105:$A$155,About!$B$2)*About!$A$52</f>
        <v>42.875963258064949</v>
      </c>
      <c r="L2" s="66">
        <f>SUMIFS('State Generation Costs Calcs'!L105:L155,'State Generation Costs Calcs'!$A$105:$A$155,About!$B$2)*About!$A$52</f>
        <v>42.232428914676156</v>
      </c>
      <c r="M2" s="66">
        <f>SUMIFS('State Generation Costs Calcs'!M105:M155,'State Generation Costs Calcs'!$A$105:$A$155,About!$B$2)*About!$A$52</f>
        <v>41.75195475857042</v>
      </c>
      <c r="N2" s="66">
        <f>SUMIFS('State Generation Costs Calcs'!N105:N155,'State Generation Costs Calcs'!$A$105:$A$155,About!$B$2)*About!$A$52</f>
        <v>41.09302303011355</v>
      </c>
      <c r="O2" s="66">
        <f>SUMIFS('State Generation Costs Calcs'!O105:O155,'State Generation Costs Calcs'!$A$105:$A$155,About!$B$2)*About!$A$52</f>
        <v>40.471645097607855</v>
      </c>
      <c r="P2" s="66">
        <f>SUMIFS('State Generation Costs Calcs'!P105:P155,'State Generation Costs Calcs'!$A$105:$A$155,About!$B$2)*About!$A$52</f>
        <v>40.477122049866836</v>
      </c>
      <c r="Q2" s="66">
        <f>SUMIFS('State Generation Costs Calcs'!Q105:Q155,'State Generation Costs Calcs'!$A$105:$A$155,About!$B$2)*About!$A$52</f>
        <v>40.291388640138493</v>
      </c>
      <c r="R2" s="66">
        <f>SUMIFS('State Generation Costs Calcs'!R105:R155,'State Generation Costs Calcs'!$A$105:$A$155,About!$B$2)*About!$A$52</f>
        <v>39.669169096686559</v>
      </c>
      <c r="S2" s="66">
        <f>SUMIFS('State Generation Costs Calcs'!S105:S155,'State Generation Costs Calcs'!$A$105:$A$155,About!$B$2)*About!$A$52</f>
        <v>39.335681346249167</v>
      </c>
      <c r="T2" s="66">
        <f>SUMIFS('State Generation Costs Calcs'!T105:T155,'State Generation Costs Calcs'!$A$105:$A$155,About!$B$2)*About!$A$52</f>
        <v>39.012405243067704</v>
      </c>
      <c r="U2" s="66">
        <f>SUMIFS('State Generation Costs Calcs'!U105:U155,'State Generation Costs Calcs'!$A$105:$A$155,About!$B$2)*About!$A$52</f>
        <v>39.075554218915649</v>
      </c>
      <c r="V2" s="66">
        <f>SUMIFS('State Generation Costs Calcs'!V105:V155,'State Generation Costs Calcs'!$A$105:$A$155,About!$B$2)*About!$A$52</f>
        <v>38.788967810703632</v>
      </c>
      <c r="W2" s="66">
        <f>SUMIFS('State Generation Costs Calcs'!W105:W155,'State Generation Costs Calcs'!$A$105:$A$155,About!$B$2)*About!$A$52</f>
        <v>38.290537678390265</v>
      </c>
      <c r="X2" s="66">
        <f>SUMIFS('State Generation Costs Calcs'!X105:X155,'State Generation Costs Calcs'!$A$105:$A$155,About!$B$2)*About!$A$52</f>
        <v>38.051962115679395</v>
      </c>
      <c r="Y2" s="66">
        <f>SUMIFS('State Generation Costs Calcs'!Y105:Y155,'State Generation Costs Calcs'!$A$105:$A$155,About!$B$2)*About!$A$52</f>
        <v>37.809150569049038</v>
      </c>
      <c r="Z2" s="66">
        <f>SUMIFS('State Generation Costs Calcs'!Z105:Z155,'State Generation Costs Calcs'!$A$105:$A$155,About!$B$2)*About!$A$52</f>
        <v>37.546377786080726</v>
      </c>
      <c r="AA2" s="66">
        <f>SUMIFS('State Generation Costs Calcs'!AA105:AA155,'State Generation Costs Calcs'!$A$105:$A$155,About!$B$2)*About!$A$52</f>
        <v>37.511287140480093</v>
      </c>
      <c r="AB2" s="66">
        <f>SUMIFS('State Generation Costs Calcs'!AB105:AB155,'State Generation Costs Calcs'!$A$105:$A$155,About!$B$2)*About!$A$52</f>
        <v>37.347443875483364</v>
      </c>
      <c r="AC2" s="66">
        <f>SUMIFS('State Generation Costs Calcs'!AC105:AC155,'State Generation Costs Calcs'!$A$105:$A$155,About!$B$2)*About!$A$52</f>
        <v>37.166916971248064</v>
      </c>
      <c r="AD2" s="66">
        <f>SUMIFS('State Generation Costs Calcs'!AD105:AD155,'State Generation Costs Calcs'!$A$105:$A$155,About!$B$2)*About!$A$52</f>
        <v>37.286714624000659</v>
      </c>
      <c r="AE2" s="66">
        <f>SUMIFS('State Generation Costs Calcs'!AE105:AE155,'State Generation Costs Calcs'!$A$105:$A$155,About!$B$2)*About!$A$52</f>
        <v>37.218036264844585</v>
      </c>
      <c r="AF2" s="66">
        <f>SUMIFS('State Generation Costs Calcs'!AF105:AF155,'State Generation Costs Calcs'!$A$105:$A$155,About!$B$2)*About!$A$52</f>
        <v>37.103081388761552</v>
      </c>
      <c r="AG2" s="66">
        <f>SUMIFS('State Generation Costs Calcs'!AG105:AG155,'State Generation Costs Calcs'!$A$105:$A$155,About!$B$2)*About!$A$52</f>
        <v>37.141248108163147</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58203125" defaultRowHeight="15" customHeight="1"/>
  <cols>
    <col min="1" max="1" width="23" customWidth="1"/>
    <col min="2"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582</v>
      </c>
      <c r="B2" s="67">
        <f>SUMIFS('State Generation Costs Calcs'!B105:B155,'State Generation Costs Calcs'!$A$105:$A$155,About!$B$2)*About!$A$52</f>
        <v>46.514105505346315</v>
      </c>
      <c r="C2" s="67">
        <f>SUMIFS('State Generation Costs Calcs'!C105:C155,'State Generation Costs Calcs'!$A$105:$A$155,About!$B$2)*About!$A$52</f>
        <v>44.196372897331891</v>
      </c>
      <c r="D2" s="67">
        <f>SUMIFS('State Generation Costs Calcs'!D105:D155,'State Generation Costs Calcs'!$A$105:$A$155,About!$B$2)*About!$A$52</f>
        <v>43.79776349768381</v>
      </c>
      <c r="E2" s="67">
        <f>SUMIFS('State Generation Costs Calcs'!E105:E155,'State Generation Costs Calcs'!$A$105:$A$155,About!$B$2)*About!$A$52</f>
        <v>43.162902106249213</v>
      </c>
      <c r="F2" s="67">
        <f>SUMIFS('State Generation Costs Calcs'!F105:F155,'State Generation Costs Calcs'!$A$105:$A$155,About!$B$2)*About!$A$52</f>
        <v>42.606671122044951</v>
      </c>
      <c r="G2" s="67">
        <f>SUMIFS('State Generation Costs Calcs'!G105:G155,'State Generation Costs Calcs'!$A$105:$A$155,About!$B$2)*About!$A$52</f>
        <v>42.679938726399762</v>
      </c>
      <c r="H2" s="67">
        <f>SUMIFS('State Generation Costs Calcs'!H105:H155,'State Generation Costs Calcs'!$A$105:$A$155,About!$B$2)*About!$A$52</f>
        <v>43.043308323002044</v>
      </c>
      <c r="I2" s="67">
        <f>SUMIFS('State Generation Costs Calcs'!I105:I155,'State Generation Costs Calcs'!$A$105:$A$155,About!$B$2)*About!$A$52</f>
        <v>43.361210758033806</v>
      </c>
      <c r="J2" s="67">
        <f>SUMIFS('State Generation Costs Calcs'!J105:J155,'State Generation Costs Calcs'!$A$105:$A$155,About!$B$2)*About!$A$52</f>
        <v>43.466013991781892</v>
      </c>
      <c r="K2" s="67">
        <f>SUMIFS('State Generation Costs Calcs'!K105:K155,'State Generation Costs Calcs'!$A$105:$A$155,About!$B$2)*About!$A$52</f>
        <v>42.875963258064949</v>
      </c>
      <c r="L2" s="67">
        <f>SUMIFS('State Generation Costs Calcs'!L105:L155,'State Generation Costs Calcs'!$A$105:$A$155,About!$B$2)*About!$A$52</f>
        <v>42.232428914676156</v>
      </c>
      <c r="M2" s="67">
        <f>SUMIFS('State Generation Costs Calcs'!M105:M155,'State Generation Costs Calcs'!$A$105:$A$155,About!$B$2)*About!$A$52</f>
        <v>41.75195475857042</v>
      </c>
      <c r="N2" s="67">
        <f>SUMIFS('State Generation Costs Calcs'!N105:N155,'State Generation Costs Calcs'!$A$105:$A$155,About!$B$2)*About!$A$52</f>
        <v>41.09302303011355</v>
      </c>
      <c r="O2" s="67">
        <f>SUMIFS('State Generation Costs Calcs'!O105:O155,'State Generation Costs Calcs'!$A$105:$A$155,About!$B$2)*About!$A$52</f>
        <v>40.471645097607855</v>
      </c>
      <c r="P2" s="67">
        <f>SUMIFS('State Generation Costs Calcs'!P105:P155,'State Generation Costs Calcs'!$A$105:$A$155,About!$B$2)*About!$A$52</f>
        <v>40.477122049866836</v>
      </c>
      <c r="Q2" s="67">
        <f>SUMIFS('State Generation Costs Calcs'!Q105:Q155,'State Generation Costs Calcs'!$A$105:$A$155,About!$B$2)*About!$A$52</f>
        <v>40.291388640138493</v>
      </c>
      <c r="R2" s="67">
        <f>SUMIFS('State Generation Costs Calcs'!R105:R155,'State Generation Costs Calcs'!$A$105:$A$155,About!$B$2)*About!$A$52</f>
        <v>39.669169096686559</v>
      </c>
      <c r="S2" s="67">
        <f>SUMIFS('State Generation Costs Calcs'!S105:S155,'State Generation Costs Calcs'!$A$105:$A$155,About!$B$2)*About!$A$52</f>
        <v>39.335681346249167</v>
      </c>
      <c r="T2" s="67">
        <f>SUMIFS('State Generation Costs Calcs'!T105:T155,'State Generation Costs Calcs'!$A$105:$A$155,About!$B$2)*About!$A$52</f>
        <v>39.012405243067704</v>
      </c>
      <c r="U2" s="67">
        <f>SUMIFS('State Generation Costs Calcs'!U105:U155,'State Generation Costs Calcs'!$A$105:$A$155,About!$B$2)*About!$A$52</f>
        <v>39.075554218915649</v>
      </c>
      <c r="V2" s="67">
        <f>SUMIFS('State Generation Costs Calcs'!V105:V155,'State Generation Costs Calcs'!$A$105:$A$155,About!$B$2)*About!$A$52</f>
        <v>38.788967810703632</v>
      </c>
      <c r="W2" s="67">
        <f>SUMIFS('State Generation Costs Calcs'!W105:W155,'State Generation Costs Calcs'!$A$105:$A$155,About!$B$2)*About!$A$52</f>
        <v>38.290537678390265</v>
      </c>
      <c r="X2" s="67">
        <f>SUMIFS('State Generation Costs Calcs'!X105:X155,'State Generation Costs Calcs'!$A$105:$A$155,About!$B$2)*About!$A$52</f>
        <v>38.051962115679395</v>
      </c>
      <c r="Y2" s="67">
        <f>SUMIFS('State Generation Costs Calcs'!Y105:Y155,'State Generation Costs Calcs'!$A$105:$A$155,About!$B$2)*About!$A$52</f>
        <v>37.809150569049038</v>
      </c>
      <c r="Z2" s="67">
        <f>SUMIFS('State Generation Costs Calcs'!Z105:Z155,'State Generation Costs Calcs'!$A$105:$A$155,About!$B$2)*About!$A$52</f>
        <v>37.546377786080726</v>
      </c>
      <c r="AA2" s="67">
        <f>SUMIFS('State Generation Costs Calcs'!AA105:AA155,'State Generation Costs Calcs'!$A$105:$A$155,About!$B$2)*About!$A$52</f>
        <v>37.511287140480093</v>
      </c>
      <c r="AB2" s="67">
        <f>SUMIFS('State Generation Costs Calcs'!AB105:AB155,'State Generation Costs Calcs'!$A$105:$A$155,About!$B$2)*About!$A$52</f>
        <v>37.347443875483364</v>
      </c>
      <c r="AC2" s="67">
        <f>SUMIFS('State Generation Costs Calcs'!AC105:AC155,'State Generation Costs Calcs'!$A$105:$A$155,About!$B$2)*About!$A$52</f>
        <v>37.166916971248064</v>
      </c>
      <c r="AD2" s="67">
        <f>SUMIFS('State Generation Costs Calcs'!AD105:AD155,'State Generation Costs Calcs'!$A$105:$A$155,About!$B$2)*About!$A$52</f>
        <v>37.286714624000659</v>
      </c>
      <c r="AE2" s="67">
        <f>SUMIFS('State Generation Costs Calcs'!AE105:AE155,'State Generation Costs Calcs'!$A$105:$A$155,About!$B$2)*About!$A$52</f>
        <v>37.218036264844585</v>
      </c>
      <c r="AF2" s="67">
        <f>SUMIFS('State Generation Costs Calcs'!AF105:AF155,'State Generation Costs Calcs'!$A$105:$A$155,About!$B$2)*About!$A$52</f>
        <v>37.103081388761552</v>
      </c>
      <c r="AG2" s="67">
        <f>SUMIFS('State Generation Costs Calcs'!AG105:AG155,'State Generation Costs Calcs'!$A$105:$A$155,About!$B$2)*About!$A$52</f>
        <v>37.141248108163147</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retail sales summary</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2022-11-01T00:21:20Z</dcterms:modified>
</cp:coreProperties>
</file>