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6" l="1"/>
  <c r="R30" i="6"/>
  <c r="R28" i="6"/>
  <c r="M17" i="6"/>
  <c r="C9" i="7" l="1"/>
  <c r="C4" i="7"/>
  <c r="C5" i="7"/>
  <c r="C6" i="7"/>
  <c r="C7" i="7"/>
  <c r="C8" i="7"/>
  <c r="C10" i="7"/>
  <c r="C3" i="7"/>
  <c r="R5" i="6" l="1"/>
  <c r="R4" i="6"/>
  <c r="R3" i="6"/>
  <c r="R2" i="6"/>
  <c r="M5" i="6"/>
  <c r="R6" i="6" l="1"/>
  <c r="R7" i="6" s="1"/>
  <c r="R9" i="6" s="1"/>
  <c r="M15" i="6"/>
  <c r="R13" i="6" s="1"/>
  <c r="C19" i="6"/>
  <c r="C16" i="6"/>
  <c r="D8" i="7"/>
  <c r="D7" i="7"/>
  <c r="D6" i="7"/>
  <c r="D5" i="7"/>
  <c r="D3" i="7"/>
  <c r="D4" i="7"/>
  <c r="D10" i="7"/>
  <c r="D9" i="7"/>
  <c r="R10" i="6" l="1"/>
  <c r="R23" i="6"/>
  <c r="C21" i="6"/>
  <c r="H13" i="6"/>
  <c r="R18" i="6" s="1"/>
  <c r="R19" i="6" s="1"/>
  <c r="H22" i="6"/>
  <c r="H23" i="6" s="1"/>
  <c r="R26" i="6"/>
  <c r="C22" i="6"/>
  <c r="C20" i="6"/>
  <c r="H7" i="4"/>
  <c r="C20" i="4"/>
  <c r="C18" i="4"/>
  <c r="C6" i="4"/>
  <c r="C8" i="4" s="1"/>
  <c r="C9" i="4" s="1"/>
  <c r="C11" i="4" s="1"/>
  <c r="C12" i="4" s="1"/>
  <c r="C19" i="4"/>
  <c r="C7" i="4"/>
  <c r="R25" i="6" l="1"/>
  <c r="R20" i="6"/>
  <c r="C23" i="6"/>
  <c r="C24" i="6"/>
  <c r="C25" i="6" s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C26" i="6" l="1"/>
  <c r="M14" i="6" s="1"/>
  <c r="U6" i="4"/>
  <c r="H14" i="4"/>
  <c r="T8" i="4"/>
  <c r="U8" i="4" s="1"/>
  <c r="M18" i="6" l="1"/>
  <c r="V10" i="6" s="1"/>
  <c r="M23" i="6"/>
  <c r="C27" i="6"/>
  <c r="H14" i="6"/>
  <c r="H15" i="6" s="1"/>
  <c r="H16" i="6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19" i="6" l="1"/>
  <c r="C28" i="6"/>
  <c r="H24" i="6"/>
  <c r="H25" i="6" s="1"/>
  <c r="H26" i="6" s="1"/>
  <c r="M20" i="6" s="1"/>
  <c r="M27" i="6" s="1"/>
  <c r="H28" i="6"/>
  <c r="H29" i="6" s="1"/>
  <c r="R27" i="6" s="1"/>
  <c r="M27" i="4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24" i="6" l="1"/>
  <c r="M28" i="6"/>
  <c r="R14" i="6"/>
  <c r="M17" i="4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used currently.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Sarım için önemli. Açık olması daha iyi.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<sst xmlns="http://schemas.openxmlformats.org/spreadsheetml/2006/main" count="724" uniqueCount="383">
  <si>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</si>
  <si>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</si>
  <si>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</si>
  <si>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</si>
  <si>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</si>
  <si>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</si>
  <si>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</si>
  <si>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</si>
  <si>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</si>
  <si>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</si>
  <si>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</si>
  <si>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</si>
  <si>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</si>
  <si>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</si>
  <si>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</si>
  <si>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</si>
  <si>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</si>
  <si>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</si>
  <si>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</si>
  <si>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</si>
  <si>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</si>
  <si>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</si>
  <si>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</si>
  <si>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</si>
  <si>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</si>
  <si>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</si>
  <si>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</si>
  <si>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</si>
  <si>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</si>
  <si>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</si>
  <si>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</si>
  <si>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</si>
  <si>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</si>
  <si>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</si>
  <si>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</si>
  <si>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</si>
  <si>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</si>
  <si>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</si>
  <si>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</si>
  <si>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</si>
  <si>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</si>
  <si>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</si>
  <si>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</si>
  <si>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</si>
  <si>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</si>
  <si>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</si>
  <si>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</si>
  <si>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</si>
  <si>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</si>
  <si>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</si>
  <si>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</si>
  <si>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</si>
  <si>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</si>
  <si>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</si>
  <si>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</si>
  <si>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</si>
  <si>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</si>
  <si>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</si>
  <si>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</si>
  <si>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</si>
  <si>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</si>
  <si>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</si>
  <si>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</si>
  <si>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</si>
  <si>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</si>
  <si>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</si>
  <si>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</si>
  <si>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</si>
  <si>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</si>
  <si>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</si>
  <si>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</si>
  <si>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</si>
  <si>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</si>
  <si>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</si>
  <si>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</si>
  <si>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</si>
  <si>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</si>
  <si>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</si>
  <si>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</si>
  <si>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</si>
  <si>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</si>
  <si>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</si>
  <si>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</si>
  <si>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</si>
  <si>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</si>
  <si>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</si>
  <si>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</si>
  <si>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</si>
  <si>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</si>
  <si>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</si>
  <si>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</si>
  <si>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</si>
  <si>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</si>
  <si>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</si>
  <si>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</si>
  <si>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</si>
  <si>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</si>
  <si>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</si>
  <si>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</si>
  <si>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</si>
  <si>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</si>
  <si>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</si>
  <si>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</si>
  <si>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</si>
  <si>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</si>
  <si>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</si>
  <si>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</si>
  <si>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</si>
  <si>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</si>
  <si>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</si>
  <si>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</si>
  <si>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</si>
  <si>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</si>
  <si>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</si>
  <si>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</si>
  <si>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</si>
  <si>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</si>
  <si>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</si>
  <si>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</si>
  <si>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</si>
  <si>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</si>
  <si>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</si>
  <si>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</si>
  <si>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</si>
  <si>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</si>
  <si>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</si>
  <si>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</si>
  <si>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</si>
  <si>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</si>
  <si>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</si>
  <si>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</si>
  <si>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</si>
  <si>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</si>
  <si>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</si>
  <si>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</si>
  <si>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</si>
  <si>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</si>
  <si>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</si>
  <si>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</si>
  <si>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</si>
  <si>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</si>
  <si>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</si>
  <si>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</si>
  <si>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</si>
  <si>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</si>
  <si>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</si>
  <si>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</si>
  <si>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</si>
  <si>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</si>
  <si>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</si>
  <si>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</si>
  <si>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</si>
  <si>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</si>
  <si>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</si>
  <si>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</si>
  <si>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</si>
  <si>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</si>
  <si>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</si>
  <si>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</si>
  <si>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</si>
  <si>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</si>
  <si>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</si>
  <si>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</si>
  <si>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</si>
  <si>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</si>
  <si>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</si>
  <si>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</si>
  <si>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</si>
  <si>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</si>
  <si>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</si>
  <si>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</si>
  <si>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</si>
  <si>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</si>
  <si>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</si>
  <si>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</si>
  <si>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</si>
  <si>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</si>
  <si>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</si>
  <si>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</si>
  <si>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</si>
  <si>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</si>
  <si>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</si>
  <si>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</si>
  <si>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</si>
  <si>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</si>
  <si>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</si>
  <si>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</si>
  <si>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</si>
  <si>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</si>
  <si>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</si>
  <si>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</si>
  <si>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</si>
  <si>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</si>
  <si>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</si>
  <si>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</si>
  <si>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</si>
  <si>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</si>
  <si>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</si>
  <si>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</si>
  <si>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</si>
  <si>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</si>
  <si>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</si>
  <si>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</si>
  <si>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</si>
  <si>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</si>
  <si>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</si>
  <si>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</si>
  <si>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</si>
  <si>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</si>
  <si>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</si>
  <si>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</si>
  <si>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</si>
  <si>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</si>
  <si>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</si>
  <si>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</si>
  <si>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</si>
  <si>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</si>
  <si>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</si>
  <si>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</si>
  <si>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</si>
  <si>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</si>
  <si>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</si>
  <si>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</si>
  <si>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</si>
  <si>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</si>
  <si>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</si>
  <si>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</si>
  <si>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</si>
  <si>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</si>
  <si>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</si>
  <si>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</si>
  <si>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</si>
  <si>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</si>
  <si>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</si>
  <si>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</si>
  <si>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</si>
  <si>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</si>
  <si>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</si>
  <si>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</si>
  <si>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</si>
  <si>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</si>
  <si>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</si>
  <si>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</si>
  <si>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</si>
  <si>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</si>
  <si>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</si>
  <si>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</si>
  <si>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</si>
  <si>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</si>
  <si>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</si>
  <si>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</si>
  <si>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</si>
  <si>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</si>
  <si>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</si>
  <si>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</si>
  <si>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</si>
  <si>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</si>
  <si>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</si>
  <si>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</si>
  <si>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</si>
  <si>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</si>
  <si>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</si>
  <si>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</si>
  <si>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</si>
  <si>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</si>
  <si>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</si>
  <si>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</si>
  <si>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</si>
  <si>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</si>
  <si>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</si>
  <si>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</si>
  <si>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</si>
  <si>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</si>
  <si>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</si>
  <si>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</si>
  <si>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</si>
  <si>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</si>
  <si>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</si>
  <si>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</si>
  <si>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</si>
  <si>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</si>
  <si>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</si>
  <si>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</si>
  <si>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</si>
  <si>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</si>
  <si>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</si>
  <si>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</si>
  <si>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</si>
  <si>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</si>
  <si>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</si>
  <si>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</si>
  <si>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</si>
  <si>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</si>
  <si>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</si>
  <si>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</si>
  <si>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</si>
  <si>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</si>
  <si>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</si>
  <si>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</si>
  <si>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</si>
  <si>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</si>
  <si>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</si>
  <si>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</si>
  <si>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</si>
  <si>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</si>
  <si>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</si>
  <si>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</si>
  <si>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</si>
  <si>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</si>
  <si>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</si>
  <si>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</si>
  <si>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</si>
  <si>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</si>
  <si>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</si>
  <si>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</si>
  <si>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</si>
  <si>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</si>
  <si>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</si>
  <si>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</si>
  <si>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</si>
  <si>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Mass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</si>
  <si>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</si>
  <si>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</si>
  <si>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</si>
  <si>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</si>
  <si>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</si>
  <si>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Iphm x Ephm</t>
  </si>
  <si>
    <t>Total</t>
  </si>
  <si>
    <t>Peak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</si>
  <si>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peak</t>
    </r>
  </si>
  <si>
    <t>https://www.first4magnets.com</t>
  </si>
  <si>
    <t>https://perso.uclouvain.be/ernest.matagne/ELEC2311/T2006/NOFP.pdf</t>
  </si>
  <si>
    <t>https://www.first4magnets.com/tech-centre-i61/information-and-articles-i70/neodymium-magnet-information-i82/grades-of-neodymium-magnets-i92</t>
  </si>
  <si>
    <t>Main dimensions (calculated)</t>
  </si>
  <si>
    <t>Peak induced voltage (series)</t>
  </si>
  <si>
    <t>Selected wire</t>
  </si>
  <si>
    <t>Selected wire diameter</t>
  </si>
  <si>
    <t>Required wire diameter</t>
  </si>
  <si>
    <t>Dw</t>
  </si>
  <si>
    <t>AWG</t>
  </si>
  <si>
    <t>Wire specific resiatance</t>
  </si>
  <si>
    <r>
      <t>R</t>
    </r>
    <r>
      <rPr>
        <vertAlign val="subscript"/>
        <sz val="10"/>
        <color theme="1"/>
        <rFont val="Garamond"/>
        <family val="1"/>
        <charset val="162"/>
      </rPr>
      <t>sp</t>
    </r>
  </si>
  <si>
    <t>Mean length turn</t>
  </si>
  <si>
    <t>Phase copper length</t>
  </si>
  <si>
    <t>MLT</t>
  </si>
  <si>
    <t>end winding coeff</t>
  </si>
  <si>
    <r>
      <t>L</t>
    </r>
    <r>
      <rPr>
        <vertAlign val="subscript"/>
        <sz val="10"/>
        <color theme="1"/>
        <rFont val="Garamond"/>
        <family val="1"/>
        <charset val="162"/>
      </rPr>
      <t>cu-ph</t>
    </r>
  </si>
  <si>
    <t>Ω</t>
  </si>
  <si>
    <t>Peak flux density (fund)</t>
  </si>
  <si>
    <t>Average flux density (fund)</t>
  </si>
  <si>
    <r>
      <t>B</t>
    </r>
    <r>
      <rPr>
        <vertAlign val="subscript"/>
        <sz val="10"/>
        <color theme="1"/>
        <rFont val="Garamond"/>
        <family val="1"/>
        <charset val="162"/>
      </rPr>
      <t>p-1</t>
    </r>
  </si>
  <si>
    <r>
      <t>B</t>
    </r>
    <r>
      <rPr>
        <vertAlign val="subscript"/>
        <sz val="10"/>
        <color theme="1"/>
        <rFont val="Garamond"/>
        <family val="1"/>
        <charset val="162"/>
      </rPr>
      <t>avg-1</t>
    </r>
  </si>
  <si>
    <t>B</t>
  </si>
  <si>
    <t>Applied volt</t>
  </si>
  <si>
    <t>Volume &amp; Mass</t>
  </si>
  <si>
    <t>Magnet volume</t>
  </si>
  <si>
    <t>Iron volume</t>
  </si>
  <si>
    <t>Copper volume</t>
  </si>
  <si>
    <t>Bore volume</t>
  </si>
  <si>
    <t>Machine volume</t>
  </si>
  <si>
    <r>
      <t>cm</t>
    </r>
    <r>
      <rPr>
        <strike/>
        <vertAlign val="superscript"/>
        <sz val="10"/>
        <color theme="1"/>
        <rFont val="Garamond"/>
        <family val="1"/>
        <charset val="162"/>
      </rPr>
      <t>3</t>
    </r>
  </si>
  <si>
    <r>
      <t>V</t>
    </r>
    <r>
      <rPr>
        <vertAlign val="subscript"/>
        <sz val="10"/>
        <color theme="1"/>
        <rFont val="Garamond"/>
        <family val="1"/>
        <charset val="162"/>
      </rPr>
      <t>m</t>
    </r>
  </si>
  <si>
    <r>
      <t>V</t>
    </r>
    <r>
      <rPr>
        <vertAlign val="subscript"/>
        <sz val="10"/>
        <color theme="1"/>
        <rFont val="Garamond"/>
        <family val="1"/>
        <charset val="162"/>
      </rPr>
      <t>c</t>
    </r>
  </si>
  <si>
    <r>
      <t>V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</si>
  <si>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is</t>
    </r>
  </si>
  <si>
    <r>
      <t>V</t>
    </r>
    <r>
      <rPr>
        <vertAlign val="subscript"/>
        <sz val="10"/>
        <color theme="1"/>
        <rFont val="Garamond"/>
        <family val="1"/>
        <charset val="162"/>
      </rPr>
      <t>os</t>
    </r>
  </si>
  <si>
    <t>Phase resistance (module)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</si>
  <si>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</si>
  <si>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Copper density</t>
  </si>
  <si>
    <t>Core density</t>
  </si>
  <si>
    <t>Magnet density</t>
  </si>
  <si>
    <r>
      <t>g/cm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</si>
  <si>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</t>
    </r>
    <r>
      <rPr>
        <vertAlign val="subscript"/>
        <sz val="10"/>
        <color theme="1"/>
        <rFont val="Garamond"/>
        <family val="1"/>
        <charset val="162"/>
      </rPr>
      <t>cu</t>
    </r>
  </si>
  <si>
    <r>
      <t>d</t>
    </r>
    <r>
      <rPr>
        <vertAlign val="subscript"/>
        <sz val="10"/>
        <color theme="1"/>
        <rFont val="Garamond"/>
        <family val="1"/>
        <charset val="162"/>
      </rPr>
      <t>m</t>
    </r>
  </si>
  <si>
    <r>
      <t>d</t>
    </r>
    <r>
      <rPr>
        <vertAlign val="subscript"/>
        <sz val="10"/>
        <color theme="1"/>
        <rFont val="Garamond"/>
        <family val="1"/>
        <charset val="162"/>
      </rPr>
      <t>c</t>
    </r>
  </si>
  <si>
    <t>Magnet mass</t>
  </si>
  <si>
    <t>Iron mass</t>
  </si>
  <si>
    <t>Copper mass</t>
  </si>
  <si>
    <r>
      <t>m</t>
    </r>
    <r>
      <rPr>
        <vertAlign val="subscript"/>
        <sz val="10"/>
        <color theme="1"/>
        <rFont val="Garamond"/>
        <family val="1"/>
        <charset val="162"/>
      </rPr>
      <t>m</t>
    </r>
  </si>
  <si>
    <r>
      <t>m</t>
    </r>
    <r>
      <rPr>
        <vertAlign val="subscript"/>
        <sz val="10"/>
        <color theme="1"/>
        <rFont val="Garamond"/>
        <family val="1"/>
        <charset val="162"/>
      </rPr>
      <t>c</t>
    </r>
  </si>
  <si>
    <r>
      <t>m</t>
    </r>
    <r>
      <rPr>
        <vertAlign val="subscript"/>
        <sz val="10"/>
        <color theme="1"/>
        <rFont val="Garamond"/>
        <family val="1"/>
        <charset val="162"/>
      </rPr>
      <t>cu</t>
    </r>
  </si>
  <si>
    <t>g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</si>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</sst>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"/>
    <numFmt numFmtId="167" formatCode="0.00000"/>
    <numFmt numFmtId="168" formatCode="0.00000000"/>
    <numFmt numFmtId="169" formatCode="0.0000000000"/>
    <numFmt numFmtId="170" formatCode="#,##0.000"/>
  </numFmts>
  <fonts count="1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  <font>
      <strike/>
      <vertAlign val="superscript"/>
      <sz val="10"/>
      <color theme="1"/>
      <name val="Garamond"/>
      <family val="1"/>
      <charset val="162"/>
    </font>
    <font>
      <u/>
      <sz val="11"/>
      <color theme="1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14" fillId="10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/>
    <xf numFmtId="2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3" fillId="0" borderId="1" xfId="0" applyFont="1" applyBorder="1" applyAlignment="1"/>
    <xf numFmtId="165" fontId="14" fillId="0" borderId="1" xfId="0" applyNumberFormat="1" applyFont="1" applyBorder="1" applyAlignment="1">
      <alignment horizontal="center"/>
    </xf>
    <xf numFmtId="11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/>
    </xf>
    <xf numFmtId="0" fontId="14" fillId="9" borderId="5" xfId="0" applyFont="1" applyFill="1" applyBorder="1"/>
    <xf numFmtId="0" fontId="14" fillId="9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2" fontId="14" fillId="9" borderId="5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12" borderId="1" xfId="0" applyFont="1" applyFill="1" applyBorder="1"/>
    <xf numFmtId="0" fontId="14" fillId="12" borderId="1" xfId="0" applyFont="1" applyFill="1" applyBorder="1" applyAlignment="1">
      <alignment horizontal="center"/>
    </xf>
    <xf numFmtId="165" fontId="14" fillId="12" borderId="2" xfId="0" applyNumberFormat="1" applyFont="1" applyFill="1" applyBorder="1" applyAlignment="1">
      <alignment horizontal="center"/>
    </xf>
    <xf numFmtId="165" fontId="14" fillId="12" borderId="1" xfId="0" applyNumberFormat="1" applyFont="1" applyFill="1" applyBorder="1" applyAlignment="1">
      <alignment horizontal="center"/>
    </xf>
    <xf numFmtId="0" fontId="1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rst4magnets.com/" TargetMode="External"/><Relationship Id="rId1" Type="http://schemas.openxmlformats.org/officeDocument/2006/relationships/hyperlink" Target="https://perso.uclouvain.be/ernest.matagne/ELEC2311/T2006/NOFP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32"/>
  <sheetViews>
    <sheetView tabSelected="1" zoomScale="115" zoomScaleNormal="115" workbookViewId="0">
      <selection activeCell="W14" sqref="W14"/>
    </sheetView>
  </sheetViews>
  <sheetFormatPr defaultRowHeight="12.75" x14ac:dyDescent="0.2"/>
  <cols>
    <col min="1" max="1" width="22.5703125" style="70" bestFit="1" customWidth="1"/>
    <col min="2" max="2" width="4.5703125" style="69" bestFit="1" customWidth="1"/>
    <col min="3" max="3" width="7.5703125" style="69" bestFit="1" customWidth="1"/>
    <col min="4" max="4" width="5" style="69" bestFit="1" customWidth="1"/>
    <col min="5" max="5" width="3.85546875" style="69" bestFit="1" customWidth="1"/>
    <col min="6" max="6" width="21.85546875" style="70" bestFit="1" customWidth="1"/>
    <col min="7" max="7" width="4.140625" style="69" bestFit="1" customWidth="1"/>
    <col min="8" max="8" width="5.7109375" style="69" bestFit="1" customWidth="1"/>
    <col min="9" max="9" width="7" style="69" bestFit="1" customWidth="1"/>
    <col min="10" max="10" width="3.85546875" style="69" bestFit="1" customWidth="1"/>
    <col min="11" max="11" width="22.85546875" style="70" bestFit="1" customWidth="1"/>
    <col min="12" max="12" width="4.85546875" style="70" bestFit="1" customWidth="1"/>
    <col min="13" max="13" width="7.5703125" style="69" bestFit="1" customWidth="1"/>
    <col min="14" max="14" width="5.7109375" style="70" bestFit="1" customWidth="1"/>
    <col min="15" max="15" width="3.85546875" style="70" bestFit="1" customWidth="1"/>
    <col min="16" max="16" width="19.85546875" style="70" bestFit="1" customWidth="1"/>
    <col min="17" max="17" width="5.42578125" style="70" bestFit="1" customWidth="1"/>
    <col min="18" max="18" width="5.7109375" style="70" bestFit="1" customWidth="1"/>
    <col min="19" max="19" width="5.85546875" style="70" bestFit="1" customWidth="1"/>
    <col min="20" max="20" width="3.85546875" style="70" bestFit="1" customWidth="1"/>
    <col min="21" max="21" width="14.140625" style="70" bestFit="1" customWidth="1"/>
    <col min="22" max="22" width="9" style="70" bestFit="1" customWidth="1"/>
    <col min="23" max="16384" width="9.140625" style="70"/>
  </cols>
  <sheetData>
    <row r="1" spans="1:22" ht="15" customHeight="1" x14ac:dyDescent="0.2">
      <c r="A1" s="113" t="s">
        <v>236</v>
      </c>
      <c r="B1" s="113"/>
      <c r="C1" s="113"/>
      <c r="D1" s="113"/>
      <c r="E1" s="113"/>
      <c r="F1" s="113" t="s">
        <v>237</v>
      </c>
      <c r="G1" s="113"/>
      <c r="H1" s="113"/>
      <c r="I1" s="113"/>
      <c r="J1" s="63"/>
      <c r="K1" s="113" t="s">
        <v>238</v>
      </c>
      <c r="L1" s="113"/>
      <c r="M1" s="113"/>
      <c r="N1" s="113"/>
      <c r="O1" s="63"/>
      <c r="P1" s="113" t="s">
        <v>333</v>
      </c>
      <c r="Q1" s="113"/>
      <c r="R1" s="113"/>
      <c r="S1" s="113"/>
      <c r="T1" s="113"/>
    </row>
    <row r="2" spans="1:22" ht="15" customHeight="1" x14ac:dyDescent="0.2">
      <c r="A2" s="58" t="s">
        <v>8</v>
      </c>
      <c r="B2" s="59" t="s">
        <v>239</v>
      </c>
      <c r="C2" s="59">
        <v>8000</v>
      </c>
      <c r="D2" s="59" t="s">
        <v>7</v>
      </c>
      <c r="E2" s="59"/>
      <c r="F2" s="58" t="s">
        <v>20</v>
      </c>
      <c r="G2" s="59" t="s">
        <v>240</v>
      </c>
      <c r="H2" s="59">
        <v>0.6</v>
      </c>
      <c r="I2" s="59" t="s">
        <v>15</v>
      </c>
      <c r="J2" s="59"/>
      <c r="K2" s="58"/>
      <c r="L2" s="59" t="s">
        <v>61</v>
      </c>
      <c r="M2" s="64">
        <v>3.1415926500000002</v>
      </c>
      <c r="N2" s="59" t="s">
        <v>15</v>
      </c>
      <c r="O2" s="59"/>
      <c r="P2" s="58" t="s">
        <v>2</v>
      </c>
      <c r="Q2" s="59" t="s">
        <v>259</v>
      </c>
      <c r="R2" s="59">
        <f>C4*C8*C6</f>
        <v>24</v>
      </c>
      <c r="S2" s="59" t="s">
        <v>15</v>
      </c>
      <c r="T2" s="66"/>
    </row>
    <row r="3" spans="1:22" ht="15" customHeight="1" x14ac:dyDescent="0.2">
      <c r="A3" s="58" t="s">
        <v>32</v>
      </c>
      <c r="B3" s="59" t="s">
        <v>241</v>
      </c>
      <c r="C3" s="59">
        <v>540</v>
      </c>
      <c r="D3" s="59" t="s">
        <v>33</v>
      </c>
      <c r="E3" s="59"/>
      <c r="F3" s="58" t="s">
        <v>21</v>
      </c>
      <c r="G3" s="59" t="s">
        <v>242</v>
      </c>
      <c r="H3" s="59">
        <v>35</v>
      </c>
      <c r="I3" s="59" t="s">
        <v>23</v>
      </c>
      <c r="J3" s="59"/>
      <c r="K3" s="58" t="s">
        <v>108</v>
      </c>
      <c r="L3" s="59" t="s">
        <v>251</v>
      </c>
      <c r="M3" s="65">
        <v>1.7E-8</v>
      </c>
      <c r="N3" s="59" t="s">
        <v>252</v>
      </c>
      <c r="O3" s="59"/>
      <c r="P3" s="58" t="s">
        <v>3</v>
      </c>
      <c r="Q3" s="59" t="s">
        <v>24</v>
      </c>
      <c r="R3" s="59">
        <f>10*C8</f>
        <v>20</v>
      </c>
      <c r="S3" s="59" t="s">
        <v>15</v>
      </c>
      <c r="T3" s="66"/>
    </row>
    <row r="4" spans="1:22" ht="15" customHeight="1" x14ac:dyDescent="0.2">
      <c r="A4" s="58" t="s">
        <v>9</v>
      </c>
      <c r="B4" s="59" t="s">
        <v>13</v>
      </c>
      <c r="C4" s="59">
        <v>4</v>
      </c>
      <c r="D4" s="59" t="s">
        <v>15</v>
      </c>
      <c r="E4" s="59"/>
      <c r="F4" s="58" t="s">
        <v>256</v>
      </c>
      <c r="G4" s="59" t="s">
        <v>248</v>
      </c>
      <c r="H4" s="59">
        <v>0.9</v>
      </c>
      <c r="I4" s="59" t="s">
        <v>28</v>
      </c>
      <c r="J4" s="59"/>
      <c r="K4" s="58" t="s">
        <v>110</v>
      </c>
      <c r="L4" s="59" t="s">
        <v>253</v>
      </c>
      <c r="M4" s="65">
        <v>1.2566289999999999E-6</v>
      </c>
      <c r="N4" s="59" t="s">
        <v>113</v>
      </c>
      <c r="O4" s="59"/>
      <c r="P4" s="58" t="s">
        <v>71</v>
      </c>
      <c r="Q4" s="59" t="s">
        <v>72</v>
      </c>
      <c r="R4" s="64">
        <f>H3*H4*2/M2</f>
        <v>20.053522852493302</v>
      </c>
      <c r="S4" s="59" t="s">
        <v>73</v>
      </c>
      <c r="T4" s="66"/>
    </row>
    <row r="5" spans="1:22" ht="15" customHeight="1" x14ac:dyDescent="0.2">
      <c r="A5" s="58" t="s">
        <v>10</v>
      </c>
      <c r="B5" s="59" t="s">
        <v>243</v>
      </c>
      <c r="C5" s="59">
        <v>2</v>
      </c>
      <c r="D5" s="59" t="s">
        <v>15</v>
      </c>
      <c r="E5" s="62"/>
      <c r="F5" s="58" t="s">
        <v>29</v>
      </c>
      <c r="G5" s="59" t="s">
        <v>30</v>
      </c>
      <c r="H5" s="59">
        <v>4</v>
      </c>
      <c r="I5" s="59" t="s">
        <v>244</v>
      </c>
      <c r="J5" s="59"/>
      <c r="K5" s="58" t="s">
        <v>190</v>
      </c>
      <c r="L5" s="59" t="s">
        <v>255</v>
      </c>
      <c r="M5" s="65">
        <f>4*M2*0.0000001</f>
        <v>1.2566370599999999E-6</v>
      </c>
      <c r="N5" s="59" t="s">
        <v>113</v>
      </c>
      <c r="O5" s="59"/>
      <c r="P5" s="58" t="s">
        <v>59</v>
      </c>
      <c r="Q5" s="59" t="s">
        <v>260</v>
      </c>
      <c r="R5" s="64">
        <f>C2/(C7*2*M2/60)</f>
        <v>127.32395461900511</v>
      </c>
      <c r="S5" s="59" t="s">
        <v>64</v>
      </c>
      <c r="T5" s="66"/>
    </row>
    <row r="6" spans="1:22" ht="15" customHeight="1" x14ac:dyDescent="0.25">
      <c r="A6" s="58" t="s">
        <v>12</v>
      </c>
      <c r="B6" s="59" t="s">
        <v>14</v>
      </c>
      <c r="C6" s="59">
        <v>3</v>
      </c>
      <c r="D6" s="59" t="s">
        <v>15</v>
      </c>
      <c r="E6" s="62"/>
      <c r="F6" s="58" t="s">
        <v>247</v>
      </c>
      <c r="G6" s="59" t="s">
        <v>249</v>
      </c>
      <c r="H6" s="59">
        <v>1.8</v>
      </c>
      <c r="I6" s="59" t="s">
        <v>28</v>
      </c>
      <c r="J6" s="59"/>
      <c r="K6" s="60" t="s">
        <v>368</v>
      </c>
      <c r="L6" s="61" t="s">
        <v>372</v>
      </c>
      <c r="M6" s="61">
        <v>8.9600000000000009</v>
      </c>
      <c r="N6" s="61" t="s">
        <v>371</v>
      </c>
      <c r="O6" s="60"/>
      <c r="P6" s="58" t="s">
        <v>257</v>
      </c>
      <c r="Q6" s="59" t="s">
        <v>261</v>
      </c>
      <c r="R6" s="67">
        <f>R5/(2*R4)*0.001</f>
        <v>3.174603174603175E-3</v>
      </c>
      <c r="S6" s="59" t="s">
        <v>262</v>
      </c>
      <c r="T6" s="58"/>
    </row>
    <row r="7" spans="1:22" ht="15" customHeight="1" x14ac:dyDescent="0.25">
      <c r="A7" s="58" t="s">
        <v>16</v>
      </c>
      <c r="B7" s="59" t="s">
        <v>245</v>
      </c>
      <c r="C7" s="59">
        <v>600</v>
      </c>
      <c r="D7" s="59" t="s">
        <v>17</v>
      </c>
      <c r="E7" s="62"/>
      <c r="F7" s="58" t="s">
        <v>270</v>
      </c>
      <c r="G7" s="59" t="s">
        <v>271</v>
      </c>
      <c r="H7" s="59">
        <v>1.3</v>
      </c>
      <c r="I7" s="59" t="s">
        <v>28</v>
      </c>
      <c r="J7" s="59"/>
      <c r="K7" s="60" t="s">
        <v>369</v>
      </c>
      <c r="L7" s="61" t="s">
        <v>374</v>
      </c>
      <c r="M7" s="61"/>
      <c r="N7" s="61" t="s">
        <v>371</v>
      </c>
      <c r="O7" s="60"/>
      <c r="P7" s="58" t="s">
        <v>263</v>
      </c>
      <c r="Q7" s="59" t="s">
        <v>264</v>
      </c>
      <c r="R7" s="67">
        <f>R6*4/M2</f>
        <v>4.042030305365242E-3</v>
      </c>
      <c r="S7" s="59" t="s">
        <v>265</v>
      </c>
      <c r="T7" s="62"/>
    </row>
    <row r="8" spans="1:22" ht="15" customHeight="1" x14ac:dyDescent="0.25">
      <c r="A8" s="58" t="s">
        <v>18</v>
      </c>
      <c r="B8" s="59" t="s">
        <v>19</v>
      </c>
      <c r="C8" s="59">
        <v>2</v>
      </c>
      <c r="D8" s="59" t="s">
        <v>15</v>
      </c>
      <c r="E8" s="62"/>
      <c r="F8" s="119" t="s">
        <v>246</v>
      </c>
      <c r="G8" s="120"/>
      <c r="H8" s="120"/>
      <c r="I8" s="120"/>
      <c r="J8" s="121"/>
      <c r="K8" s="60" t="s">
        <v>370</v>
      </c>
      <c r="L8" s="61" t="s">
        <v>373</v>
      </c>
      <c r="M8" s="61">
        <v>7.4</v>
      </c>
      <c r="N8" s="61" t="s">
        <v>371</v>
      </c>
      <c r="O8" s="60"/>
      <c r="P8" s="58" t="s">
        <v>76</v>
      </c>
      <c r="Q8" s="59" t="s">
        <v>77</v>
      </c>
      <c r="R8" s="72">
        <v>0.5</v>
      </c>
      <c r="S8" s="59" t="s">
        <v>15</v>
      </c>
      <c r="T8" s="68" t="s">
        <v>178</v>
      </c>
    </row>
    <row r="9" spans="1:22" ht="15" customHeight="1" x14ac:dyDescent="0.2">
      <c r="A9" s="58" t="s">
        <v>98</v>
      </c>
      <c r="B9" s="59" t="s">
        <v>99</v>
      </c>
      <c r="C9" s="59">
        <v>2</v>
      </c>
      <c r="D9" s="59" t="s">
        <v>15</v>
      </c>
      <c r="E9" s="62"/>
      <c r="F9" s="58" t="s">
        <v>49</v>
      </c>
      <c r="G9" s="59" t="s">
        <v>250</v>
      </c>
      <c r="H9" s="59">
        <v>94</v>
      </c>
      <c r="I9" s="59" t="s">
        <v>51</v>
      </c>
      <c r="J9" s="59"/>
      <c r="K9" s="60"/>
      <c r="L9" s="61"/>
      <c r="M9" s="61"/>
      <c r="N9" s="61"/>
      <c r="O9" s="60"/>
      <c r="P9" s="58" t="s">
        <v>78</v>
      </c>
      <c r="Q9" s="59" t="s">
        <v>258</v>
      </c>
      <c r="R9" s="72">
        <f>1000*(R7/R8)^(1/3)</f>
        <v>200.69806577558106</v>
      </c>
      <c r="S9" s="59" t="s">
        <v>80</v>
      </c>
      <c r="T9" s="62"/>
    </row>
    <row r="10" spans="1:22" ht="15" customHeight="1" x14ac:dyDescent="0.25">
      <c r="A10" s="58"/>
      <c r="B10" s="59"/>
      <c r="C10" s="59"/>
      <c r="D10" s="59"/>
      <c r="E10" s="62"/>
      <c r="F10" s="58" t="s">
        <v>0</v>
      </c>
      <c r="G10" s="59" t="s">
        <v>52</v>
      </c>
      <c r="H10" s="59">
        <v>0.9</v>
      </c>
      <c r="I10" s="59" t="s">
        <v>15</v>
      </c>
      <c r="J10" s="59"/>
      <c r="K10" s="60"/>
      <c r="L10" s="61"/>
      <c r="M10" s="61"/>
      <c r="N10" s="61"/>
      <c r="O10" s="60"/>
      <c r="P10" s="58" t="s">
        <v>81</v>
      </c>
      <c r="Q10" s="61" t="s">
        <v>266</v>
      </c>
      <c r="R10" s="73">
        <f>R9*R8</f>
        <v>100.34903288779053</v>
      </c>
      <c r="S10" s="61" t="s">
        <v>80</v>
      </c>
      <c r="T10" s="61"/>
      <c r="U10" s="70" t="s">
        <v>353</v>
      </c>
      <c r="V10" s="70">
        <f>M18*SQRT(3)*4</f>
        <v>688.74706159105506</v>
      </c>
    </row>
    <row r="11" spans="1:22" ht="15" customHeight="1" x14ac:dyDescent="0.2">
      <c r="A11" s="58"/>
      <c r="B11" s="59"/>
      <c r="C11" s="59"/>
      <c r="D11" s="59"/>
      <c r="E11" s="62"/>
      <c r="F11" s="58" t="s">
        <v>53</v>
      </c>
      <c r="G11" s="59" t="s">
        <v>254</v>
      </c>
      <c r="H11" s="59">
        <v>98</v>
      </c>
      <c r="I11" s="59" t="s">
        <v>51</v>
      </c>
      <c r="J11" s="59"/>
      <c r="K11" s="58"/>
      <c r="L11" s="59"/>
      <c r="M11" s="59"/>
      <c r="N11" s="59"/>
      <c r="O11" s="59"/>
      <c r="P11" s="58"/>
      <c r="Q11" s="61"/>
      <c r="R11" s="73"/>
      <c r="S11" s="61"/>
      <c r="T11" s="61"/>
    </row>
    <row r="12" spans="1:22" ht="15" customHeight="1" x14ac:dyDescent="0.2">
      <c r="A12" s="114" t="s">
        <v>269</v>
      </c>
      <c r="B12" s="114"/>
      <c r="C12" s="114"/>
      <c r="D12" s="114"/>
      <c r="E12" s="114"/>
      <c r="F12" s="119" t="s">
        <v>280</v>
      </c>
      <c r="G12" s="120"/>
      <c r="H12" s="120"/>
      <c r="I12" s="120"/>
      <c r="J12" s="121"/>
      <c r="K12" s="115" t="s">
        <v>317</v>
      </c>
      <c r="L12" s="116"/>
      <c r="M12" s="116"/>
      <c r="N12" s="116"/>
      <c r="O12" s="117"/>
      <c r="P12" s="114" t="s">
        <v>185</v>
      </c>
      <c r="Q12" s="114"/>
      <c r="R12" s="114"/>
      <c r="S12" s="114"/>
      <c r="T12" s="114"/>
    </row>
    <row r="13" spans="1:22" ht="15" customHeight="1" x14ac:dyDescent="0.2">
      <c r="A13" s="60" t="s">
        <v>268</v>
      </c>
      <c r="B13" s="59" t="s">
        <v>272</v>
      </c>
      <c r="C13" s="59">
        <v>1</v>
      </c>
      <c r="D13" s="59" t="s">
        <v>80</v>
      </c>
      <c r="E13" s="68" t="s">
        <v>178</v>
      </c>
      <c r="F13" s="60" t="s">
        <v>92</v>
      </c>
      <c r="G13" s="59" t="s">
        <v>286</v>
      </c>
      <c r="H13" s="73">
        <f>M2*R9/R2</f>
        <v>26.271315346240922</v>
      </c>
      <c r="I13" s="61" t="s">
        <v>80</v>
      </c>
      <c r="J13" s="61"/>
      <c r="K13" s="74" t="s">
        <v>1</v>
      </c>
      <c r="L13" s="59" t="s">
        <v>296</v>
      </c>
      <c r="M13" s="59">
        <v>0.93300000000000005</v>
      </c>
      <c r="N13" s="59" t="s">
        <v>15</v>
      </c>
      <c r="O13" s="112" t="s">
        <v>179</v>
      </c>
      <c r="P13" s="74" t="s">
        <v>114</v>
      </c>
      <c r="Q13" s="59" t="s">
        <v>115</v>
      </c>
      <c r="R13" s="64">
        <f>1000*SQRT(2/(2*M2*M15*M4/M3))</f>
        <v>6.562147464226471</v>
      </c>
      <c r="S13" s="59" t="s">
        <v>80</v>
      </c>
      <c r="T13" s="61"/>
    </row>
    <row r="14" spans="1:22" ht="15" customHeight="1" x14ac:dyDescent="0.2">
      <c r="A14" s="58" t="s">
        <v>207</v>
      </c>
      <c r="B14" s="59" t="s">
        <v>273</v>
      </c>
      <c r="C14" s="64">
        <v>1.25</v>
      </c>
      <c r="D14" s="59" t="s">
        <v>28</v>
      </c>
      <c r="E14" s="61"/>
      <c r="F14" s="60" t="s">
        <v>295</v>
      </c>
      <c r="G14" s="59" t="s">
        <v>323</v>
      </c>
      <c r="H14" s="81">
        <f>C25/H6</f>
        <v>0.50170274872293841</v>
      </c>
      <c r="I14" s="61" t="s">
        <v>15</v>
      </c>
      <c r="J14" s="60"/>
      <c r="K14" s="74" t="s">
        <v>93</v>
      </c>
      <c r="L14" s="59" t="s">
        <v>307</v>
      </c>
      <c r="M14" s="83">
        <f>0.001*2*R9*R10*C26/R3</f>
        <v>1.9998309272554273</v>
      </c>
      <c r="N14" s="59" t="s">
        <v>96</v>
      </c>
      <c r="O14" s="62"/>
      <c r="P14" s="60" t="s">
        <v>337</v>
      </c>
      <c r="Q14" s="61" t="s">
        <v>338</v>
      </c>
      <c r="R14" s="101">
        <f>2*SQRT(M20/(M2*H5))</f>
        <v>1.4425038006176998</v>
      </c>
      <c r="S14" s="61" t="s">
        <v>80</v>
      </c>
      <c r="T14" s="61"/>
    </row>
    <row r="15" spans="1:22" ht="15" customHeight="1" x14ac:dyDescent="0.2">
      <c r="A15" s="74" t="s">
        <v>189</v>
      </c>
      <c r="B15" s="59" t="s">
        <v>274</v>
      </c>
      <c r="C15" s="59">
        <v>1.1000000000000001</v>
      </c>
      <c r="D15" s="59" t="s">
        <v>15</v>
      </c>
      <c r="E15" s="61"/>
      <c r="F15" s="84" t="s">
        <v>145</v>
      </c>
      <c r="G15" s="59" t="s">
        <v>297</v>
      </c>
      <c r="H15" s="85">
        <f>H14*H13</f>
        <v>13.180391121776184</v>
      </c>
      <c r="I15" s="86" t="s">
        <v>80</v>
      </c>
      <c r="J15" s="86"/>
      <c r="K15" s="70" t="s">
        <v>25</v>
      </c>
      <c r="L15" s="59" t="s">
        <v>322</v>
      </c>
      <c r="M15" s="59">
        <f>R3*C7/120</f>
        <v>100</v>
      </c>
      <c r="N15" s="59" t="s">
        <v>70</v>
      </c>
      <c r="O15" s="60"/>
      <c r="P15" s="60" t="s">
        <v>335</v>
      </c>
      <c r="Q15" s="61" t="s">
        <v>339</v>
      </c>
      <c r="R15" s="61">
        <v>14</v>
      </c>
      <c r="S15" s="61" t="s">
        <v>15</v>
      </c>
      <c r="T15" s="122" t="s">
        <v>178</v>
      </c>
    </row>
    <row r="16" spans="1:22" ht="15" customHeight="1" x14ac:dyDescent="0.2">
      <c r="A16" s="74" t="s">
        <v>192</v>
      </c>
      <c r="B16" s="59" t="s">
        <v>275</v>
      </c>
      <c r="C16" s="65">
        <f>C15*M5</f>
        <v>1.3823007660000001E-6</v>
      </c>
      <c r="D16" s="59" t="s">
        <v>113</v>
      </c>
      <c r="E16" s="61"/>
      <c r="F16" s="87" t="s">
        <v>140</v>
      </c>
      <c r="G16" s="88" t="s">
        <v>299</v>
      </c>
      <c r="H16" s="89">
        <f>H13-H15</f>
        <v>13.090924224464738</v>
      </c>
      <c r="I16" s="88" t="s">
        <v>80</v>
      </c>
      <c r="J16" s="82"/>
      <c r="K16" s="58" t="s">
        <v>97</v>
      </c>
      <c r="L16" s="93" t="s">
        <v>298</v>
      </c>
      <c r="M16" s="93">
        <v>60</v>
      </c>
      <c r="N16" s="93" t="s">
        <v>15</v>
      </c>
      <c r="O16" s="93" t="s">
        <v>178</v>
      </c>
      <c r="P16" s="60" t="s">
        <v>336</v>
      </c>
      <c r="Q16" s="61" t="s">
        <v>338</v>
      </c>
      <c r="R16" s="106">
        <v>1.6281399999999999</v>
      </c>
      <c r="S16" s="61" t="s">
        <v>80</v>
      </c>
      <c r="T16" s="123"/>
      <c r="U16" s="70" t="s">
        <v>288</v>
      </c>
      <c r="V16" s="70">
        <v>0.99</v>
      </c>
    </row>
    <row r="17" spans="1:23" ht="15" customHeight="1" x14ac:dyDescent="0.2">
      <c r="A17" s="60" t="s">
        <v>276</v>
      </c>
      <c r="B17" s="59" t="s">
        <v>277</v>
      </c>
      <c r="C17" s="59">
        <v>3</v>
      </c>
      <c r="D17" s="59" t="s">
        <v>80</v>
      </c>
      <c r="E17" s="68" t="s">
        <v>178</v>
      </c>
      <c r="F17" s="74" t="s">
        <v>137</v>
      </c>
      <c r="G17" s="59" t="s">
        <v>301</v>
      </c>
      <c r="H17" s="59">
        <v>4</v>
      </c>
      <c r="I17" s="59" t="s">
        <v>80</v>
      </c>
      <c r="J17" s="118" t="s">
        <v>178</v>
      </c>
      <c r="K17" s="58" t="s">
        <v>103</v>
      </c>
      <c r="L17" s="59" t="s">
        <v>300</v>
      </c>
      <c r="M17" s="59">
        <f>M16*C8*C9/2</f>
        <v>120</v>
      </c>
      <c r="N17" s="59" t="s">
        <v>15</v>
      </c>
      <c r="O17" s="62"/>
      <c r="P17" s="60" t="s">
        <v>340</v>
      </c>
      <c r="Q17" s="59" t="s">
        <v>341</v>
      </c>
      <c r="R17" s="61">
        <v>8.282</v>
      </c>
      <c r="S17" s="59" t="s">
        <v>126</v>
      </c>
      <c r="T17" s="124"/>
      <c r="U17" s="70" t="s">
        <v>221</v>
      </c>
      <c r="V17" s="70">
        <v>1.01</v>
      </c>
    </row>
    <row r="18" spans="1:23" ht="15" customHeight="1" x14ac:dyDescent="0.2">
      <c r="A18" s="75" t="s">
        <v>153</v>
      </c>
      <c r="B18" s="59" t="s">
        <v>281</v>
      </c>
      <c r="C18" s="59">
        <v>0.7</v>
      </c>
      <c r="D18" s="59" t="s">
        <v>15</v>
      </c>
      <c r="E18" s="68" t="s">
        <v>178</v>
      </c>
      <c r="F18" s="74" t="s">
        <v>131</v>
      </c>
      <c r="G18" s="59" t="s">
        <v>303</v>
      </c>
      <c r="H18" s="59">
        <v>1.5</v>
      </c>
      <c r="I18" s="59" t="s">
        <v>80</v>
      </c>
      <c r="J18" s="118"/>
      <c r="K18" s="94" t="s">
        <v>143</v>
      </c>
      <c r="L18" s="95" t="s">
        <v>302</v>
      </c>
      <c r="M18" s="96">
        <f>4.44*M17*M15*M14*M13/1000</f>
        <v>99.41207535328985</v>
      </c>
      <c r="N18" s="95" t="s">
        <v>33</v>
      </c>
      <c r="O18" s="97"/>
      <c r="P18" s="60" t="s">
        <v>342</v>
      </c>
      <c r="Q18" s="61" t="s">
        <v>344</v>
      </c>
      <c r="R18" s="81">
        <f>2*R10*V18+2*H13</f>
        <v>273.31050304562103</v>
      </c>
      <c r="S18" s="61" t="s">
        <v>80</v>
      </c>
      <c r="T18" s="61"/>
      <c r="U18" s="70" t="s">
        <v>345</v>
      </c>
      <c r="V18" s="70">
        <v>1.1000000000000001</v>
      </c>
    </row>
    <row r="19" spans="1:23" ht="15" customHeight="1" x14ac:dyDescent="0.25">
      <c r="A19" s="74" t="s">
        <v>198</v>
      </c>
      <c r="B19" s="59" t="s">
        <v>282</v>
      </c>
      <c r="C19" s="64">
        <f>2*M2*C18/R3</f>
        <v>0.2199114855</v>
      </c>
      <c r="D19" s="59" t="s">
        <v>200</v>
      </c>
      <c r="E19" s="61"/>
      <c r="F19" s="74" t="s">
        <v>132</v>
      </c>
      <c r="G19" s="59" t="s">
        <v>305</v>
      </c>
      <c r="H19" s="59">
        <v>1.5</v>
      </c>
      <c r="I19" s="59" t="s">
        <v>80</v>
      </c>
      <c r="J19" s="118"/>
      <c r="K19" s="58" t="s">
        <v>334</v>
      </c>
      <c r="L19" s="59" t="s">
        <v>304</v>
      </c>
      <c r="M19" s="64">
        <f>M18*C4*SQRT(3)*SQRT(2)</f>
        <v>974.03543554668749</v>
      </c>
      <c r="N19" s="59" t="s">
        <v>33</v>
      </c>
      <c r="O19" s="60"/>
      <c r="P19" s="60" t="s">
        <v>343</v>
      </c>
      <c r="Q19" s="61" t="s">
        <v>346</v>
      </c>
      <c r="R19" s="81">
        <f>R18*M17/1000</f>
        <v>32.797260365474528</v>
      </c>
      <c r="S19" s="61" t="s">
        <v>14</v>
      </c>
      <c r="T19" s="61"/>
    </row>
    <row r="20" spans="1:23" ht="15" customHeight="1" x14ac:dyDescent="0.25">
      <c r="A20" s="74" t="s">
        <v>198</v>
      </c>
      <c r="B20" s="59" t="s">
        <v>282</v>
      </c>
      <c r="C20" s="64">
        <f>C19*180/M2</f>
        <v>12.6</v>
      </c>
      <c r="D20" s="59" t="s">
        <v>201</v>
      </c>
      <c r="E20" s="61"/>
      <c r="F20" s="74" t="s">
        <v>146</v>
      </c>
      <c r="G20" s="59" t="s">
        <v>306</v>
      </c>
      <c r="H20" s="59">
        <v>1.5</v>
      </c>
      <c r="I20" s="59" t="s">
        <v>80</v>
      </c>
      <c r="J20" s="118"/>
      <c r="K20" s="97" t="s">
        <v>67</v>
      </c>
      <c r="L20" s="95" t="s">
        <v>316</v>
      </c>
      <c r="M20" s="98">
        <f>H5*H26/(2*M16)</f>
        <v>6.5370800679981835</v>
      </c>
      <c r="N20" s="99" t="s">
        <v>22</v>
      </c>
      <c r="O20" s="99"/>
      <c r="P20" s="60" t="s">
        <v>366</v>
      </c>
      <c r="Q20" s="61" t="s">
        <v>367</v>
      </c>
      <c r="R20" s="81">
        <f>R17*R19/1000</f>
        <v>0.27162691034686004</v>
      </c>
      <c r="S20" s="59" t="s">
        <v>347</v>
      </c>
      <c r="T20" s="61"/>
      <c r="U20" s="70" t="s">
        <v>292</v>
      </c>
      <c r="V20" s="70" t="s">
        <v>293</v>
      </c>
      <c r="W20" s="135" t="s">
        <v>331</v>
      </c>
    </row>
    <row r="21" spans="1:23" ht="15" customHeight="1" x14ac:dyDescent="0.25">
      <c r="A21" s="74" t="s">
        <v>187</v>
      </c>
      <c r="B21" s="59" t="s">
        <v>283</v>
      </c>
      <c r="C21" s="64">
        <f>(C19*(R9/2-C13/2)+2*C13)*(R10+2*C13)/100</f>
        <v>24.520729252821194</v>
      </c>
      <c r="D21" s="59" t="s">
        <v>284</v>
      </c>
      <c r="E21" s="61"/>
      <c r="F21" s="60" t="s">
        <v>130</v>
      </c>
      <c r="G21" s="93" t="s">
        <v>311</v>
      </c>
      <c r="H21" s="93">
        <v>20</v>
      </c>
      <c r="I21" s="93" t="s">
        <v>80</v>
      </c>
      <c r="J21" s="93" t="s">
        <v>178</v>
      </c>
      <c r="K21" s="100"/>
      <c r="L21" s="100"/>
      <c r="M21" s="100"/>
      <c r="N21" s="100"/>
      <c r="O21" s="100"/>
      <c r="P21" s="60"/>
      <c r="Q21" s="61"/>
      <c r="R21" s="61"/>
      <c r="S21" s="61"/>
      <c r="T21" s="61"/>
      <c r="U21" s="70" t="s">
        <v>294</v>
      </c>
      <c r="V21" s="70" t="s">
        <v>289</v>
      </c>
      <c r="W21" s="135" t="s">
        <v>330</v>
      </c>
    </row>
    <row r="22" spans="1:23" ht="15" customHeight="1" x14ac:dyDescent="0.2">
      <c r="A22" s="74" t="s">
        <v>188</v>
      </c>
      <c r="B22" s="59" t="s">
        <v>285</v>
      </c>
      <c r="C22" s="64">
        <f>(C19*(R9/2-C13/2)+2*C13)*(R10+2*C13)/100</f>
        <v>24.520729252821194</v>
      </c>
      <c r="D22" s="59" t="s">
        <v>284</v>
      </c>
      <c r="E22" s="61"/>
      <c r="F22" s="60" t="s">
        <v>308</v>
      </c>
      <c r="G22" s="59" t="s">
        <v>309</v>
      </c>
      <c r="H22" s="81">
        <f>R9+(H18+H19+H20+H21)*2</f>
        <v>249.69806577558106</v>
      </c>
      <c r="I22" s="61" t="s">
        <v>80</v>
      </c>
      <c r="J22" s="60"/>
      <c r="K22" s="114" t="s">
        <v>319</v>
      </c>
      <c r="L22" s="114"/>
      <c r="M22" s="114"/>
      <c r="N22" s="114"/>
      <c r="O22" s="114"/>
      <c r="P22" s="115" t="s">
        <v>354</v>
      </c>
      <c r="Q22" s="116"/>
      <c r="R22" s="116"/>
      <c r="S22" s="116"/>
      <c r="T22" s="117"/>
      <c r="W22" s="70" t="s">
        <v>332</v>
      </c>
    </row>
    <row r="23" spans="1:23" ht="15" customHeight="1" x14ac:dyDescent="0.25">
      <c r="A23" s="74" t="s">
        <v>203</v>
      </c>
      <c r="B23" s="59" t="s">
        <v>287</v>
      </c>
      <c r="C23" s="64">
        <f>C22/C21</f>
        <v>1</v>
      </c>
      <c r="D23" s="59" t="s">
        <v>15</v>
      </c>
      <c r="E23" s="71"/>
      <c r="F23" s="75" t="s">
        <v>149</v>
      </c>
      <c r="G23" s="59" t="s">
        <v>324</v>
      </c>
      <c r="H23" s="64">
        <f>M2*H22/R2</f>
        <v>32.68540033999092</v>
      </c>
      <c r="I23" s="59" t="s">
        <v>80</v>
      </c>
      <c r="J23" s="60"/>
      <c r="K23" s="92" t="s">
        <v>27</v>
      </c>
      <c r="L23" s="108" t="s">
        <v>352</v>
      </c>
      <c r="M23" s="109">
        <f>C26</f>
        <v>0.99297177075985155</v>
      </c>
      <c r="N23" s="108" t="s">
        <v>28</v>
      </c>
      <c r="O23" s="108"/>
      <c r="P23" s="60" t="s">
        <v>355</v>
      </c>
      <c r="Q23" s="61" t="s">
        <v>361</v>
      </c>
      <c r="R23" s="81">
        <f>C17*R10*C18*M2*(R9-C13)/R3/1000</f>
        <v>6.6103768836310586</v>
      </c>
      <c r="S23" s="61" t="s">
        <v>360</v>
      </c>
      <c r="T23" s="61"/>
    </row>
    <row r="24" spans="1:23" ht="15" customHeight="1" x14ac:dyDescent="0.25">
      <c r="A24" s="74" t="s">
        <v>205</v>
      </c>
      <c r="B24" s="59" t="s">
        <v>206</v>
      </c>
      <c r="C24" s="64">
        <f>C22*C13/(C21*C17)</f>
        <v>0.33333333333333337</v>
      </c>
      <c r="D24" s="59" t="s">
        <v>15</v>
      </c>
      <c r="E24" s="61"/>
      <c r="F24" s="74" t="s">
        <v>139</v>
      </c>
      <c r="G24" s="59" t="s">
        <v>312</v>
      </c>
      <c r="H24" s="64">
        <f>H23-H15</f>
        <v>19.505009218214738</v>
      </c>
      <c r="I24" s="59" t="s">
        <v>80</v>
      </c>
      <c r="J24" s="62"/>
      <c r="K24" s="107" t="s">
        <v>21</v>
      </c>
      <c r="L24" s="110" t="s">
        <v>22</v>
      </c>
      <c r="M24" s="111">
        <f>R2*M16*C9*M20/(M2*R9)</f>
        <v>29.859548249533173</v>
      </c>
      <c r="N24" s="110" t="s">
        <v>23</v>
      </c>
      <c r="O24" s="110"/>
      <c r="P24" s="60" t="s">
        <v>356</v>
      </c>
      <c r="Q24" s="61" t="s">
        <v>362</v>
      </c>
      <c r="R24" s="81"/>
      <c r="S24" s="61" t="s">
        <v>360</v>
      </c>
      <c r="T24" s="61"/>
    </row>
    <row r="25" spans="1:23" ht="15" customHeight="1" x14ac:dyDescent="0.25">
      <c r="A25" s="60" t="s">
        <v>278</v>
      </c>
      <c r="B25" s="61" t="s">
        <v>279</v>
      </c>
      <c r="C25" s="101">
        <f>V16*C14*C23/(1+V17*C15*C24)</f>
        <v>0.9030649477012892</v>
      </c>
      <c r="D25" s="61"/>
      <c r="E25" s="61"/>
      <c r="F25" s="60" t="s">
        <v>150</v>
      </c>
      <c r="G25" s="59" t="s">
        <v>313</v>
      </c>
      <c r="H25" s="64">
        <f>(H24+H15)*H21/2</f>
        <v>326.85400339990917</v>
      </c>
      <c r="I25" s="59" t="s">
        <v>314</v>
      </c>
      <c r="J25" s="59"/>
      <c r="K25" s="92" t="s">
        <v>320</v>
      </c>
      <c r="L25" s="108"/>
      <c r="M25" s="108"/>
      <c r="N25" s="108"/>
      <c r="O25" s="108"/>
      <c r="P25" s="60" t="s">
        <v>357</v>
      </c>
      <c r="Q25" s="61" t="s">
        <v>363</v>
      </c>
      <c r="R25" s="81">
        <f>R19*C6*C4*(R16/2)^2*M2</f>
        <v>819.39288162356786</v>
      </c>
      <c r="S25" s="61" t="s">
        <v>360</v>
      </c>
      <c r="T25" s="61"/>
    </row>
    <row r="26" spans="1:23" ht="15" customHeight="1" x14ac:dyDescent="0.25">
      <c r="A26" s="60" t="s">
        <v>328</v>
      </c>
      <c r="B26" s="61" t="s">
        <v>329</v>
      </c>
      <c r="C26" s="101">
        <f>C25*C18*M2/2</f>
        <v>0.99297177075985155</v>
      </c>
      <c r="D26" s="61"/>
      <c r="E26" s="61"/>
      <c r="F26" s="60" t="s">
        <v>310</v>
      </c>
      <c r="G26" s="59" t="s">
        <v>315</v>
      </c>
      <c r="H26" s="81">
        <f>H25*H2</f>
        <v>196.11240203994549</v>
      </c>
      <c r="I26" s="59" t="s">
        <v>314</v>
      </c>
      <c r="J26" s="60"/>
      <c r="K26" s="90" t="s">
        <v>321</v>
      </c>
      <c r="L26" s="91"/>
      <c r="M26" s="102"/>
      <c r="N26" s="91"/>
      <c r="O26" s="91"/>
      <c r="P26" s="60" t="s">
        <v>358</v>
      </c>
      <c r="Q26" s="61" t="s">
        <v>364</v>
      </c>
      <c r="R26" s="81">
        <f>M2*R9*R10/1000</f>
        <v>63.271226104450712</v>
      </c>
      <c r="S26" s="61" t="s">
        <v>360</v>
      </c>
      <c r="T26" s="61"/>
    </row>
    <row r="27" spans="1:23" ht="15" customHeight="1" x14ac:dyDescent="0.25">
      <c r="A27" s="131" t="s">
        <v>348</v>
      </c>
      <c r="B27" s="132" t="s">
        <v>350</v>
      </c>
      <c r="C27" s="133">
        <f>4*C25/M2*(COS(M2*C18/2))</f>
        <v>0.52200645161955517</v>
      </c>
      <c r="D27" s="61"/>
      <c r="E27" s="61"/>
      <c r="F27" s="115" t="s">
        <v>318</v>
      </c>
      <c r="G27" s="116"/>
      <c r="H27" s="116"/>
      <c r="I27" s="116"/>
      <c r="J27" s="117"/>
      <c r="K27" s="103" t="s">
        <v>326</v>
      </c>
      <c r="L27" s="104"/>
      <c r="M27" s="105">
        <f>M20*M18</f>
        <v>649.86469631032458</v>
      </c>
      <c r="N27" s="104"/>
      <c r="O27" s="104"/>
      <c r="P27" s="60" t="s">
        <v>359</v>
      </c>
      <c r="Q27" s="61" t="s">
        <v>365</v>
      </c>
      <c r="R27" s="81">
        <f>M2*H29*R10/1000</f>
        <v>84.472105812205513</v>
      </c>
      <c r="S27" s="61" t="s">
        <v>360</v>
      </c>
      <c r="T27" s="61"/>
    </row>
    <row r="28" spans="1:23" ht="15" customHeight="1" x14ac:dyDescent="0.25">
      <c r="A28" s="131" t="s">
        <v>349</v>
      </c>
      <c r="B28" s="132" t="s">
        <v>351</v>
      </c>
      <c r="C28" s="134">
        <f>C27*2/M2</f>
        <v>0.33231962878418064</v>
      </c>
      <c r="D28" s="61"/>
      <c r="E28" s="61"/>
      <c r="F28" s="60" t="s">
        <v>135</v>
      </c>
      <c r="G28" s="20" t="s">
        <v>136</v>
      </c>
      <c r="H28" s="23">
        <f>(H6/H7)*H15/2</f>
        <v>9.1248861612296661</v>
      </c>
      <c r="I28" s="20" t="s">
        <v>80</v>
      </c>
      <c r="J28" s="60"/>
      <c r="K28" s="103" t="s">
        <v>327</v>
      </c>
      <c r="L28" s="104"/>
      <c r="M28" s="105">
        <f>M27*C4*C6</f>
        <v>7798.3763557238944</v>
      </c>
      <c r="N28" s="104"/>
      <c r="O28" s="104"/>
      <c r="P28" s="60" t="s">
        <v>375</v>
      </c>
      <c r="Q28" s="61" t="s">
        <v>378</v>
      </c>
      <c r="R28" s="81">
        <f>R23*M8</f>
        <v>48.916788938869836</v>
      </c>
      <c r="S28" s="61" t="s">
        <v>381</v>
      </c>
    </row>
    <row r="29" spans="1:23" ht="15" customHeight="1" x14ac:dyDescent="0.25">
      <c r="A29" s="60"/>
      <c r="B29" s="61"/>
      <c r="C29" s="101"/>
      <c r="D29" s="61"/>
      <c r="E29" s="61"/>
      <c r="F29" s="60" t="s">
        <v>325</v>
      </c>
      <c r="G29" s="61" t="s">
        <v>267</v>
      </c>
      <c r="H29" s="73">
        <f>H22+H28*2</f>
        <v>267.94783809804039</v>
      </c>
      <c r="I29" s="61" t="s">
        <v>80</v>
      </c>
      <c r="J29" s="60"/>
      <c r="K29" s="58"/>
      <c r="L29" s="59"/>
      <c r="M29" s="59"/>
      <c r="N29" s="59"/>
      <c r="O29" s="59"/>
      <c r="P29" s="60" t="s">
        <v>376</v>
      </c>
      <c r="Q29" s="61" t="s">
        <v>379</v>
      </c>
      <c r="R29" s="81">
        <f>R24*M7/1000</f>
        <v>0</v>
      </c>
      <c r="S29" s="61" t="s">
        <v>381</v>
      </c>
    </row>
    <row r="30" spans="1:23" ht="15" customHeight="1" x14ac:dyDescent="0.25">
      <c r="A30" s="60"/>
      <c r="B30" s="61"/>
      <c r="C30" s="101"/>
      <c r="K30" s="58"/>
      <c r="L30" s="59"/>
      <c r="M30" s="59"/>
      <c r="N30" s="59"/>
      <c r="O30" s="59"/>
      <c r="P30" s="60" t="s">
        <v>377</v>
      </c>
      <c r="Q30" s="61" t="s">
        <v>380</v>
      </c>
      <c r="R30" s="81">
        <f>R25*M6/1000</f>
        <v>7.3417602193471687</v>
      </c>
      <c r="S30" s="61" t="s">
        <v>382</v>
      </c>
    </row>
    <row r="31" spans="1:23" ht="15" customHeight="1" x14ac:dyDescent="0.2">
      <c r="P31" s="60"/>
      <c r="Q31" s="61"/>
      <c r="R31" s="81"/>
      <c r="S31" s="61"/>
    </row>
    <row r="32" spans="1:23" x14ac:dyDescent="0.2">
      <c r="P32" s="60"/>
      <c r="Q32" s="61"/>
      <c r="R32" s="81"/>
      <c r="S32" s="61"/>
    </row>
  </sheetData>
  <mergeCells count="14">
    <mergeCell ref="F27:J27"/>
    <mergeCell ref="K22:O22"/>
    <mergeCell ref="J17:J20"/>
    <mergeCell ref="K12:O12"/>
    <mergeCell ref="F8:J8"/>
    <mergeCell ref="P12:T12"/>
    <mergeCell ref="T15:T17"/>
    <mergeCell ref="P22:T22"/>
    <mergeCell ref="F12:J12"/>
    <mergeCell ref="A1:E1"/>
    <mergeCell ref="F1:I1"/>
    <mergeCell ref="K1:N1"/>
    <mergeCell ref="P1:T1"/>
    <mergeCell ref="A12:E12"/>
  </mergeCells>
  <hyperlinks>
    <hyperlink ref="W20" r:id="rId1"/>
    <hyperlink ref="W21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76" bestFit="1" customWidth="1"/>
    <col min="2" max="2" width="7.7109375" style="77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76" t="s">
        <v>290</v>
      </c>
      <c r="B1" s="77" t="s">
        <v>291</v>
      </c>
    </row>
    <row r="2" spans="1:6" x14ac:dyDescent="0.25">
      <c r="A2" s="78">
        <v>0</v>
      </c>
      <c r="B2" s="77">
        <v>0.96</v>
      </c>
    </row>
    <row r="3" spans="1:6" x14ac:dyDescent="0.25">
      <c r="A3" s="78">
        <v>-41668.491999999998</v>
      </c>
      <c r="B3" s="77">
        <v>0.90764053175022497</v>
      </c>
      <c r="C3">
        <f>(B2-B3)/(A2-A3)</f>
        <v>1.256572190080097E-6</v>
      </c>
      <c r="D3" s="79">
        <f>1/(C3/'SH1'!M5)</f>
        <v>1.0000516245070639</v>
      </c>
    </row>
    <row r="4" spans="1:6" x14ac:dyDescent="0.25">
      <c r="A4" s="78">
        <v>-83336.985000000001</v>
      </c>
      <c r="B4" s="77">
        <v>0.85527835989871304</v>
      </c>
      <c r="C4">
        <f>(B3-B4)/(A3-A4)</f>
        <v>1.2566370435213947E-6</v>
      </c>
      <c r="D4" s="79">
        <f>1/(C4/'SH1'!M5)</f>
        <v>1.0000000131132576</v>
      </c>
    </row>
    <row r="5" spans="1:6" x14ac:dyDescent="0.25">
      <c r="A5" s="78">
        <v>-125005.477</v>
      </c>
      <c r="B5" s="77">
        <v>0.802916188047201</v>
      </c>
      <c r="C5">
        <f t="shared" ref="C5:C10" si="0">(B4-B5)/(A4-A5)</f>
        <v>1.2566370736793652E-6</v>
      </c>
      <c r="D5" s="79">
        <f>1/(C5/'SH1'!M5)</f>
        <v>0.9999999891143071</v>
      </c>
    </row>
    <row r="6" spans="1:6" x14ac:dyDescent="0.25">
      <c r="A6" s="78">
        <v>-166673.97</v>
      </c>
      <c r="B6" s="77">
        <v>0.75055401619568896</v>
      </c>
      <c r="C6">
        <f t="shared" si="0"/>
        <v>1.2566370435213972E-6</v>
      </c>
      <c r="D6" s="79">
        <f>1/(C6/'SH1'!M5)</f>
        <v>1.0000000131132556</v>
      </c>
    </row>
    <row r="7" spans="1:6" x14ac:dyDescent="0.25">
      <c r="A7" s="78">
        <v>-208342.462</v>
      </c>
      <c r="B7" s="77">
        <v>0.69819184434417803</v>
      </c>
      <c r="C7">
        <f t="shared" si="0"/>
        <v>1.2566370736793387E-6</v>
      </c>
      <c r="D7" s="79">
        <f>1/(C7/'SH1'!M5)</f>
        <v>0.99999998911432819</v>
      </c>
    </row>
    <row r="8" spans="1:6" x14ac:dyDescent="0.25">
      <c r="A8" s="78">
        <v>-250010.954</v>
      </c>
      <c r="B8" s="77">
        <v>0.64582967249266598</v>
      </c>
      <c r="C8">
        <f t="shared" si="0"/>
        <v>1.2566370736793652E-6</v>
      </c>
      <c r="D8" s="79">
        <f>1/(C8/'SH1'!M5)</f>
        <v>0.9999999891143071</v>
      </c>
      <c r="F8" s="80"/>
    </row>
    <row r="9" spans="1:6" x14ac:dyDescent="0.25">
      <c r="A9" s="78">
        <v>-291679.44699999999</v>
      </c>
      <c r="B9" s="77">
        <v>0.59346750064115605</v>
      </c>
      <c r="C9">
        <f>(B8-B9)/(A8-A9)</f>
        <v>1.2566370435213471E-6</v>
      </c>
      <c r="D9" s="79">
        <f>1/(C9/'SH1'!M5)</f>
        <v>1.0000000131132956</v>
      </c>
    </row>
    <row r="10" spans="1:6" x14ac:dyDescent="0.25">
      <c r="A10" s="78">
        <v>-333347.93900000001</v>
      </c>
      <c r="B10" s="77">
        <v>0.54110532878964401</v>
      </c>
      <c r="C10">
        <f t="shared" si="0"/>
        <v>1.2566370736793643E-6</v>
      </c>
      <c r="D10" s="79">
        <f>1/(C10/'SH1'!M5)</f>
        <v>0.99999998911430776</v>
      </c>
    </row>
    <row r="11" spans="1:6" x14ac:dyDescent="0.25">
      <c r="A11" s="78"/>
    </row>
    <row r="12" spans="1:6" x14ac:dyDescent="0.25">
      <c r="A12" s="78"/>
    </row>
    <row r="13" spans="1:6" x14ac:dyDescent="0.25">
      <c r="A13" s="78"/>
    </row>
    <row r="14" spans="1:6" x14ac:dyDescent="0.25">
      <c r="A14" s="78"/>
    </row>
    <row r="15" spans="1:6" x14ac:dyDescent="0.25">
      <c r="A15" s="78"/>
    </row>
    <row r="16" spans="1:6" x14ac:dyDescent="0.25">
      <c r="A16" s="78"/>
    </row>
    <row r="17" spans="1:1" x14ac:dyDescent="0.25">
      <c r="A17" s="78"/>
    </row>
    <row r="18" spans="1:1" x14ac:dyDescent="0.25">
      <c r="A18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125" t="s">
        <v>224</v>
      </c>
      <c r="G7" s="125"/>
      <c r="H7" s="125"/>
      <c r="I7" s="125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129" t="s">
        <v>106</v>
      </c>
      <c r="B1" s="129"/>
      <c r="C1" s="129"/>
      <c r="D1" s="129"/>
      <c r="E1" s="129"/>
      <c r="F1" s="129" t="s">
        <v>124</v>
      </c>
      <c r="G1" s="129"/>
      <c r="H1" s="129"/>
      <c r="I1" s="129"/>
      <c r="J1" s="129"/>
      <c r="K1" s="129" t="s">
        <v>107</v>
      </c>
      <c r="L1" s="129"/>
      <c r="M1" s="129"/>
      <c r="N1" s="129"/>
      <c r="O1" s="129"/>
      <c r="P1" s="126" t="s">
        <v>217</v>
      </c>
      <c r="Q1" s="127"/>
      <c r="R1" s="127"/>
      <c r="S1" s="127"/>
      <c r="T1" s="127"/>
      <c r="U1" s="128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130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130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129" t="s">
        <v>128</v>
      </c>
      <c r="G10" s="129"/>
      <c r="H10" s="129"/>
      <c r="I10" s="129"/>
      <c r="J10" s="129"/>
      <c r="K10" s="129" t="s">
        <v>125</v>
      </c>
      <c r="L10" s="129"/>
      <c r="M10" s="129"/>
      <c r="N10" s="129"/>
      <c r="O10" s="129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130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130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130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129" t="s">
        <v>161</v>
      </c>
      <c r="G17" s="129"/>
      <c r="H17" s="129"/>
      <c r="I17" s="129"/>
      <c r="J17" s="129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129" t="s">
        <v>186</v>
      </c>
      <c r="L23" s="129"/>
      <c r="M23" s="129"/>
      <c r="N23" s="129"/>
      <c r="O23" s="129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2017-10-20T11:16:34Z</dcterms:modified>
</cp:coreProperties>
</file>