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 activeTab="1"/>
  </bookViews>
  <sheets>
    <sheet name="Parameters" sheetId="1" r:id="rId1"/>
    <sheet name="General Calculations" sheetId="4" r:id="rId2"/>
    <sheet name="Load design" sheetId="6" r:id="rId3"/>
    <sheet name="Figures" sheetId="5" r:id="rId4"/>
    <sheet name="Not used-old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4" l="1"/>
  <c r="C17" i="4"/>
  <c r="M16" i="4" s="1"/>
  <c r="H14" i="4"/>
  <c r="H12" i="4"/>
  <c r="M34" i="4"/>
  <c r="M29" i="4"/>
  <c r="M26" i="4"/>
  <c r="M24" i="4"/>
  <c r="C15" i="6" l="1"/>
  <c r="H13" i="6"/>
  <c r="C17" i="6"/>
  <c r="H5" i="6"/>
  <c r="H6" i="6"/>
  <c r="H7" i="6" s="1"/>
  <c r="H2" i="6"/>
  <c r="H3" i="6"/>
  <c r="H4" i="6" l="1"/>
  <c r="H8" i="6" s="1"/>
  <c r="C13" i="6" s="1"/>
  <c r="C11" i="4"/>
  <c r="C9" i="4"/>
  <c r="C8" i="4"/>
  <c r="C3" i="4"/>
  <c r="C14" i="6" l="1"/>
  <c r="H7" i="4"/>
  <c r="C6" i="4"/>
  <c r="C12" i="4" s="1"/>
  <c r="C19" i="4"/>
  <c r="C7" i="4"/>
  <c r="M31" i="4" l="1"/>
  <c r="H11" i="1"/>
  <c r="R18" i="4"/>
  <c r="T12" i="4"/>
  <c r="U12" i="4" s="1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C16" i="6" l="1"/>
  <c r="C18" i="6" s="1"/>
  <c r="H14" i="6"/>
  <c r="U6" i="4"/>
  <c r="T8" i="4"/>
  <c r="U8" i="4" s="1"/>
  <c r="M5" i="4" l="1"/>
  <c r="M6" i="4" s="1"/>
  <c r="M4" i="4"/>
  <c r="C4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27" i="4" l="1"/>
  <c r="M25" i="4"/>
  <c r="M8" i="4"/>
  <c r="H3" i="4" s="1"/>
  <c r="H15" i="4"/>
  <c r="H16" i="4" s="1"/>
  <c r="M7" i="4"/>
  <c r="T3" i="4" s="1"/>
  <c r="U3" i="4" s="1"/>
  <c r="C16" i="4"/>
  <c r="C18" i="4" s="1"/>
  <c r="C20" i="4" s="1"/>
  <c r="C14" i="4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M17" i="4" l="1"/>
  <c r="M28" i="4"/>
  <c r="P29" i="4"/>
  <c r="T4" i="4"/>
  <c r="U4" i="4" s="1"/>
  <c r="H19" i="4"/>
  <c r="T11" i="4" s="1"/>
  <c r="U11" i="4" s="1"/>
  <c r="H4" i="4"/>
  <c r="C5" i="3"/>
  <c r="C11" i="3"/>
  <c r="M33" i="4" l="1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<sst xmlns="http://schemas.openxmlformats.org/spreadsheetml/2006/main" count="493" uniqueCount="274">
  <si>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</si>
  <si>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</si>
  <si>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</si>
  <si>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</si>
  <si>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</si>
  <si>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</si>
  <si>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</si>
  <si>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</si>
  <si>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</si>
  <si>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</si>
  <si>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</si>
  <si>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</si>
  <si>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</si>
  <si>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</si>
  <si>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</si>
  <si>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</si>
  <si>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</si>
  <si>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</si>
  <si>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</si>
  <si>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</si>
  <si>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</si>
  <si>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</si>
  <si>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</si>
  <si>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</si>
  <si>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</si>
  <si>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</si>
  <si>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</si>
  <si>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</si>
  <si>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</si>
  <si>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</si>
  <si>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</si>
  <si>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</si>
  <si>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</si>
  <si>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</si>
  <si>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</si>
  <si>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</si>
  <si>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</si>
  <si>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</si>
  <si>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</si>
  <si>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</si>
  <si>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</si>
  <si>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</si>
  <si>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</si>
  <si>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</si>
  <si>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</si>
  <si>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</si>
  <si>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</si>
  <si>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</si>
  <si>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</si>
  <si>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</si>
  <si>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</si>
  <si>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</si>
  <si>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</si>
  <si>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</si>
  <si>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</si>
  <si>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</si>
  <si>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</si>
  <si>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</si>
  <si>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</si>
  <si>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</si>
  <si>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</si>
  <si>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</si>
  <si>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</si>
  <si>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</si>
  <si>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</si>
  <si>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</si>
  <si>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</si>
  <si>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</si>
  <si>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</si>
  <si>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</si>
  <si>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</si>
  <si>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</si>
  <si>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</si>
  <si>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</si>
  <si>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</si>
  <si>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</si>
  <si>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</si>
  <si>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</si>
  <si>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</si>
  <si>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</si>
  <si>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</si>
  <si>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</si>
  <si>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</si>
  <si>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</si>
  <si>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</si>
  <si>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</si>
  <si>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</si>
  <si>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</si>
  <si>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</si>
  <si>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</si>
  <si>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</si>
  <si>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</si>
  <si>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</si>
  <si>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</si>
  <si>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</si>
  <si>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</si>
  <si>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</si>
  <si>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</si>
  <si>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</si>
  <si>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</si>
  <si>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</si>
  <si>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</si>
  <si>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</si>
  <si>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</si>
  <si>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</si>
  <si>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</si>
  <si>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</si>
  <si>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</si>
  <si>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</si>
  <si>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</si>
  <si>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</si>
  <si>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</si>
  <si>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</si>
  <si>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</si>
  <si>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</si>
  <si>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</si>
  <si>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</si>
  <si>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</si>
  <si>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</si>
  <si>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</si>
  <si>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</si>
  <si>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</si>
  <si>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</si>
  <si>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</si>
  <si>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</si>
  <si>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</si>
  <si>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</si>
  <si>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</si>
  <si>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</si>
  <si>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</si>
  <si>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</si>
  <si>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</si>
  <si>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</si>
  <si>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</si>
  <si>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</si>
  <si>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</si>
  <si>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</si>
  <si>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</si>
  <si>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</si>
  <si>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</si>
  <si>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</si>
  <si>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</si>
  <si>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</si>
  <si>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</si>
  <si>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</si>
  <si>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</si>
  <si>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</si>
  <si>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</si>
  <si>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</si>
  <si>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</si>
  <si>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</si>
  <si>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</si>
  <si>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</si>
  <si>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</si>
  <si>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</si>
  <si>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</si>
  <si>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</si>
  <si>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</si>
  <si>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</si>
  <si>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</si>
  <si>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</si>
  <si>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</si>
  <si>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</si>
  <si>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</si>
  <si>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</si>
  <si>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</si>
  <si>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</si>
  <si>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</si>
  <si>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</si>
  <si>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</si>
  <si>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</si>
  <si>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</si>
  <si>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</si>
  <si>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</si>
  <si>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</si>
  <si>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</si>
  <si>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</si>
  <si>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</si>
  <si>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</si>
  <si>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</si>
  <si>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</si>
  <si>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</si>
  <si>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</si>
  <si>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</si>
  <si>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</si>
  <si>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</si>
  <si>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</si>
  <si>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</si>
  <si>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</si>
  <si>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</si>
  <si>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</si>
  <si>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</si>
  <si>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</si>
  <si>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</si>
  <si>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</si>
  <si>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</si>
  <si>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</si>
  <si>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</si>
  <si>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</si>
  <si>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</si>
  <si>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</si>
  <si>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</si>
  <si>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</si>
  <si>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</si>
  <si>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</si>
  <si>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</si>
  <si>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</si>
  <si>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</si>
  <si>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</si>
  <si>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</si>
  <si>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</si>
  <si>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</si>
  <si>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</si>
  <si>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</si>
  <si>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</si>
  <si>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</si>
  <si>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</si>
  <si>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</si>
  <si>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</si>
  <si>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</si>
  <si>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</si>
  <si>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</si>
  <si>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</si>
  <si>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</si>
  <si>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</si>
  <si>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</si>
  <si>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</si>
  <si>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</si>
  <si>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</si>
  <si>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</si>
  <si>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</si>
  <si>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</si>
  <si>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</si>
  <si>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</si>
  <si>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</si>
  <si>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</si>
  <si>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Input Parameters</t>
  </si>
  <si>
    <t>Total drive output power</t>
  </si>
  <si>
    <t>Calculated parameters</t>
  </si>
  <si>
    <r>
      <t>P</t>
    </r>
    <r>
      <rPr>
        <vertAlign val="subscript"/>
        <sz val="10"/>
        <color theme="1"/>
        <rFont val="Garamond"/>
        <family val="1"/>
        <charset val="162"/>
      </rPr>
      <t>outd</t>
    </r>
  </si>
  <si>
    <r>
      <t>n</t>
    </r>
    <r>
      <rPr>
        <vertAlign val="subscript"/>
        <sz val="10"/>
        <color theme="1"/>
        <rFont val="Garamond"/>
        <family val="1"/>
        <charset val="162"/>
      </rPr>
      <t>p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</si>
  <si>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</si>
  <si>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P</t>
    </r>
    <r>
      <rPr>
        <vertAlign val="subscript"/>
        <sz val="10"/>
        <color theme="1"/>
        <rFont val="Garamond"/>
        <family val="1"/>
        <charset val="162"/>
      </rPr>
      <t>drm</t>
    </r>
  </si>
  <si>
    <r>
      <t>V</t>
    </r>
    <r>
      <rPr>
        <vertAlign val="subscript"/>
        <sz val="10"/>
        <color theme="1"/>
        <rFont val="Garamond"/>
        <family val="1"/>
        <charset val="162"/>
      </rPr>
      <t>dcm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</si>
  <si>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</si>
  <si>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V</t>
    </r>
    <r>
      <rPr>
        <vertAlign val="subscript"/>
        <sz val="10"/>
        <color theme="1"/>
        <rFont val="Garamond"/>
        <family val="1"/>
        <charset val="162"/>
      </rPr>
      <t>phm</t>
    </r>
  </si>
  <si>
    <r>
      <t>m</t>
    </r>
    <r>
      <rPr>
        <vertAlign val="subscript"/>
        <sz val="10"/>
        <color theme="1"/>
        <rFont val="Garamond"/>
        <family val="1"/>
        <charset val="162"/>
      </rPr>
      <t>a</t>
    </r>
  </si>
  <si>
    <r>
      <t>I</t>
    </r>
    <r>
      <rPr>
        <vertAlign val="subscript"/>
        <sz val="10"/>
        <color theme="1"/>
        <rFont val="Garamond"/>
        <family val="1"/>
        <charset val="162"/>
      </rPr>
      <t>phm</t>
    </r>
  </si>
  <si>
    <r>
      <t>f</t>
    </r>
    <r>
      <rPr>
        <vertAlign val="subscript"/>
        <sz val="10"/>
        <color theme="1"/>
        <rFont val="Garamond"/>
        <family val="1"/>
        <charset val="162"/>
      </rPr>
      <t>r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</si>
  <si>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</si>
  <si>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t>Drive apparent power (module)</t>
  </si>
  <si>
    <r>
      <t>S</t>
    </r>
    <r>
      <rPr>
        <vertAlign val="subscript"/>
        <sz val="10"/>
        <color theme="1"/>
        <rFont val="Garamond"/>
        <family val="1"/>
        <charset val="162"/>
      </rPr>
      <t>drm</t>
    </r>
  </si>
  <si>
    <t>VA</t>
  </si>
  <si>
    <t>Phase resistance/module</t>
  </si>
  <si>
    <t>Phase impedance/module</t>
  </si>
  <si>
    <r>
      <t>Z</t>
    </r>
    <r>
      <rPr>
        <vertAlign val="subscript"/>
        <sz val="10"/>
        <color theme="1"/>
        <rFont val="Garamond"/>
        <family val="1"/>
        <charset val="162"/>
      </rPr>
      <t>phm</t>
    </r>
  </si>
  <si>
    <t>Results</t>
  </si>
  <si>
    <t>Ω</t>
  </si>
  <si>
    <r>
      <t>R</t>
    </r>
    <r>
      <rPr>
        <vertAlign val="subscript"/>
        <sz val="10"/>
        <color theme="1"/>
        <rFont val="Garamond"/>
        <family val="1"/>
        <charset val="162"/>
      </rPr>
      <t>phm</t>
    </r>
  </si>
  <si>
    <t>Phase reactance/module</t>
  </si>
  <si>
    <r>
      <t>X</t>
    </r>
    <r>
      <rPr>
        <vertAlign val="subscript"/>
        <sz val="10"/>
        <color theme="1"/>
        <rFont val="Garamond"/>
        <family val="1"/>
        <charset val="162"/>
      </rPr>
      <t>phm</t>
    </r>
  </si>
  <si>
    <t>Phase inductance/module</t>
  </si>
  <si>
    <r>
      <t>L</t>
    </r>
    <r>
      <rPr>
        <vertAlign val="subscript"/>
        <sz val="10"/>
        <color theme="1"/>
        <rFont val="Garamond"/>
        <family val="1"/>
        <charset val="162"/>
      </rPr>
      <t>phm</t>
    </r>
  </si>
  <si>
    <t>mH</t>
  </si>
  <si>
    <t>Single resistance</t>
  </si>
  <si>
    <t>R</t>
  </si>
  <si>
    <t>Number of parallel branches</t>
  </si>
  <si>
    <t>b</t>
  </si>
  <si>
    <t>Single inductance</t>
  </si>
  <si>
    <t>L</t>
  </si>
  <si>
    <t>Voltage on Rphm</t>
  </si>
  <si>
    <t>Voltage on Xphm</t>
  </si>
  <si>
    <t>Drive reactive power (module)</t>
  </si>
  <si>
    <r>
      <t>Q</t>
    </r>
    <r>
      <rPr>
        <vertAlign val="subscript"/>
        <sz val="10"/>
        <color theme="1"/>
        <rFont val="Garamond"/>
        <family val="1"/>
        <charset val="162"/>
      </rPr>
      <t>drm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</si>
</sst>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0" fontId="14" fillId="0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vertical="center"/>
    </xf>
    <xf numFmtId="0" fontId="2" fillId="9" borderId="4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75" zoomScaleNormal="175" workbookViewId="0">
      <selection activeCell="B14" sqref="B14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6" t="s">
        <v>4</v>
      </c>
      <c r="C1" s="46" t="s">
        <v>5</v>
      </c>
      <c r="D1" s="46" t="s">
        <v>6</v>
      </c>
      <c r="E1" s="46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0.85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56" t="s">
        <v>11</v>
      </c>
      <c r="B6" s="20" t="s">
        <v>38</v>
      </c>
      <c r="C6" s="20">
        <v>1</v>
      </c>
      <c r="D6" s="20" t="s">
        <v>15</v>
      </c>
      <c r="E6" s="51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70" t="s">
        <v>224</v>
      </c>
      <c r="G7" s="70"/>
      <c r="H7" s="70"/>
      <c r="I7" s="70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0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56" t="s">
        <v>88</v>
      </c>
      <c r="B14" s="20" t="s">
        <v>89</v>
      </c>
      <c r="C14" s="20">
        <v>3.5</v>
      </c>
      <c r="D14" s="20" t="s">
        <v>80</v>
      </c>
      <c r="E14" s="51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36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tabSelected="1" topLeftCell="D1" zoomScale="130" zoomScaleNormal="130" workbookViewId="0">
      <selection activeCell="K14" sqref="K14"/>
    </sheetView>
  </sheetViews>
  <sheetFormatPr defaultRowHeight="15" x14ac:dyDescent="0.25"/>
  <cols>
    <col min="1" max="1" width="24.140625" style="25" bestFit="1" customWidth="1"/>
    <col min="2" max="2" width="7.7109375" style="41" bestFit="1" customWidth="1"/>
    <col min="3" max="3" width="6.42578125" style="41" bestFit="1" customWidth="1"/>
    <col min="4" max="4" width="5" style="41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74" t="s">
        <v>106</v>
      </c>
      <c r="B1" s="74"/>
      <c r="C1" s="74"/>
      <c r="D1" s="74"/>
      <c r="E1" s="74"/>
      <c r="F1" s="74" t="s">
        <v>124</v>
      </c>
      <c r="G1" s="74"/>
      <c r="H1" s="74"/>
      <c r="I1" s="74"/>
      <c r="J1" s="74"/>
      <c r="K1" s="74" t="s">
        <v>107</v>
      </c>
      <c r="L1" s="74"/>
      <c r="M1" s="74"/>
      <c r="N1" s="74"/>
      <c r="O1" s="74"/>
      <c r="P1" s="71" t="s">
        <v>217</v>
      </c>
      <c r="Q1" s="72"/>
      <c r="R1" s="72"/>
      <c r="S1" s="72"/>
      <c r="T1" s="72"/>
      <c r="U1" s="73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Parameters!C4*Parameters!C7*Parameters!C9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1000*SQRT(2*Parameters!H9/(2*Parameters!H8*M8*Parameters!H10))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Parameters!C4/Parameters!C5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8.7459583070829847</v>
      </c>
      <c r="U3" s="23">
        <f>100*ABS(S3-T3)/T3</f>
        <v>71.507792209026761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SQRT(4*M7/(Parameters!H8*Parameters!C13))</f>
        <v>1.6685098131197376</v>
      </c>
      <c r="I4" s="20" t="s">
        <v>80</v>
      </c>
      <c r="J4" s="20"/>
      <c r="K4" s="28" t="s">
        <v>62</v>
      </c>
      <c r="L4" s="20" t="s">
        <v>63</v>
      </c>
      <c r="M4" s="32">
        <f>Parameters!C2/(Parameters!C4*Parameters!H2/100)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75" t="s">
        <v>178</v>
      </c>
      <c r="K5" s="28" t="s">
        <v>65</v>
      </c>
      <c r="L5" s="20" t="s">
        <v>66</v>
      </c>
      <c r="M5" s="20">
        <f>Parameters!C3/Parameters!C5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75"/>
      <c r="K6" s="28" t="s">
        <v>26</v>
      </c>
      <c r="L6" s="20" t="s">
        <v>48</v>
      </c>
      <c r="M6" s="23">
        <f>0.612*Parameters!C6*M5/SQRT(3)</f>
        <v>95.401358480893776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Parameters!C2/(Parameters!C8*2*Parameters!H8/60)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Parameters!C15*H13*Parameters!H8*(H5/2)^2*1.25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M4/(Parameters!H3*'General Calculations'!M6*3)</f>
        <v>8.7459583070829847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61.157660726613045</v>
      </c>
      <c r="U7" s="23">
        <f t="shared" si="0"/>
        <v>474.41699997385632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Parameters!C8*'General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1" t="s">
        <v>178</v>
      </c>
      <c r="F10" s="74" t="s">
        <v>128</v>
      </c>
      <c r="G10" s="74"/>
      <c r="H10" s="74"/>
      <c r="I10" s="74"/>
      <c r="J10" s="74"/>
      <c r="K10" s="74" t="s">
        <v>125</v>
      </c>
      <c r="L10" s="74"/>
      <c r="M10" s="74"/>
      <c r="N10" s="74"/>
      <c r="O10" s="74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48" t="s">
        <v>179</v>
      </c>
      <c r="K11" s="83" t="s">
        <v>130</v>
      </c>
      <c r="L11" s="20" t="s">
        <v>129</v>
      </c>
      <c r="M11" s="20">
        <v>15</v>
      </c>
      <c r="N11" s="20" t="s">
        <v>80</v>
      </c>
      <c r="O11" s="75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0.001*2*C11*C12*Parameters!C12/C4</f>
        <v>1.2052616311411262</v>
      </c>
      <c r="I12" s="20" t="s">
        <v>96</v>
      </c>
      <c r="J12" s="21"/>
      <c r="K12" s="80" t="s">
        <v>131</v>
      </c>
      <c r="L12" s="20" t="s">
        <v>133</v>
      </c>
      <c r="M12" s="20">
        <v>2</v>
      </c>
      <c r="N12" s="20" t="s">
        <v>80</v>
      </c>
      <c r="O12" s="75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1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1" t="s">
        <v>178</v>
      </c>
      <c r="K13" s="80" t="s">
        <v>132</v>
      </c>
      <c r="L13" s="20" t="s">
        <v>134</v>
      </c>
      <c r="M13" s="20">
        <v>2</v>
      </c>
      <c r="N13" s="20" t="s">
        <v>80</v>
      </c>
      <c r="O13" s="75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'General Calculations'!H13*Parameters!C9*Parameters!C15/2</f>
        <v>60</v>
      </c>
      <c r="I14" s="20" t="s">
        <v>15</v>
      </c>
      <c r="J14" s="21"/>
      <c r="K14" s="80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80" t="s">
        <v>145</v>
      </c>
      <c r="L15" s="20" t="s">
        <v>148</v>
      </c>
      <c r="M15" s="22">
        <v>13</v>
      </c>
      <c r="N15" s="22" t="s">
        <v>80</v>
      </c>
      <c r="O15" s="51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3" t="s">
        <v>227</v>
      </c>
      <c r="C16" s="23">
        <f>Parameters!H8*C11/'General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H15*Parameters!C4</f>
        <v>119.82768989363372</v>
      </c>
      <c r="I16" s="20" t="s">
        <v>33</v>
      </c>
      <c r="J16" s="28"/>
      <c r="K16" s="83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56" t="s">
        <v>149</v>
      </c>
      <c r="B17" s="53" t="s">
        <v>228</v>
      </c>
      <c r="C17" s="23">
        <f>Parameters!H8*(C14-M14)/C3</f>
        <v>33.171057287635783</v>
      </c>
      <c r="D17" s="20" t="s">
        <v>80</v>
      </c>
      <c r="E17" s="28"/>
      <c r="F17" s="74" t="s">
        <v>161</v>
      </c>
      <c r="G17" s="74"/>
      <c r="H17" s="74"/>
      <c r="I17" s="74"/>
      <c r="J17" s="74"/>
      <c r="K17" s="80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36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2*Parameters!C9*C12*1.2</f>
        <v>304.24347695823894</v>
      </c>
      <c r="I18" s="20" t="s">
        <v>80</v>
      </c>
      <c r="J18" s="40"/>
      <c r="K18" s="80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Parameters!C12*2/Parameters!H8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82" t="s">
        <v>146</v>
      </c>
      <c r="L19" s="20" t="s">
        <v>147</v>
      </c>
      <c r="M19" s="20">
        <v>2</v>
      </c>
      <c r="N19" s="20" t="s">
        <v>80</v>
      </c>
      <c r="O19" s="51" t="s">
        <v>178</v>
      </c>
      <c r="R19" s="38"/>
      <c r="S19" s="38"/>
      <c r="T19" s="38"/>
      <c r="U19" s="38"/>
    </row>
    <row r="20" spans="1:21" ht="15" customHeight="1" x14ac:dyDescent="0.25">
      <c r="A20" s="54" t="s">
        <v>235</v>
      </c>
      <c r="B20" s="55"/>
      <c r="C20" s="55">
        <f>C19*PI()/2/C18</f>
        <v>1.91468163484499</v>
      </c>
      <c r="D20" s="55" t="s">
        <v>28</v>
      </c>
      <c r="E20" s="39"/>
      <c r="F20" s="28" t="s">
        <v>181</v>
      </c>
      <c r="G20" s="20" t="s">
        <v>167</v>
      </c>
      <c r="H20" s="20">
        <f>M7^2*H19/1000</f>
        <v>5.0964717272177538</v>
      </c>
      <c r="I20" s="20" t="s">
        <v>7</v>
      </c>
      <c r="J20" s="20"/>
      <c r="K20" s="82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8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H20*Parameters!C4*Parameters!C7+H21</f>
        <v>61.157660726613045</v>
      </c>
      <c r="I22" s="20" t="s">
        <v>7</v>
      </c>
      <c r="J22" s="20"/>
    </row>
    <row r="23" spans="1:21" ht="15" customHeight="1" x14ac:dyDescent="0.25">
      <c r="F23" s="42" t="s">
        <v>169</v>
      </c>
      <c r="G23" s="43" t="s">
        <v>197</v>
      </c>
      <c r="H23" s="20">
        <f>Parameters!C2/(Parameters!C2+'General Calculations'!H22)*100</f>
        <v>99.241329058423347</v>
      </c>
      <c r="I23" s="20" t="s">
        <v>15</v>
      </c>
      <c r="J23" s="44"/>
      <c r="K23" s="74" t="s">
        <v>186</v>
      </c>
      <c r="L23" s="74"/>
      <c r="M23" s="74"/>
      <c r="N23" s="74"/>
      <c r="O23" s="74"/>
    </row>
    <row r="24" spans="1:21" ht="15" customHeight="1" x14ac:dyDescent="0.25">
      <c r="F24" s="42"/>
      <c r="G24" s="43"/>
      <c r="H24" s="20"/>
      <c r="I24" s="20"/>
      <c r="J24" s="44"/>
      <c r="K24" s="80" t="s">
        <v>198</v>
      </c>
      <c r="L24" s="20" t="s">
        <v>199</v>
      </c>
      <c r="M24" s="37">
        <f>2*Parameters!H8*Parameters!C16/'General Calculations'!C4</f>
        <v>0.2199114855</v>
      </c>
      <c r="N24" s="20" t="s">
        <v>200</v>
      </c>
      <c r="O24" s="20"/>
    </row>
    <row r="25" spans="1:21" ht="15" customHeight="1" x14ac:dyDescent="0.25">
      <c r="F25" s="42"/>
      <c r="G25" s="43"/>
      <c r="H25" s="20"/>
      <c r="I25" s="20"/>
      <c r="J25" s="44"/>
      <c r="K25" s="80" t="s">
        <v>198</v>
      </c>
      <c r="L25" s="20" t="s">
        <v>199</v>
      </c>
      <c r="M25" s="20">
        <f>M24*180/Parameters!H8</f>
        <v>12.6</v>
      </c>
      <c r="N25" s="20" t="s">
        <v>201</v>
      </c>
      <c r="O25" s="20"/>
    </row>
    <row r="26" spans="1:21" ht="15" customHeight="1" x14ac:dyDescent="0.25">
      <c r="F26" s="42"/>
      <c r="G26" s="43"/>
      <c r="H26" s="20"/>
      <c r="I26" s="20"/>
      <c r="J26" s="44"/>
      <c r="K26" s="80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4"/>
      <c r="K27" s="80" t="s">
        <v>188</v>
      </c>
      <c r="L27" s="20" t="s">
        <v>194</v>
      </c>
      <c r="M27" s="23">
        <f>(M24*(C11/2-C15/2-Parameters!C14/2)+2*C15)*(C12)/100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80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49" t="s">
        <v>216</v>
      </c>
      <c r="K29" s="80" t="s">
        <v>205</v>
      </c>
      <c r="L29" s="20" t="s">
        <v>206</v>
      </c>
      <c r="M29" s="23">
        <f>M27*C15/(M26*Parameters!C14)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49" t="s">
        <v>216</v>
      </c>
      <c r="K30" s="80" t="s">
        <v>189</v>
      </c>
      <c r="L30" s="20" t="s">
        <v>195</v>
      </c>
      <c r="M30" s="20">
        <v>1.1000000000000001</v>
      </c>
      <c r="N30" s="20" t="s">
        <v>15</v>
      </c>
      <c r="O30" s="51" t="s">
        <v>178</v>
      </c>
    </row>
    <row r="31" spans="1:21" ht="18" customHeight="1" x14ac:dyDescent="0.25">
      <c r="F31" s="47" t="s">
        <v>218</v>
      </c>
      <c r="G31" s="20" t="s">
        <v>219</v>
      </c>
      <c r="H31" s="40">
        <v>0.95</v>
      </c>
      <c r="I31" s="40"/>
      <c r="J31" s="41"/>
      <c r="K31" s="80" t="s">
        <v>192</v>
      </c>
      <c r="L31" s="20" t="s">
        <v>196</v>
      </c>
      <c r="M31" s="45">
        <f>M30*Parameters!H11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1"/>
      <c r="K32" s="81" t="s">
        <v>207</v>
      </c>
      <c r="L32" s="20" t="s">
        <v>208</v>
      </c>
      <c r="M32" s="23">
        <v>1</v>
      </c>
      <c r="N32" s="20" t="s">
        <v>28</v>
      </c>
      <c r="O32" s="51" t="s">
        <v>178</v>
      </c>
    </row>
    <row r="33" spans="6:15" ht="18" x14ac:dyDescent="0.25">
      <c r="F33" s="29"/>
      <c r="G33" s="20"/>
      <c r="H33" s="20"/>
      <c r="I33" s="20"/>
      <c r="J33" s="41"/>
      <c r="K33" s="81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81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205" zoomScaleNormal="205" workbookViewId="0">
      <selection activeCell="F16" sqref="F16"/>
    </sheetView>
  </sheetViews>
  <sheetFormatPr defaultRowHeight="12.95" customHeight="1" x14ac:dyDescent="0.25"/>
  <cols>
    <col min="1" max="1" width="23" style="64" bestFit="1" customWidth="1"/>
    <col min="2" max="2" width="5.42578125" style="65" customWidth="1"/>
    <col min="3" max="3" width="4.85546875" style="65" bestFit="1" customWidth="1"/>
    <col min="4" max="4" width="4" style="65" bestFit="1" customWidth="1"/>
    <col min="5" max="5" width="2.7109375" style="65" customWidth="1"/>
    <col min="6" max="6" width="24.42578125" style="64" bestFit="1" customWidth="1"/>
    <col min="7" max="7" width="4.7109375" style="65" bestFit="1" customWidth="1"/>
    <col min="8" max="8" width="4.85546875" style="65" bestFit="1" customWidth="1"/>
    <col min="9" max="9" width="3.5703125" style="65" bestFit="1" customWidth="1"/>
    <col min="10" max="10" width="2.5703125" style="65" customWidth="1"/>
    <col min="11" max="16384" width="9.140625" style="64"/>
  </cols>
  <sheetData>
    <row r="1" spans="1:10" ht="12.95" customHeight="1" x14ac:dyDescent="0.25">
      <c r="A1" s="76" t="s">
        <v>236</v>
      </c>
      <c r="B1" s="76"/>
      <c r="C1" s="76"/>
      <c r="D1" s="76"/>
      <c r="E1" s="76"/>
      <c r="F1" s="77" t="s">
        <v>238</v>
      </c>
      <c r="G1" s="76"/>
      <c r="H1" s="76"/>
      <c r="I1" s="76"/>
      <c r="J1" s="76"/>
    </row>
    <row r="2" spans="1:10" ht="12.95" customHeight="1" x14ac:dyDescent="0.25">
      <c r="A2" s="61" t="s">
        <v>237</v>
      </c>
      <c r="B2" s="58" t="s">
        <v>239</v>
      </c>
      <c r="C2" s="60">
        <v>8000</v>
      </c>
      <c r="D2" s="58" t="s">
        <v>7</v>
      </c>
      <c r="E2" s="58"/>
      <c r="F2" s="67" t="s">
        <v>34</v>
      </c>
      <c r="G2" s="58" t="s">
        <v>240</v>
      </c>
      <c r="H2" s="58">
        <f>C4/C5</f>
        <v>2</v>
      </c>
      <c r="I2" s="58" t="s">
        <v>15</v>
      </c>
      <c r="J2" s="58"/>
    </row>
    <row r="3" spans="1:10" ht="12.95" customHeight="1" x14ac:dyDescent="0.25">
      <c r="A3" s="61" t="s">
        <v>32</v>
      </c>
      <c r="B3" s="58" t="s">
        <v>241</v>
      </c>
      <c r="C3" s="58">
        <v>540</v>
      </c>
      <c r="D3" s="58" t="s">
        <v>33</v>
      </c>
      <c r="E3" s="58"/>
      <c r="F3" s="67" t="s">
        <v>62</v>
      </c>
      <c r="G3" s="58" t="s">
        <v>242</v>
      </c>
      <c r="H3" s="60">
        <f>C2/C4</f>
        <v>2000</v>
      </c>
      <c r="I3" s="58" t="s">
        <v>7</v>
      </c>
      <c r="J3" s="58"/>
    </row>
    <row r="4" spans="1:10" ht="12.95" customHeight="1" x14ac:dyDescent="0.25">
      <c r="A4" s="61" t="s">
        <v>9</v>
      </c>
      <c r="B4" s="58" t="s">
        <v>13</v>
      </c>
      <c r="C4" s="58">
        <v>4</v>
      </c>
      <c r="D4" s="58" t="s">
        <v>15</v>
      </c>
      <c r="E4" s="58"/>
      <c r="F4" s="67" t="s">
        <v>250</v>
      </c>
      <c r="G4" s="58" t="s">
        <v>251</v>
      </c>
      <c r="H4" s="60">
        <f>H3/C9</f>
        <v>2298.8505747126437</v>
      </c>
      <c r="I4" s="58" t="s">
        <v>252</v>
      </c>
      <c r="J4" s="58"/>
    </row>
    <row r="5" spans="1:10" ht="12.95" customHeight="1" x14ac:dyDescent="0.25">
      <c r="A5" s="61" t="s">
        <v>10</v>
      </c>
      <c r="B5" s="58" t="s">
        <v>244</v>
      </c>
      <c r="C5" s="58">
        <v>2</v>
      </c>
      <c r="D5" s="58" t="s">
        <v>15</v>
      </c>
      <c r="E5" s="58"/>
      <c r="F5" s="67" t="s">
        <v>272</v>
      </c>
      <c r="G5" s="58" t="s">
        <v>273</v>
      </c>
      <c r="H5" s="60">
        <f>SQRT(H4^2-H3^2)</f>
        <v>1133.4522331605565</v>
      </c>
      <c r="I5" s="58" t="s">
        <v>7</v>
      </c>
      <c r="J5" s="58"/>
    </row>
    <row r="6" spans="1:10" ht="12.95" customHeight="1" x14ac:dyDescent="0.25">
      <c r="A6" s="62" t="s">
        <v>11</v>
      </c>
      <c r="B6" s="58" t="s">
        <v>246</v>
      </c>
      <c r="C6" s="58">
        <v>1</v>
      </c>
      <c r="D6" s="58" t="s">
        <v>15</v>
      </c>
      <c r="E6" s="58"/>
      <c r="F6" s="67" t="s">
        <v>65</v>
      </c>
      <c r="G6" s="58" t="s">
        <v>243</v>
      </c>
      <c r="H6" s="58">
        <f>C3/C5</f>
        <v>270</v>
      </c>
      <c r="I6" s="58" t="s">
        <v>33</v>
      </c>
      <c r="J6" s="58"/>
    </row>
    <row r="7" spans="1:10" ht="12.95" customHeight="1" x14ac:dyDescent="0.25">
      <c r="A7" s="61" t="s">
        <v>12</v>
      </c>
      <c r="B7" s="58" t="s">
        <v>14</v>
      </c>
      <c r="C7" s="58">
        <v>3</v>
      </c>
      <c r="D7" s="58" t="s">
        <v>15</v>
      </c>
      <c r="E7" s="58"/>
      <c r="F7" s="67" t="s">
        <v>26</v>
      </c>
      <c r="G7" s="58" t="s">
        <v>245</v>
      </c>
      <c r="H7" s="59">
        <f>0.612*C6*H6/SQRT(3)</f>
        <v>95.401358480893776</v>
      </c>
      <c r="I7" s="58" t="s">
        <v>33</v>
      </c>
      <c r="J7" s="58"/>
    </row>
    <row r="8" spans="1:10" ht="12.95" customHeight="1" x14ac:dyDescent="0.25">
      <c r="A8" s="61" t="s">
        <v>49</v>
      </c>
      <c r="B8" s="58" t="s">
        <v>249</v>
      </c>
      <c r="C8" s="58">
        <v>94</v>
      </c>
      <c r="D8" s="58" t="s">
        <v>51</v>
      </c>
      <c r="E8" s="58"/>
      <c r="F8" s="67" t="s">
        <v>67</v>
      </c>
      <c r="G8" s="58" t="s">
        <v>247</v>
      </c>
      <c r="H8" s="59">
        <f>H4/(C7*H7)</f>
        <v>8.0322076866198895</v>
      </c>
      <c r="I8" s="58" t="s">
        <v>22</v>
      </c>
      <c r="J8" s="58"/>
    </row>
    <row r="9" spans="1:10" ht="12.95" customHeight="1" x14ac:dyDescent="0.25">
      <c r="A9" s="61" t="s">
        <v>0</v>
      </c>
      <c r="B9" s="58" t="s">
        <v>52</v>
      </c>
      <c r="C9" s="58">
        <v>0.87</v>
      </c>
      <c r="D9" s="58" t="s">
        <v>15</v>
      </c>
      <c r="E9" s="58"/>
      <c r="F9" s="67"/>
      <c r="G9" s="58"/>
      <c r="H9" s="58"/>
      <c r="I9" s="58"/>
      <c r="J9" s="58"/>
    </row>
    <row r="10" spans="1:10" ht="12.95" customHeight="1" x14ac:dyDescent="0.25">
      <c r="A10" s="61" t="s">
        <v>25</v>
      </c>
      <c r="B10" s="58" t="s">
        <v>248</v>
      </c>
      <c r="C10" s="58">
        <v>50</v>
      </c>
      <c r="D10" s="58" t="s">
        <v>70</v>
      </c>
      <c r="E10" s="58"/>
      <c r="F10" s="68"/>
      <c r="G10" s="58"/>
      <c r="H10" s="58"/>
      <c r="I10" s="58"/>
      <c r="J10" s="58"/>
    </row>
    <row r="11" spans="1:10" ht="12.95" customHeight="1" x14ac:dyDescent="0.25">
      <c r="A11" s="61" t="s">
        <v>266</v>
      </c>
      <c r="B11" s="58" t="s">
        <v>267</v>
      </c>
      <c r="C11" s="58">
        <v>5</v>
      </c>
      <c r="D11" s="58" t="s">
        <v>15</v>
      </c>
      <c r="E11" s="58"/>
      <c r="F11" s="68"/>
      <c r="G11" s="58"/>
      <c r="H11" s="58"/>
      <c r="I11" s="58"/>
      <c r="J11" s="58"/>
    </row>
    <row r="12" spans="1:10" s="66" customFormat="1" ht="12.95" customHeight="1" x14ac:dyDescent="0.25">
      <c r="A12" s="78" t="s">
        <v>256</v>
      </c>
      <c r="B12" s="78"/>
      <c r="C12" s="78"/>
      <c r="D12" s="78"/>
      <c r="E12" s="78"/>
      <c r="F12" s="79" t="s">
        <v>256</v>
      </c>
      <c r="G12" s="78"/>
      <c r="H12" s="78"/>
      <c r="I12" s="78"/>
      <c r="J12" s="78"/>
    </row>
    <row r="13" spans="1:10" ht="12.95" customHeight="1" x14ac:dyDescent="0.25">
      <c r="A13" s="63" t="s">
        <v>254</v>
      </c>
      <c r="B13" s="58" t="s">
        <v>255</v>
      </c>
      <c r="C13" s="59">
        <f>H7/H8</f>
        <v>11.877352056000003</v>
      </c>
      <c r="D13" s="58" t="s">
        <v>257</v>
      </c>
      <c r="E13" s="58"/>
      <c r="F13" s="69" t="s">
        <v>270</v>
      </c>
      <c r="G13" s="58"/>
      <c r="H13" s="59">
        <f>C14*H8</f>
        <v>82.999181878377584</v>
      </c>
      <c r="I13" s="58"/>
      <c r="J13" s="58"/>
    </row>
    <row r="14" spans="1:10" ht="12.95" customHeight="1" x14ac:dyDescent="0.25">
      <c r="A14" s="63" t="s">
        <v>253</v>
      </c>
      <c r="B14" s="58" t="s">
        <v>258</v>
      </c>
      <c r="C14" s="59">
        <f>C13*C9</f>
        <v>10.333296288720003</v>
      </c>
      <c r="D14" s="58" t="s">
        <v>257</v>
      </c>
      <c r="E14" s="58"/>
      <c r="F14" s="69" t="s">
        <v>271</v>
      </c>
      <c r="G14" s="58"/>
      <c r="H14" s="59">
        <f>C15*H8</f>
        <v>47.037804025273118</v>
      </c>
      <c r="I14" s="58"/>
      <c r="J14" s="58"/>
    </row>
    <row r="15" spans="1:10" ht="12.95" customHeight="1" x14ac:dyDescent="0.25">
      <c r="A15" s="63" t="s">
        <v>259</v>
      </c>
      <c r="B15" s="58" t="s">
        <v>260</v>
      </c>
      <c r="C15" s="59">
        <f>SQRT(C13^2-C14^2)</f>
        <v>5.8561488771796872</v>
      </c>
      <c r="D15" s="58" t="s">
        <v>257</v>
      </c>
      <c r="E15" s="58"/>
      <c r="F15" s="69"/>
      <c r="G15" s="58"/>
      <c r="H15" s="59"/>
      <c r="I15" s="58"/>
      <c r="J15" s="58"/>
    </row>
    <row r="16" spans="1:10" ht="12.95" customHeight="1" x14ac:dyDescent="0.25">
      <c r="A16" s="63" t="s">
        <v>261</v>
      </c>
      <c r="B16" s="58" t="s">
        <v>262</v>
      </c>
      <c r="C16" s="59">
        <f>1000*C15/(2*3.14*C10)</f>
        <v>18.650155659807922</v>
      </c>
      <c r="D16" s="58" t="s">
        <v>263</v>
      </c>
      <c r="E16" s="58"/>
      <c r="F16" s="69"/>
      <c r="G16" s="58"/>
      <c r="H16" s="59"/>
      <c r="I16" s="58"/>
      <c r="J16" s="58"/>
    </row>
    <row r="17" spans="1:10" ht="12.95" customHeight="1" x14ac:dyDescent="0.25">
      <c r="A17" s="57" t="s">
        <v>264</v>
      </c>
      <c r="B17" s="58" t="s">
        <v>265</v>
      </c>
      <c r="C17" s="59">
        <f>C14*C11</f>
        <v>51.66648144360002</v>
      </c>
      <c r="D17" s="58" t="s">
        <v>257</v>
      </c>
      <c r="E17" s="58"/>
      <c r="F17" s="68"/>
      <c r="G17" s="58"/>
      <c r="H17" s="58"/>
      <c r="I17" s="58"/>
      <c r="J17" s="58"/>
    </row>
    <row r="18" spans="1:10" ht="12.95" customHeight="1" x14ac:dyDescent="0.25">
      <c r="A18" s="57" t="s">
        <v>268</v>
      </c>
      <c r="B18" s="58" t="s">
        <v>269</v>
      </c>
      <c r="C18" s="59">
        <f>C16*C11</f>
        <v>93.250778299039609</v>
      </c>
      <c r="D18" s="58" t="s">
        <v>263</v>
      </c>
      <c r="E18" s="58"/>
    </row>
  </sheetData>
  <mergeCells count="4">
    <mergeCell ref="A1:E1"/>
    <mergeCell ref="F1:J1"/>
    <mergeCell ref="A12:E12"/>
    <mergeCell ref="F12:J12"/>
  </mergeCells>
  <pageMargins left="0.7" right="0.7" top="0.75" bottom="0.75" header="0.3" footer="0.3"/>
  <pageSetup paperSize="9" orientation="portrait" r:id="rId1"/>
  <ignoredErrors>
    <ignoredError sqref="H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A18" sqref="A18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2" t="s">
        <v>225</v>
      </c>
      <c r="B1" s="52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Parameters!C2/(Parameters!C8*2*Parameters!H8/60)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Parameters!C2/(Parameters!C4*Parameters!H2/100)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95.401358480893776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C8/(Parameters!H3*'Not used-old'!C10*3)</f>
        <v>8.7459583070829847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Parameters!C8*'Not used-old'!C4/120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Parameters!C11*Parameters!C12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Parameters!H8*'Not used-old'!C16/'Not used-old'!C3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0.001*2*C16*C17*Parameters!C12/'Not used-old'!C4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General Calculations</vt:lpstr>
      <vt:lpstr>Load design</vt:lpstr>
      <vt:lpstr>Figures</vt:lpstr>
      <vt:lpstr>Not used-old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2017-10-18T12:15:21Z</dcterms:modified>
</cp:coreProperties>
</file>