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Figures" sheetId="5" r:id="rId2"/>
    <sheet name="B-H magnet" sheetId="7" r:id="rId3"/>
    <sheet name="OLD" sheetId="3" r:id="rId4"/>
    <sheet name="OLDParameters" sheetId="1" r:id="rId5"/>
    <sheet name="OLDGeneral Calcul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6" l="1"/>
  <c r="R17" i="6" s="1"/>
  <c r="R22" i="6"/>
  <c r="R14" i="6"/>
  <c r="R16" i="6"/>
  <c r="M12" i="6"/>
  <c r="M21" i="6"/>
  <c r="R23" i="6" s="1"/>
  <c r="M15" i="6"/>
  <c r="M14" i="6"/>
  <c r="M13" i="6"/>
  <c r="H18" i="6"/>
  <c r="D10" i="7"/>
  <c r="C9" i="7"/>
  <c r="D9" i="7"/>
  <c r="D8" i="7"/>
  <c r="D7" i="7"/>
  <c r="D6" i="7"/>
  <c r="D5" i="7"/>
  <c r="D4" i="7"/>
  <c r="C4" i="7"/>
  <c r="C5" i="7"/>
  <c r="C6" i="7"/>
  <c r="C7" i="7"/>
  <c r="C8" i="7"/>
  <c r="C10" i="7"/>
  <c r="D3" i="7"/>
  <c r="C3" i="7"/>
  <c r="R18" i="6" l="1"/>
  <c r="M22" i="6"/>
  <c r="H19" i="6"/>
  <c r="C16" i="6"/>
  <c r="C15" i="6"/>
  <c r="C17" i="6" s="1"/>
  <c r="C18" i="6" s="1"/>
  <c r="C20" i="6" s="1"/>
  <c r="C21" i="6" s="1"/>
  <c r="C13" i="6"/>
  <c r="C12" i="6"/>
  <c r="M5" i="6"/>
  <c r="H15" i="6" s="1"/>
  <c r="M23" i="6" l="1"/>
  <c r="M24" i="6"/>
  <c r="M25" i="6" s="1"/>
  <c r="R19" i="6" s="1"/>
  <c r="R6" i="6" s="1"/>
  <c r="R7" i="6" s="1"/>
  <c r="H20" i="6"/>
  <c r="C14" i="6"/>
  <c r="H21" i="6"/>
  <c r="C23" i="6"/>
  <c r="H23" i="6" l="1"/>
  <c r="H22" i="6"/>
  <c r="H7" i="4"/>
  <c r="C20" i="4"/>
  <c r="C18" i="4"/>
  <c r="C6" i="4"/>
  <c r="C8" i="4" s="1"/>
  <c r="C9" i="4" s="1"/>
  <c r="C11" i="4" s="1"/>
  <c r="C12" i="4" s="1"/>
  <c r="C19" i="4"/>
  <c r="C7" i="4"/>
  <c r="H24" i="6" l="1"/>
  <c r="M31" i="4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6" i="4" l="1"/>
  <c r="H14" i="4"/>
  <c r="T8" i="4"/>
  <c r="U8" i="4" s="1"/>
  <c r="M5" i="4" l="1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
XG196/96 is used from maxwell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calculated based on tooth flux density constraint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optimized or calculated.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parameter is critical for fill factor.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<sst xmlns="http://schemas.openxmlformats.org/spreadsheetml/2006/main" count="661" uniqueCount="334">
  <si>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</si>
  <si>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</si>
  <si>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</si>
  <si>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</si>
  <si>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</si>
  <si>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</si>
  <si>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</si>
  <si>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</si>
  <si>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</si>
  <si>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</si>
  <si>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</si>
  <si>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</si>
  <si>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</si>
  <si>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</si>
  <si>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</si>
  <si>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</si>
  <si>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</si>
  <si>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</si>
  <si>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</si>
  <si>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</si>
  <si>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</si>
  <si>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</si>
  <si>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</si>
  <si>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</si>
  <si>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</si>
  <si>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</si>
  <si>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</si>
  <si>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</si>
  <si>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</si>
  <si>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</si>
  <si>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</si>
  <si>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</si>
  <si>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</si>
  <si>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</si>
  <si>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</si>
  <si>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</si>
  <si>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</si>
  <si>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</si>
  <si>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</si>
  <si>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</si>
  <si>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</si>
  <si>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</si>
  <si>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</si>
  <si>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</si>
  <si>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</si>
  <si>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</si>
  <si>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</si>
  <si>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</si>
  <si>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</si>
  <si>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</si>
  <si>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</si>
  <si>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</si>
  <si>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</si>
  <si>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</si>
  <si>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</si>
  <si>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</si>
  <si>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</si>
  <si>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</si>
  <si>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</si>
  <si>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</si>
  <si>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</si>
  <si>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</si>
  <si>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</si>
  <si>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</si>
  <si>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</si>
  <si>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</si>
  <si>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</si>
  <si>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</si>
  <si>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</si>
  <si>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</si>
  <si>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</si>
  <si>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</si>
  <si>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</si>
  <si>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</si>
  <si>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</si>
  <si>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</si>
  <si>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</si>
  <si>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</si>
  <si>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</si>
  <si>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</si>
  <si>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</si>
  <si>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</si>
  <si>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</si>
  <si>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</si>
  <si>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</si>
  <si>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</si>
  <si>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</si>
  <si>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</si>
  <si>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</si>
  <si>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</si>
  <si>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</si>
  <si>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</si>
  <si>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</si>
  <si>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</si>
  <si>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</si>
  <si>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</si>
  <si>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</si>
  <si>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</si>
  <si>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</si>
  <si>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</si>
  <si>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</si>
  <si>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</si>
  <si>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</si>
  <si>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</si>
  <si>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</si>
  <si>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</si>
  <si>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</si>
  <si>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</si>
  <si>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</si>
  <si>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</si>
  <si>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</si>
  <si>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</si>
  <si>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</si>
  <si>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</si>
  <si>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</si>
  <si>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</si>
  <si>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</si>
  <si>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</si>
  <si>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</si>
  <si>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</si>
  <si>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</si>
  <si>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</si>
  <si>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</si>
  <si>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</si>
  <si>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</si>
  <si>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</si>
  <si>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</si>
  <si>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</si>
  <si>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</si>
  <si>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</si>
  <si>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</si>
  <si>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</si>
  <si>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</si>
  <si>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</si>
  <si>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</si>
  <si>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</si>
  <si>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</si>
  <si>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</si>
  <si>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</si>
  <si>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</si>
  <si>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</si>
  <si>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</si>
  <si>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</si>
  <si>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</si>
  <si>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</si>
  <si>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</si>
  <si>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</si>
  <si>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</si>
  <si>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</si>
  <si>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</si>
  <si>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</si>
  <si>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</si>
  <si>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</si>
  <si>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</si>
  <si>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</si>
  <si>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</si>
  <si>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</si>
  <si>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</si>
  <si>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</si>
  <si>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</si>
  <si>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</si>
  <si>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</si>
  <si>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</si>
  <si>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</si>
  <si>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</si>
  <si>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</si>
  <si>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</si>
  <si>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</si>
  <si>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</si>
  <si>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</si>
  <si>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</si>
  <si>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</si>
  <si>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</si>
  <si>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</si>
  <si>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</si>
  <si>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</si>
  <si>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</si>
  <si>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</si>
  <si>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</si>
  <si>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</si>
  <si>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</si>
  <si>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</si>
  <si>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</si>
  <si>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</si>
  <si>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</si>
  <si>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</si>
  <si>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</si>
  <si>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</si>
  <si>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</si>
  <si>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</si>
  <si>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</si>
  <si>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</si>
  <si>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</si>
  <si>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</si>
  <si>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</si>
  <si>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</si>
  <si>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</si>
  <si>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</si>
  <si>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</si>
  <si>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</si>
  <si>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</si>
  <si>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</si>
  <si>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</si>
  <si>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</si>
  <si>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</si>
  <si>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</si>
  <si>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</si>
  <si>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</si>
  <si>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</si>
  <si>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</si>
  <si>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</si>
  <si>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</si>
  <si>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</si>
  <si>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</si>
  <si>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</si>
  <si>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</si>
  <si>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</si>
  <si>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</si>
  <si>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</si>
  <si>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</si>
  <si>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</si>
  <si>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</si>
  <si>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</si>
  <si>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</si>
  <si>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</si>
  <si>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</si>
  <si>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</si>
  <si>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</si>
  <si>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</si>
  <si>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</si>
  <si>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</si>
  <si>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</si>
  <si>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</si>
  <si>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</si>
  <si>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</si>
  <si>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</si>
  <si>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</si>
  <si>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</si>
  <si>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</si>
  <si>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</si>
  <si>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</si>
  <si>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</si>
  <si>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</si>
  <si>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</si>
  <si>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</si>
  <si>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</si>
  <si>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</si>
  <si>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</si>
  <si>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</si>
  <si>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</si>
  <si>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</si>
  <si>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r>
      <t>ρ</t>
    </r>
    <r>
      <rPr>
        <vertAlign val="subscript"/>
        <sz val="10"/>
        <color theme="1"/>
        <rFont val="Garamond"/>
        <family val="1"/>
        <charset val="162"/>
      </rPr>
      <t>cu</t>
    </r>
  </si>
  <si>
    <t>Ωm</t>
  </si>
  <si>
    <r>
      <t>µ</t>
    </r>
    <r>
      <rPr>
        <vertAlign val="subscript"/>
        <sz val="10"/>
        <color theme="1"/>
        <rFont val="Garamond"/>
        <family val="1"/>
        <charset val="162"/>
      </rPr>
      <t>cu</t>
    </r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</si>
  <si>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</si>
  <si>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r>
      <t>µ</t>
    </r>
    <r>
      <rPr>
        <vertAlign val="subscript"/>
        <sz val="10"/>
        <color theme="1"/>
        <rFont val="Garamond"/>
        <family val="1"/>
        <charset val="162"/>
      </rPr>
      <t>0</t>
    </r>
  </si>
  <si>
    <t>Peak air gap flux density</t>
  </si>
  <si>
    <t>Basic parameters (calculated)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</si>
  <si>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</si>
  <si>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</si>
  <si>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</si>
  <si>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</si>
  <si>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</si>
  <si>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</si>
  <si>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</si>
  <si>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</si>
  <si>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</si>
  <si>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</si>
  <si>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</si>
  <si>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</t>
    </r>
    <r>
      <rPr>
        <sz val="10"/>
        <color theme="1"/>
        <rFont val="Garamond"/>
        <family val="1"/>
        <charset val="162"/>
      </rPr>
      <t>/D</t>
    </r>
    <r>
      <rPr>
        <vertAlign val="subscript"/>
        <sz val="10"/>
        <color theme="1"/>
        <rFont val="Garamond"/>
        <family val="1"/>
        <charset val="162"/>
      </rPr>
      <t>i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</si>
  <si>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</si>
  <si>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</si>
  <si>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design</t>
  </si>
  <si>
    <t>Peak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</si>
  <si>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cp</t>
    </r>
  </si>
  <si>
    <r>
      <t>l</t>
    </r>
    <r>
      <rPr>
        <vertAlign val="subscript"/>
        <sz val="10"/>
        <color theme="1"/>
        <rFont val="Garamond"/>
        <family val="1"/>
        <charset val="162"/>
      </rPr>
      <t>g</t>
    </r>
  </si>
  <si>
    <r>
      <t>B</t>
    </r>
    <r>
      <rPr>
        <vertAlign val="subscript"/>
        <sz val="10"/>
        <color theme="1"/>
        <rFont val="Garamond"/>
        <family val="1"/>
        <charset val="162"/>
      </rPr>
      <t>r</t>
    </r>
  </si>
  <si>
    <r>
      <t>µ</t>
    </r>
    <r>
      <rPr>
        <vertAlign val="subscript"/>
        <sz val="10"/>
        <color theme="1"/>
        <rFont val="Garamond"/>
        <family val="1"/>
        <charset val="162"/>
      </rPr>
      <t>rm</t>
    </r>
  </si>
  <si>
    <r>
      <t>µ</t>
    </r>
    <r>
      <rPr>
        <vertAlign val="subscript"/>
        <sz val="10"/>
        <color theme="1"/>
        <rFont val="Garamond"/>
        <family val="1"/>
        <charset val="162"/>
      </rPr>
      <t>rec</t>
    </r>
  </si>
  <si>
    <t>Magnet length</t>
  </si>
  <si>
    <r>
      <t>l</t>
    </r>
    <r>
      <rPr>
        <vertAlign val="subscript"/>
        <sz val="10"/>
        <color theme="1"/>
        <rFont val="Garamond"/>
        <family val="1"/>
        <charset val="162"/>
      </rPr>
      <t>m</t>
    </r>
  </si>
  <si>
    <t>Air gap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</si>
  <si>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gap</t>
    </r>
  </si>
  <si>
    <t>Slot design</t>
  </si>
  <si>
    <r>
      <t>e</t>
    </r>
    <r>
      <rPr>
        <vertAlign val="subscript"/>
        <sz val="10"/>
        <color theme="1"/>
        <rFont val="Garamond"/>
        <family val="1"/>
        <charset val="162"/>
      </rPr>
      <t>m</t>
    </r>
  </si>
  <si>
    <r>
      <t>θ</t>
    </r>
    <r>
      <rPr>
        <vertAlign val="subscript"/>
        <sz val="10"/>
        <color theme="1"/>
        <rFont val="Garamond"/>
        <family val="1"/>
        <charset val="162"/>
      </rPr>
      <t>m</t>
    </r>
  </si>
  <si>
    <r>
      <t>A</t>
    </r>
    <r>
      <rPr>
        <vertAlign val="subscript"/>
        <sz val="10"/>
        <color theme="1"/>
        <rFont val="Garamond"/>
        <family val="1"/>
        <charset val="162"/>
      </rPr>
      <t>g</t>
    </r>
  </si>
  <si>
    <r>
      <t>cm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</si>
  <si>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m</t>
    </r>
  </si>
  <si>
    <r>
      <t>τ</t>
    </r>
    <r>
      <rPr>
        <vertAlign val="subscript"/>
        <sz val="10"/>
        <color theme="1"/>
        <rFont val="Garamond"/>
        <family val="1"/>
        <charset val="162"/>
      </rPr>
      <t>s</t>
    </r>
  </si>
  <si>
    <r>
      <t>C</t>
    </r>
    <r>
      <rPr>
        <vertAlign val="subscript"/>
        <sz val="10"/>
        <color theme="1"/>
        <rFont val="Garamond"/>
        <family val="1"/>
        <charset val="162"/>
      </rPr>
      <t>Φ</t>
    </r>
  </si>
  <si>
    <t>Leakage factor</t>
  </si>
  <si>
    <t>XG196/96</t>
  </si>
  <si>
    <t>H (A/m)</t>
  </si>
  <si>
    <t>B (T)</t>
  </si>
  <si>
    <t>steel</t>
  </si>
  <si>
    <t>M19-24G</t>
  </si>
  <si>
    <t>magnet</t>
  </si>
  <si>
    <t>Magnet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</si>
  <si>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m</t>
    </r>
  </si>
  <si>
    <t>Tooth fraction</t>
  </si>
  <si>
    <r>
      <t>k</t>
    </r>
    <r>
      <rPr>
        <vertAlign val="subscript"/>
        <sz val="10"/>
        <color theme="1"/>
        <rFont val="Garamond"/>
        <family val="1"/>
        <charset val="162"/>
      </rPr>
      <t>w</t>
    </r>
  </si>
  <si>
    <r>
      <t>b</t>
    </r>
    <r>
      <rPr>
        <vertAlign val="subscript"/>
        <sz val="10"/>
        <color theme="1"/>
        <rFont val="Garamond"/>
        <family val="1"/>
        <charset val="162"/>
      </rPr>
      <t>t</t>
    </r>
  </si>
  <si>
    <r>
      <t>z</t>
    </r>
    <r>
      <rPr>
        <vertAlign val="subscript"/>
        <sz val="10"/>
        <color theme="1"/>
        <rFont val="Garamond"/>
        <family val="1"/>
        <charset val="162"/>
      </rPr>
      <t>Q</t>
    </r>
  </si>
  <si>
    <r>
      <t>b</t>
    </r>
    <r>
      <rPr>
        <vertAlign val="subscript"/>
        <sz val="10"/>
        <color theme="1"/>
        <rFont val="Garamond"/>
        <family val="1"/>
        <charset val="162"/>
      </rPr>
      <t>s1</t>
    </r>
  </si>
  <si>
    <r>
      <t>N</t>
    </r>
    <r>
      <rPr>
        <vertAlign val="subscript"/>
        <sz val="10"/>
        <color theme="1"/>
        <rFont val="Garamond"/>
        <family val="1"/>
        <charset val="162"/>
      </rPr>
      <t>phm</t>
    </r>
  </si>
  <si>
    <r>
      <t>b</t>
    </r>
    <r>
      <rPr>
        <vertAlign val="subscript"/>
        <sz val="10"/>
        <color theme="1"/>
        <rFont val="Garamond"/>
        <family val="1"/>
        <charset val="162"/>
      </rPr>
      <t>s0</t>
    </r>
  </si>
  <si>
    <r>
      <t>E</t>
    </r>
    <r>
      <rPr>
        <vertAlign val="subscript"/>
        <sz val="10"/>
        <color theme="1"/>
        <rFont val="Garamond"/>
        <family val="1"/>
        <charset val="162"/>
      </rPr>
      <t>phm</t>
    </r>
  </si>
  <si>
    <r>
      <t>h</t>
    </r>
    <r>
      <rPr>
        <vertAlign val="subscript"/>
        <sz val="10"/>
        <color theme="1"/>
        <rFont val="Garamond"/>
        <family val="1"/>
        <charset val="162"/>
      </rPr>
      <t>s1</t>
    </r>
  </si>
  <si>
    <r>
      <t>E</t>
    </r>
    <r>
      <rPr>
        <vertAlign val="subscript"/>
        <sz val="10"/>
        <color theme="1"/>
        <rFont val="Garamond"/>
        <family val="1"/>
        <charset val="162"/>
      </rPr>
      <t>ph</t>
    </r>
  </si>
  <si>
    <r>
      <t>h</t>
    </r>
    <r>
      <rPr>
        <vertAlign val="subscript"/>
        <sz val="10"/>
        <color theme="1"/>
        <rFont val="Garamond"/>
        <family val="1"/>
        <charset val="162"/>
      </rPr>
      <t>s0</t>
    </r>
  </si>
  <si>
    <r>
      <t>R</t>
    </r>
    <r>
      <rPr>
        <vertAlign val="subscript"/>
        <sz val="10"/>
        <color theme="1"/>
        <rFont val="Garamond"/>
        <family val="1"/>
        <charset val="162"/>
      </rPr>
      <t>s</t>
    </r>
  </si>
  <si>
    <r>
      <t>Φ</t>
    </r>
    <r>
      <rPr>
        <vertAlign val="subscript"/>
        <sz val="10"/>
        <color theme="1"/>
        <rFont val="Garamond"/>
        <family val="1"/>
        <charset val="162"/>
      </rPr>
      <t>pp</t>
    </r>
  </si>
  <si>
    <t>Slot end diameter</t>
  </si>
  <si>
    <r>
      <t>D</t>
    </r>
    <r>
      <rPr>
        <vertAlign val="subscript"/>
        <sz val="10"/>
        <color theme="1"/>
        <rFont val="Garamond"/>
        <family val="1"/>
        <charset val="162"/>
      </rPr>
      <t>ss</t>
    </r>
  </si>
  <si>
    <t>Copper area</t>
  </si>
  <si>
    <r>
      <t>h</t>
    </r>
    <r>
      <rPr>
        <vertAlign val="subscript"/>
        <sz val="10"/>
        <color theme="1"/>
        <rFont val="Garamond"/>
        <family val="1"/>
        <charset val="162"/>
      </rPr>
      <t>s2</t>
    </r>
  </si>
  <si>
    <r>
      <t>b</t>
    </r>
    <r>
      <rPr>
        <vertAlign val="subscript"/>
        <sz val="10"/>
        <color theme="1"/>
        <rFont val="Garamond"/>
        <family val="1"/>
        <charset val="162"/>
      </rPr>
      <t>s2</t>
    </r>
  </si>
  <si>
    <r>
      <t>A</t>
    </r>
    <r>
      <rPr>
        <vertAlign val="subscript"/>
        <sz val="10"/>
        <color theme="1"/>
        <rFont val="Garamond"/>
        <family val="1"/>
        <charset val="162"/>
      </rPr>
      <t>s</t>
    </r>
  </si>
  <si>
    <r>
      <t>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</si>
  <si>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cu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</si>
  <si>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</si>
  <si>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t>Induced voltage and phase current</t>
  </si>
  <si>
    <t>Back core</t>
  </si>
  <si>
    <t>Verification</t>
  </si>
  <si>
    <t>Mass</t>
  </si>
  <si>
    <t>Power density</t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</si>
  <si>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</si>
  <si>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α</t>
    </r>
    <r>
      <rPr>
        <vertAlign val="subscript"/>
        <sz val="10"/>
        <color theme="1"/>
        <rFont val="Garamond"/>
        <family val="1"/>
        <charset val="162"/>
      </rPr>
      <t>t</t>
    </r>
  </si>
  <si>
    <r>
      <t>τ</t>
    </r>
    <r>
      <rPr>
        <vertAlign val="subscript"/>
        <sz val="10"/>
        <color theme="1"/>
        <rFont val="Garamond"/>
        <family val="1"/>
        <charset val="162"/>
      </rPr>
      <t>se</t>
    </r>
  </si>
  <si>
    <t>Outer diemeter</t>
  </si>
  <si>
    <t>Peak induced voltage (all-series)</t>
  </si>
  <si>
    <t>Iphm x Ephm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</si>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</sst>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"/>
    <numFmt numFmtId="171" formatCode="0.00000"/>
    <numFmt numFmtId="172" formatCode="0.00000000"/>
    <numFmt numFmtId="173" formatCode="0.0000000000"/>
  </numFmts>
  <fonts count="1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/>
    </xf>
    <xf numFmtId="0" fontId="14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2" fontId="0" fillId="0" borderId="0" xfId="0" applyNumberFormat="1"/>
    <xf numFmtId="173" fontId="0" fillId="0" borderId="0" xfId="0" applyNumberFormat="1"/>
    <xf numFmtId="0" fontId="14" fillId="0" borderId="0" xfId="0" applyFont="1" applyBorder="1"/>
    <xf numFmtId="2" fontId="14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14" fillId="10" borderId="1" xfId="0" applyFont="1" applyFill="1" applyBorder="1" applyAlignment="1">
      <alignment horizontal="center" vertical="center"/>
    </xf>
    <xf numFmtId="0" fontId="14" fillId="10" borderId="1" xfId="0" applyFont="1" applyFill="1" applyBorder="1"/>
    <xf numFmtId="0" fontId="14" fillId="11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center" vertical="center"/>
    </xf>
    <xf numFmtId="2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/>
    <xf numFmtId="2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166" fontId="14" fillId="10" borderId="1" xfId="0" applyNumberFormat="1" applyFont="1" applyFill="1" applyBorder="1" applyAlignment="1">
      <alignment horizontal="center"/>
    </xf>
    <xf numFmtId="16" fontId="14" fillId="10" borderId="1" xfId="0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1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161192</xdr:rowOff>
    </xdr:from>
    <xdr:to>
      <xdr:col>0</xdr:col>
      <xdr:colOff>5721378</xdr:colOff>
      <xdr:row>32</xdr:row>
      <xdr:rowOff>177202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6519"/>
          <a:ext cx="5721378" cy="3064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V30"/>
  <sheetViews>
    <sheetView tabSelected="1" zoomScale="145" zoomScaleNormal="145" workbookViewId="0">
      <selection activeCell="K14" sqref="K14"/>
    </sheetView>
  </sheetViews>
  <sheetFormatPr defaultRowHeight="12.75" x14ac:dyDescent="0.2"/>
  <cols>
    <col min="1" max="1" width="21" style="71" bestFit="1" customWidth="1"/>
    <col min="2" max="3" width="5.85546875" style="70" bestFit="1" customWidth="1"/>
    <col min="4" max="4" width="4.140625" style="70" bestFit="1" customWidth="1"/>
    <col min="5" max="5" width="3.85546875" style="70" bestFit="1" customWidth="1"/>
    <col min="6" max="6" width="21.85546875" style="71" bestFit="1" customWidth="1"/>
    <col min="7" max="7" width="4.140625" style="70" bestFit="1" customWidth="1"/>
    <col min="8" max="8" width="7.5703125" style="70" bestFit="1" customWidth="1"/>
    <col min="9" max="9" width="7" style="70" bestFit="1" customWidth="1"/>
    <col min="10" max="10" width="3.85546875" style="70" bestFit="1" customWidth="1"/>
    <col min="11" max="11" width="17.7109375" style="71" bestFit="1" customWidth="1"/>
    <col min="12" max="12" width="3.7109375" style="71" bestFit="1" customWidth="1"/>
    <col min="13" max="13" width="7.5703125" style="70" bestFit="1" customWidth="1"/>
    <col min="14" max="14" width="5" style="71" bestFit="1" customWidth="1"/>
    <col min="15" max="15" width="3.85546875" style="71" bestFit="1" customWidth="1"/>
    <col min="16" max="16" width="24.42578125" style="71" bestFit="1" customWidth="1"/>
    <col min="17" max="17" width="4.85546875" style="71" bestFit="1" customWidth="1"/>
    <col min="18" max="18" width="5.7109375" style="71" bestFit="1" customWidth="1"/>
    <col min="19" max="19" width="5.28515625" style="71" bestFit="1" customWidth="1"/>
    <col min="20" max="20" width="3.85546875" style="71" bestFit="1" customWidth="1"/>
    <col min="21" max="21" width="7.7109375" style="71" customWidth="1"/>
    <col min="22" max="22" width="9.28515625" style="71" bestFit="1" customWidth="1"/>
    <col min="23" max="16384" width="9.140625" style="71"/>
  </cols>
  <sheetData>
    <row r="1" spans="1:22" ht="15" customHeight="1" x14ac:dyDescent="0.2">
      <c r="A1" s="75" t="s">
        <v>236</v>
      </c>
      <c r="B1" s="75"/>
      <c r="C1" s="75"/>
      <c r="D1" s="75"/>
      <c r="E1" s="75"/>
      <c r="F1" s="75" t="s">
        <v>237</v>
      </c>
      <c r="G1" s="75"/>
      <c r="H1" s="75"/>
      <c r="I1" s="75"/>
      <c r="J1" s="64"/>
      <c r="K1" s="75" t="s">
        <v>238</v>
      </c>
      <c r="L1" s="75"/>
      <c r="M1" s="75"/>
      <c r="N1" s="75"/>
      <c r="O1" s="64"/>
      <c r="P1" s="76" t="s">
        <v>324</v>
      </c>
      <c r="Q1" s="76"/>
      <c r="R1" s="76"/>
      <c r="S1" s="76"/>
      <c r="T1" s="76"/>
    </row>
    <row r="2" spans="1:22" ht="15" customHeight="1" x14ac:dyDescent="0.2">
      <c r="A2" s="59" t="s">
        <v>8</v>
      </c>
      <c r="B2" s="60" t="s">
        <v>239</v>
      </c>
      <c r="C2" s="60">
        <v>8000</v>
      </c>
      <c r="D2" s="60" t="s">
        <v>7</v>
      </c>
      <c r="E2" s="60"/>
      <c r="F2" s="59" t="s">
        <v>20</v>
      </c>
      <c r="G2" s="60" t="s">
        <v>240</v>
      </c>
      <c r="H2" s="60">
        <v>0.65</v>
      </c>
      <c r="I2" s="60" t="s">
        <v>15</v>
      </c>
      <c r="J2" s="60"/>
      <c r="K2" s="59"/>
      <c r="L2" s="60" t="s">
        <v>61</v>
      </c>
      <c r="M2" s="65">
        <v>3.1415926500000002</v>
      </c>
      <c r="N2" s="60" t="s">
        <v>15</v>
      </c>
      <c r="O2" s="60"/>
      <c r="P2" s="108" t="s">
        <v>27</v>
      </c>
      <c r="Q2" s="108"/>
      <c r="R2" s="108"/>
      <c r="S2" s="108"/>
      <c r="T2" s="108"/>
    </row>
    <row r="3" spans="1:22" ht="15" customHeight="1" x14ac:dyDescent="0.2">
      <c r="A3" s="59" t="s">
        <v>32</v>
      </c>
      <c r="B3" s="60" t="s">
        <v>241</v>
      </c>
      <c r="C3" s="60">
        <v>540</v>
      </c>
      <c r="D3" s="60" t="s">
        <v>33</v>
      </c>
      <c r="E3" s="60"/>
      <c r="F3" s="59" t="s">
        <v>21</v>
      </c>
      <c r="G3" s="60" t="s">
        <v>242</v>
      </c>
      <c r="H3" s="60">
        <v>35</v>
      </c>
      <c r="I3" s="60" t="s">
        <v>23</v>
      </c>
      <c r="J3" s="60"/>
      <c r="K3" s="59" t="s">
        <v>108</v>
      </c>
      <c r="L3" s="60" t="s">
        <v>251</v>
      </c>
      <c r="M3" s="66">
        <v>1.7E-8</v>
      </c>
      <c r="N3" s="60" t="s">
        <v>252</v>
      </c>
      <c r="O3" s="60"/>
      <c r="P3" s="108" t="s">
        <v>21</v>
      </c>
      <c r="Q3" s="108"/>
      <c r="R3" s="108"/>
      <c r="S3" s="108"/>
      <c r="T3" s="108"/>
    </row>
    <row r="4" spans="1:22" ht="15" customHeight="1" x14ac:dyDescent="0.2">
      <c r="A4" s="59" t="s">
        <v>9</v>
      </c>
      <c r="B4" s="60" t="s">
        <v>13</v>
      </c>
      <c r="C4" s="60">
        <v>4</v>
      </c>
      <c r="D4" s="60" t="s">
        <v>15</v>
      </c>
      <c r="E4" s="60"/>
      <c r="F4" s="59" t="s">
        <v>256</v>
      </c>
      <c r="G4" s="60" t="s">
        <v>248</v>
      </c>
      <c r="H4" s="60">
        <v>0.9</v>
      </c>
      <c r="I4" s="60" t="s">
        <v>28</v>
      </c>
      <c r="J4" s="60"/>
      <c r="K4" s="59" t="s">
        <v>110</v>
      </c>
      <c r="L4" s="60" t="s">
        <v>253</v>
      </c>
      <c r="M4" s="66">
        <v>1.2566289999999999E-6</v>
      </c>
      <c r="N4" s="60" t="s">
        <v>113</v>
      </c>
      <c r="O4" s="60"/>
      <c r="P4" s="108" t="s">
        <v>325</v>
      </c>
      <c r="Q4" s="108"/>
      <c r="R4" s="108"/>
      <c r="S4" s="108"/>
      <c r="T4" s="108"/>
    </row>
    <row r="5" spans="1:22" ht="15" customHeight="1" x14ac:dyDescent="0.2">
      <c r="A5" s="59" t="s">
        <v>10</v>
      </c>
      <c r="B5" s="60" t="s">
        <v>243</v>
      </c>
      <c r="C5" s="60">
        <v>2</v>
      </c>
      <c r="D5" s="60" t="s">
        <v>15</v>
      </c>
      <c r="E5" s="63"/>
      <c r="F5" s="59" t="s">
        <v>29</v>
      </c>
      <c r="G5" s="60" t="s">
        <v>30</v>
      </c>
      <c r="H5" s="60">
        <v>4</v>
      </c>
      <c r="I5" s="60" t="s">
        <v>244</v>
      </c>
      <c r="J5" s="60"/>
      <c r="K5" s="59" t="s">
        <v>190</v>
      </c>
      <c r="L5" s="60" t="s">
        <v>255</v>
      </c>
      <c r="M5" s="66">
        <f>4*M2*0.0000001</f>
        <v>1.2566370599999999E-6</v>
      </c>
      <c r="N5" s="60" t="s">
        <v>113</v>
      </c>
      <c r="O5" s="60"/>
      <c r="P5" s="106" t="s">
        <v>326</v>
      </c>
      <c r="Q5" s="107"/>
      <c r="R5" s="125"/>
      <c r="S5" s="107"/>
      <c r="T5" s="107"/>
    </row>
    <row r="6" spans="1:22" ht="15" customHeight="1" x14ac:dyDescent="0.2">
      <c r="A6" s="59" t="s">
        <v>12</v>
      </c>
      <c r="B6" s="60" t="s">
        <v>14</v>
      </c>
      <c r="C6" s="60">
        <v>3</v>
      </c>
      <c r="D6" s="60" t="s">
        <v>15</v>
      </c>
      <c r="E6" s="63"/>
      <c r="F6" s="59" t="s">
        <v>247</v>
      </c>
      <c r="G6" s="60" t="s">
        <v>249</v>
      </c>
      <c r="H6" s="60">
        <v>1.8</v>
      </c>
      <c r="I6" s="60" t="s">
        <v>28</v>
      </c>
      <c r="J6" s="60"/>
      <c r="K6" s="59"/>
      <c r="L6" s="60"/>
      <c r="M6" s="60"/>
      <c r="N6" s="60"/>
      <c r="O6" s="60"/>
      <c r="P6" s="126" t="s">
        <v>332</v>
      </c>
      <c r="Q6" s="127"/>
      <c r="R6" s="127">
        <f>R19*R17</f>
        <v>652.30290901524927</v>
      </c>
      <c r="S6" s="127"/>
      <c r="T6" s="127"/>
    </row>
    <row r="7" spans="1:22" ht="15" customHeight="1" x14ac:dyDescent="0.2">
      <c r="A7" s="59" t="s">
        <v>16</v>
      </c>
      <c r="B7" s="60" t="s">
        <v>245</v>
      </c>
      <c r="C7" s="60">
        <v>600</v>
      </c>
      <c r="D7" s="60" t="s">
        <v>17</v>
      </c>
      <c r="E7" s="63"/>
      <c r="F7" s="59" t="s">
        <v>273</v>
      </c>
      <c r="G7" s="60" t="s">
        <v>274</v>
      </c>
      <c r="H7" s="60">
        <v>1.5</v>
      </c>
      <c r="I7" s="60" t="s">
        <v>28</v>
      </c>
      <c r="J7" s="60"/>
      <c r="K7" s="118" t="s">
        <v>246</v>
      </c>
      <c r="L7" s="119"/>
      <c r="M7" s="119"/>
      <c r="N7" s="119"/>
      <c r="O7" s="120"/>
      <c r="P7" s="126" t="s">
        <v>333</v>
      </c>
      <c r="Q7" s="127"/>
      <c r="R7" s="127">
        <f>R6*C4*C6</f>
        <v>7827.6349081829912</v>
      </c>
      <c r="S7" s="127"/>
      <c r="T7" s="127"/>
    </row>
    <row r="8" spans="1:22" ht="15" customHeight="1" x14ac:dyDescent="0.2">
      <c r="A8" s="59" t="s">
        <v>18</v>
      </c>
      <c r="B8" s="60" t="s">
        <v>19</v>
      </c>
      <c r="C8" s="60">
        <v>2</v>
      </c>
      <c r="D8" s="60" t="s">
        <v>15</v>
      </c>
      <c r="E8" s="63"/>
      <c r="F8" s="59"/>
      <c r="G8" s="60"/>
      <c r="H8" s="66"/>
      <c r="I8" s="60"/>
      <c r="J8" s="60"/>
      <c r="K8" s="59" t="s">
        <v>49</v>
      </c>
      <c r="L8" s="60" t="s">
        <v>250</v>
      </c>
      <c r="M8" s="60">
        <v>94</v>
      </c>
      <c r="N8" s="60" t="s">
        <v>51</v>
      </c>
      <c r="O8" s="60"/>
      <c r="P8" s="59"/>
      <c r="Q8" s="60"/>
      <c r="R8" s="60"/>
      <c r="S8" s="60"/>
      <c r="T8" s="60"/>
    </row>
    <row r="9" spans="1:22" ht="15" customHeight="1" x14ac:dyDescent="0.2">
      <c r="A9" s="59" t="s">
        <v>98</v>
      </c>
      <c r="B9" s="60" t="s">
        <v>99</v>
      </c>
      <c r="C9" s="60">
        <v>2</v>
      </c>
      <c r="D9" s="60" t="s">
        <v>15</v>
      </c>
      <c r="E9" s="63"/>
      <c r="F9" s="59"/>
      <c r="G9" s="60"/>
      <c r="H9" s="66"/>
      <c r="I9" s="60"/>
      <c r="J9" s="60"/>
      <c r="K9" s="59" t="s">
        <v>0</v>
      </c>
      <c r="L9" s="60" t="s">
        <v>52</v>
      </c>
      <c r="M9" s="60">
        <v>0.9</v>
      </c>
      <c r="N9" s="60" t="s">
        <v>15</v>
      </c>
      <c r="O9" s="60"/>
      <c r="P9" s="59"/>
      <c r="Q9" s="60"/>
      <c r="R9" s="60"/>
      <c r="S9" s="60"/>
      <c r="T9" s="60"/>
    </row>
    <row r="10" spans="1:22" ht="15" customHeight="1" x14ac:dyDescent="0.2">
      <c r="A10" s="59"/>
      <c r="B10" s="60"/>
      <c r="C10" s="60"/>
      <c r="D10" s="60"/>
      <c r="E10" s="63"/>
      <c r="F10" s="59"/>
      <c r="G10" s="60"/>
      <c r="H10" s="66"/>
      <c r="I10" s="60"/>
      <c r="J10" s="60"/>
      <c r="K10" s="59" t="s">
        <v>53</v>
      </c>
      <c r="L10" s="60" t="s">
        <v>254</v>
      </c>
      <c r="M10" s="60">
        <v>98</v>
      </c>
      <c r="N10" s="60" t="s">
        <v>51</v>
      </c>
      <c r="O10" s="60"/>
      <c r="P10" s="59"/>
      <c r="Q10" s="60"/>
      <c r="R10" s="60"/>
      <c r="S10" s="60"/>
      <c r="T10" s="60"/>
    </row>
    <row r="11" spans="1:22" ht="15" customHeight="1" x14ac:dyDescent="0.2">
      <c r="A11" s="75" t="s">
        <v>257</v>
      </c>
      <c r="B11" s="75"/>
      <c r="C11" s="75"/>
      <c r="D11" s="75"/>
      <c r="E11" s="75"/>
      <c r="F11" s="76" t="s">
        <v>272</v>
      </c>
      <c r="G11" s="76"/>
      <c r="H11" s="76"/>
      <c r="I11" s="76"/>
      <c r="J11" s="76"/>
      <c r="K11" s="76" t="s">
        <v>283</v>
      </c>
      <c r="L11" s="76"/>
      <c r="M11" s="76"/>
      <c r="N11" s="76"/>
      <c r="O11" s="58"/>
      <c r="P11" s="84" t="s">
        <v>322</v>
      </c>
      <c r="Q11" s="104"/>
      <c r="R11" s="104"/>
      <c r="S11" s="104"/>
      <c r="T11" s="105"/>
    </row>
    <row r="12" spans="1:22" ht="15" customHeight="1" x14ac:dyDescent="0.2">
      <c r="A12" s="59" t="s">
        <v>2</v>
      </c>
      <c r="B12" s="60" t="s">
        <v>260</v>
      </c>
      <c r="C12" s="60">
        <f>C4*C8*C6</f>
        <v>24</v>
      </c>
      <c r="D12" s="60" t="s">
        <v>15</v>
      </c>
      <c r="E12" s="67"/>
      <c r="F12" s="61" t="s">
        <v>271</v>
      </c>
      <c r="G12" s="60" t="s">
        <v>275</v>
      </c>
      <c r="H12" s="60">
        <v>1</v>
      </c>
      <c r="I12" s="60" t="s">
        <v>80</v>
      </c>
      <c r="J12" s="69" t="s">
        <v>178</v>
      </c>
      <c r="K12" s="61" t="s">
        <v>92</v>
      </c>
      <c r="L12" s="60" t="s">
        <v>289</v>
      </c>
      <c r="M12" s="74">
        <f>M2*C20/C12</f>
        <v>26.271315346240922</v>
      </c>
      <c r="N12" s="62" t="s">
        <v>80</v>
      </c>
      <c r="O12" s="62"/>
      <c r="P12" s="83" t="s">
        <v>1</v>
      </c>
      <c r="Q12" s="60" t="s">
        <v>301</v>
      </c>
      <c r="R12" s="60">
        <v>0.93300000000000005</v>
      </c>
      <c r="S12" s="60" t="s">
        <v>15</v>
      </c>
      <c r="T12" s="69" t="s">
        <v>179</v>
      </c>
    </row>
    <row r="13" spans="1:22" ht="15" customHeight="1" x14ac:dyDescent="0.2">
      <c r="A13" s="59" t="s">
        <v>3</v>
      </c>
      <c r="B13" s="60" t="s">
        <v>24</v>
      </c>
      <c r="C13" s="60">
        <f>10*C8</f>
        <v>20</v>
      </c>
      <c r="D13" s="60" t="s">
        <v>15</v>
      </c>
      <c r="E13" s="67"/>
      <c r="F13" s="59" t="s">
        <v>207</v>
      </c>
      <c r="G13" s="60" t="s">
        <v>276</v>
      </c>
      <c r="H13" s="65">
        <v>0.96</v>
      </c>
      <c r="I13" s="60" t="s">
        <v>28</v>
      </c>
      <c r="J13" s="62"/>
      <c r="K13" s="61" t="s">
        <v>300</v>
      </c>
      <c r="L13" s="60" t="s">
        <v>328</v>
      </c>
      <c r="M13" s="92">
        <f>H24/H6</f>
        <v>0.38550632451386169</v>
      </c>
      <c r="N13" s="61" t="s">
        <v>15</v>
      </c>
      <c r="O13" s="61"/>
      <c r="P13" s="83" t="s">
        <v>93</v>
      </c>
      <c r="Q13" s="60" t="s">
        <v>312</v>
      </c>
      <c r="R13" s="96">
        <f>0.001*2*C20*C21*H4/C13</f>
        <v>1.8125871122726758</v>
      </c>
      <c r="S13" s="60" t="s">
        <v>96</v>
      </c>
      <c r="T13" s="63"/>
    </row>
    <row r="14" spans="1:22" ht="15" customHeight="1" x14ac:dyDescent="0.2">
      <c r="A14" s="59" t="s">
        <v>31</v>
      </c>
      <c r="B14" s="60" t="s">
        <v>261</v>
      </c>
      <c r="C14" s="60">
        <f>C12/(C13*C6)</f>
        <v>0.4</v>
      </c>
      <c r="D14" s="60" t="s">
        <v>15</v>
      </c>
      <c r="E14" s="67"/>
      <c r="F14" s="83" t="s">
        <v>189</v>
      </c>
      <c r="G14" s="60" t="s">
        <v>277</v>
      </c>
      <c r="H14" s="60">
        <v>1.0000100000000001</v>
      </c>
      <c r="I14" s="60" t="s">
        <v>15</v>
      </c>
      <c r="J14" s="62"/>
      <c r="K14" s="97" t="s">
        <v>145</v>
      </c>
      <c r="L14" s="60" t="s">
        <v>302</v>
      </c>
      <c r="M14" s="98">
        <f>M13*M12</f>
        <v>10.127758219273947</v>
      </c>
      <c r="N14" s="99" t="s">
        <v>80</v>
      </c>
      <c r="O14" s="99"/>
      <c r="P14" s="71" t="s">
        <v>25</v>
      </c>
      <c r="Q14" s="60" t="s">
        <v>327</v>
      </c>
      <c r="R14" s="60">
        <f>C13*C7/120</f>
        <v>100</v>
      </c>
      <c r="S14" s="60" t="s">
        <v>70</v>
      </c>
      <c r="T14" s="61"/>
    </row>
    <row r="15" spans="1:22" ht="15" customHeight="1" x14ac:dyDescent="0.2">
      <c r="A15" s="59" t="s">
        <v>71</v>
      </c>
      <c r="B15" s="60" t="s">
        <v>72</v>
      </c>
      <c r="C15" s="65">
        <f>H3*H4*2/M2</f>
        <v>20.053522852493302</v>
      </c>
      <c r="D15" s="60" t="s">
        <v>73</v>
      </c>
      <c r="E15" s="67"/>
      <c r="F15" s="83" t="s">
        <v>192</v>
      </c>
      <c r="G15" s="60" t="s">
        <v>278</v>
      </c>
      <c r="H15" s="66">
        <f>H14*M5</f>
        <v>1.2566496263706E-6</v>
      </c>
      <c r="I15" s="60" t="s">
        <v>113</v>
      </c>
      <c r="J15" s="62"/>
      <c r="K15" s="101" t="s">
        <v>140</v>
      </c>
      <c r="L15" s="102" t="s">
        <v>304</v>
      </c>
      <c r="M15" s="103">
        <f>M12-M14</f>
        <v>16.143557126966975</v>
      </c>
      <c r="N15" s="102" t="s">
        <v>80</v>
      </c>
      <c r="O15" s="95"/>
      <c r="P15" s="59" t="s">
        <v>97</v>
      </c>
      <c r="Q15" s="60" t="s">
        <v>303</v>
      </c>
      <c r="R15" s="60">
        <v>63</v>
      </c>
      <c r="S15" s="60" t="s">
        <v>15</v>
      </c>
      <c r="T15" s="100" t="s">
        <v>178</v>
      </c>
      <c r="U15" s="71" t="s">
        <v>291</v>
      </c>
      <c r="V15" s="71">
        <v>0.95</v>
      </c>
    </row>
    <row r="16" spans="1:22" ht="15" customHeight="1" x14ac:dyDescent="0.2">
      <c r="A16" s="59" t="s">
        <v>59</v>
      </c>
      <c r="B16" s="60" t="s">
        <v>262</v>
      </c>
      <c r="C16" s="65">
        <f>C2/(C7*2*M2/60)</f>
        <v>127.32395461900511</v>
      </c>
      <c r="D16" s="60" t="s">
        <v>64</v>
      </c>
      <c r="E16" s="67"/>
      <c r="F16" s="61" t="s">
        <v>279</v>
      </c>
      <c r="G16" s="60" t="s">
        <v>280</v>
      </c>
      <c r="H16" s="60">
        <v>3.5</v>
      </c>
      <c r="I16" s="60" t="s">
        <v>80</v>
      </c>
      <c r="J16" s="69" t="s">
        <v>178</v>
      </c>
      <c r="K16" s="83" t="s">
        <v>137</v>
      </c>
      <c r="L16" s="60" t="s">
        <v>306</v>
      </c>
      <c r="M16" s="60">
        <v>4</v>
      </c>
      <c r="N16" s="60" t="s">
        <v>80</v>
      </c>
      <c r="O16" s="94" t="s">
        <v>178</v>
      </c>
      <c r="P16" s="59" t="s">
        <v>103</v>
      </c>
      <c r="Q16" s="60" t="s">
        <v>305</v>
      </c>
      <c r="R16" s="60">
        <f>R15*C8*C9/2</f>
        <v>126</v>
      </c>
      <c r="S16" s="60" t="s">
        <v>15</v>
      </c>
      <c r="T16" s="63"/>
      <c r="U16" s="71" t="s">
        <v>221</v>
      </c>
      <c r="V16" s="71">
        <v>1.1000000000000001</v>
      </c>
    </row>
    <row r="17" spans="1:22" ht="15" customHeight="1" x14ac:dyDescent="0.2">
      <c r="A17" s="59" t="s">
        <v>258</v>
      </c>
      <c r="B17" s="60" t="s">
        <v>263</v>
      </c>
      <c r="C17" s="68">
        <f>C16/(2*C15)*0.001</f>
        <v>3.174603174603175E-3</v>
      </c>
      <c r="D17" s="60" t="s">
        <v>264</v>
      </c>
      <c r="E17" s="59"/>
      <c r="F17" s="85" t="s">
        <v>153</v>
      </c>
      <c r="G17" s="60" t="s">
        <v>284</v>
      </c>
      <c r="H17" s="60">
        <v>0.7</v>
      </c>
      <c r="I17" s="60" t="s">
        <v>15</v>
      </c>
      <c r="J17" s="69" t="s">
        <v>178</v>
      </c>
      <c r="K17" s="83" t="s">
        <v>131</v>
      </c>
      <c r="L17" s="60" t="s">
        <v>308</v>
      </c>
      <c r="M17" s="60">
        <v>1.5</v>
      </c>
      <c r="N17" s="60" t="s">
        <v>80</v>
      </c>
      <c r="O17" s="94"/>
      <c r="P17" s="111" t="s">
        <v>143</v>
      </c>
      <c r="Q17" s="112" t="s">
        <v>307</v>
      </c>
      <c r="R17" s="113">
        <f>4.44*R16*R14*R13*R12/1000</f>
        <v>94.609347390580766</v>
      </c>
      <c r="S17" s="112" t="s">
        <v>33</v>
      </c>
      <c r="T17" s="114"/>
    </row>
    <row r="18" spans="1:22" ht="15" customHeight="1" x14ac:dyDescent="0.2">
      <c r="A18" s="59" t="s">
        <v>265</v>
      </c>
      <c r="B18" s="60" t="s">
        <v>266</v>
      </c>
      <c r="C18" s="68">
        <f>C17*4/M2</f>
        <v>4.042030305365242E-3</v>
      </c>
      <c r="D18" s="60" t="s">
        <v>267</v>
      </c>
      <c r="E18" s="63"/>
      <c r="F18" s="83" t="s">
        <v>198</v>
      </c>
      <c r="G18" s="60" t="s">
        <v>285</v>
      </c>
      <c r="H18" s="65">
        <f>2*M2*H17/C13</f>
        <v>0.2199114855</v>
      </c>
      <c r="I18" s="60" t="s">
        <v>200</v>
      </c>
      <c r="J18" s="62"/>
      <c r="K18" s="83" t="s">
        <v>132</v>
      </c>
      <c r="L18" s="60" t="s">
        <v>310</v>
      </c>
      <c r="M18" s="60">
        <v>1.5</v>
      </c>
      <c r="N18" s="60" t="s">
        <v>80</v>
      </c>
      <c r="O18" s="94"/>
      <c r="P18" s="59" t="s">
        <v>331</v>
      </c>
      <c r="Q18" s="60" t="s">
        <v>309</v>
      </c>
      <c r="R18" s="65">
        <f>R17*C4*SQRT(3)*SQRT(2)</f>
        <v>926.97850401855203</v>
      </c>
      <c r="S18" s="60" t="s">
        <v>33</v>
      </c>
      <c r="T18" s="61"/>
    </row>
    <row r="19" spans="1:22" ht="15" customHeight="1" x14ac:dyDescent="0.2">
      <c r="A19" s="59" t="s">
        <v>76</v>
      </c>
      <c r="B19" s="60" t="s">
        <v>77</v>
      </c>
      <c r="C19" s="73">
        <v>0.5</v>
      </c>
      <c r="D19" s="60" t="s">
        <v>15</v>
      </c>
      <c r="E19" s="69" t="s">
        <v>178</v>
      </c>
      <c r="F19" s="83" t="s">
        <v>198</v>
      </c>
      <c r="G19" s="60" t="s">
        <v>285</v>
      </c>
      <c r="H19" s="65">
        <f>H18*180/M2</f>
        <v>12.6</v>
      </c>
      <c r="I19" s="60" t="s">
        <v>201</v>
      </c>
      <c r="J19" s="62"/>
      <c r="K19" s="83" t="s">
        <v>146</v>
      </c>
      <c r="L19" s="60" t="s">
        <v>311</v>
      </c>
      <c r="M19" s="60">
        <v>1.5</v>
      </c>
      <c r="N19" s="60" t="s">
        <v>80</v>
      </c>
      <c r="O19" s="94"/>
      <c r="P19" s="114" t="s">
        <v>67</v>
      </c>
      <c r="Q19" s="112" t="s">
        <v>321</v>
      </c>
      <c r="R19" s="115">
        <f>H5*M25/(2*R15)</f>
        <v>6.8946983253389611</v>
      </c>
      <c r="S19" s="116" t="s">
        <v>22</v>
      </c>
      <c r="T19" s="116"/>
      <c r="U19" s="71" t="s">
        <v>295</v>
      </c>
      <c r="V19" s="71" t="s">
        <v>296</v>
      </c>
    </row>
    <row r="20" spans="1:22" ht="15" customHeight="1" x14ac:dyDescent="0.2">
      <c r="A20" s="59" t="s">
        <v>78</v>
      </c>
      <c r="B20" s="60" t="s">
        <v>259</v>
      </c>
      <c r="C20" s="73">
        <f>1000*(C18/C19)^(1/3)</f>
        <v>200.69806577558106</v>
      </c>
      <c r="D20" s="60" t="s">
        <v>80</v>
      </c>
      <c r="E20" s="63"/>
      <c r="F20" s="83" t="s">
        <v>187</v>
      </c>
      <c r="G20" s="60" t="s">
        <v>286</v>
      </c>
      <c r="H20" s="65">
        <f>(H18*(C20/2-H12/2)+2*H12)*(C21+2*H12)/100</f>
        <v>24.520729252821194</v>
      </c>
      <c r="I20" s="60" t="s">
        <v>287</v>
      </c>
      <c r="J20" s="62"/>
      <c r="K20" s="61" t="s">
        <v>130</v>
      </c>
      <c r="L20" s="60" t="s">
        <v>316</v>
      </c>
      <c r="M20" s="60">
        <v>16</v>
      </c>
      <c r="N20" s="60" t="s">
        <v>80</v>
      </c>
      <c r="O20" s="100" t="s">
        <v>178</v>
      </c>
      <c r="P20" s="117"/>
      <c r="Q20" s="117"/>
      <c r="R20" s="117"/>
      <c r="S20" s="117"/>
      <c r="T20" s="117"/>
      <c r="U20" s="71" t="s">
        <v>297</v>
      </c>
      <c r="V20" s="71" t="s">
        <v>292</v>
      </c>
    </row>
    <row r="21" spans="1:22" ht="15" customHeight="1" x14ac:dyDescent="0.25">
      <c r="A21" s="59" t="s">
        <v>81</v>
      </c>
      <c r="B21" s="62" t="s">
        <v>268</v>
      </c>
      <c r="C21" s="74">
        <f>C20*C19</f>
        <v>100.34903288779053</v>
      </c>
      <c r="D21" s="62" t="s">
        <v>80</v>
      </c>
      <c r="E21" s="62"/>
      <c r="F21" s="83" t="s">
        <v>188</v>
      </c>
      <c r="G21" s="60" t="s">
        <v>288</v>
      </c>
      <c r="H21" s="65">
        <f>(H18*(C20/2-H12/2)+2*H12)*(C21+2*H12)/100</f>
        <v>24.520729252821194</v>
      </c>
      <c r="I21" s="60" t="s">
        <v>287</v>
      </c>
      <c r="J21" s="62"/>
      <c r="K21" s="61" t="s">
        <v>313</v>
      </c>
      <c r="L21" s="60" t="s">
        <v>314</v>
      </c>
      <c r="M21" s="92">
        <f>C20+(M17+M18+M19+M20)*2</f>
        <v>241.69806577558106</v>
      </c>
      <c r="N21" s="61" t="s">
        <v>80</v>
      </c>
      <c r="O21" s="61"/>
      <c r="P21" s="84" t="s">
        <v>323</v>
      </c>
      <c r="Q21" s="104"/>
      <c r="R21" s="104"/>
      <c r="S21" s="104"/>
      <c r="T21" s="105"/>
    </row>
    <row r="22" spans="1:22" ht="15" customHeight="1" x14ac:dyDescent="0.25">
      <c r="A22" s="110" t="s">
        <v>91</v>
      </c>
      <c r="B22" s="121" t="s">
        <v>269</v>
      </c>
      <c r="C22" s="122">
        <v>1.2</v>
      </c>
      <c r="D22" s="123" t="s">
        <v>15</v>
      </c>
      <c r="E22" s="109" t="s">
        <v>178</v>
      </c>
      <c r="F22" s="83" t="s">
        <v>203</v>
      </c>
      <c r="G22" s="60" t="s">
        <v>290</v>
      </c>
      <c r="H22" s="65">
        <f>H21/H20</f>
        <v>1</v>
      </c>
      <c r="I22" s="60" t="s">
        <v>15</v>
      </c>
      <c r="J22" s="72"/>
      <c r="K22" s="85" t="s">
        <v>149</v>
      </c>
      <c r="L22" s="60" t="s">
        <v>329</v>
      </c>
      <c r="M22" s="65">
        <f>M2*M21/C12</f>
        <v>31.638202789990917</v>
      </c>
      <c r="N22" s="60" t="s">
        <v>80</v>
      </c>
      <c r="O22" s="61"/>
      <c r="P22" s="61" t="s">
        <v>135</v>
      </c>
      <c r="Q22" s="20" t="s">
        <v>136</v>
      </c>
      <c r="R22" s="23">
        <f>(H6/H7)*M14/2</f>
        <v>6.0766549315643674</v>
      </c>
      <c r="S22" s="20" t="s">
        <v>80</v>
      </c>
      <c r="T22" s="61"/>
    </row>
    <row r="23" spans="1:22" ht="15" customHeight="1" x14ac:dyDescent="0.25">
      <c r="A23" s="110" t="s">
        <v>83</v>
      </c>
      <c r="B23" s="121" t="s">
        <v>270</v>
      </c>
      <c r="C23" s="122">
        <f>C20*C22</f>
        <v>240.83767893069725</v>
      </c>
      <c r="D23" s="121" t="s">
        <v>80</v>
      </c>
      <c r="E23" s="121"/>
      <c r="F23" s="83" t="s">
        <v>205</v>
      </c>
      <c r="G23" s="60" t="s">
        <v>206</v>
      </c>
      <c r="H23" s="65">
        <f>H21*H12/(H20*H16)</f>
        <v>0.2857142857142857</v>
      </c>
      <c r="I23" s="60" t="s">
        <v>15</v>
      </c>
      <c r="J23" s="62"/>
      <c r="K23" s="83" t="s">
        <v>139</v>
      </c>
      <c r="L23" s="60" t="s">
        <v>317</v>
      </c>
      <c r="M23" s="65">
        <f>M22-M14</f>
        <v>21.51044457071697</v>
      </c>
      <c r="N23" s="60" t="s">
        <v>80</v>
      </c>
      <c r="O23" s="63"/>
      <c r="P23" s="61" t="s">
        <v>330</v>
      </c>
      <c r="Q23" s="62" t="s">
        <v>270</v>
      </c>
      <c r="R23" s="74">
        <f>M21+R22*2</f>
        <v>253.85137563870978</v>
      </c>
      <c r="S23" s="62" t="s">
        <v>80</v>
      </c>
      <c r="T23" s="61"/>
    </row>
    <row r="24" spans="1:22" ht="15" customHeight="1" x14ac:dyDescent="0.25">
      <c r="A24" s="61"/>
      <c r="B24" s="62"/>
      <c r="C24" s="62"/>
      <c r="D24" s="62"/>
      <c r="E24" s="62"/>
      <c r="F24" s="61" t="s">
        <v>281</v>
      </c>
      <c r="G24" s="62" t="s">
        <v>282</v>
      </c>
      <c r="H24" s="124">
        <f>V15*H13*H22/(1+V16*H14*H23)</f>
        <v>0.69391138412495101</v>
      </c>
      <c r="I24" s="62"/>
      <c r="J24" s="62"/>
      <c r="K24" s="61" t="s">
        <v>150</v>
      </c>
      <c r="L24" s="60" t="s">
        <v>318</v>
      </c>
      <c r="M24" s="65">
        <f>(M22+M14)*M20/2</f>
        <v>334.12768807411891</v>
      </c>
      <c r="N24" s="60" t="s">
        <v>319</v>
      </c>
      <c r="O24" s="60"/>
      <c r="P24" s="61"/>
      <c r="Q24" s="61"/>
      <c r="R24" s="61"/>
      <c r="S24" s="61"/>
      <c r="T24" s="85"/>
    </row>
    <row r="25" spans="1:22" ht="15" customHeight="1" x14ac:dyDescent="0.25">
      <c r="A25" s="61"/>
      <c r="B25" s="62"/>
      <c r="C25" s="62"/>
      <c r="D25" s="62"/>
      <c r="E25" s="62"/>
      <c r="F25" s="61" t="s">
        <v>298</v>
      </c>
      <c r="G25" s="62" t="s">
        <v>299</v>
      </c>
      <c r="H25" s="62"/>
      <c r="I25" s="62"/>
      <c r="J25" s="62"/>
      <c r="K25" s="61" t="s">
        <v>315</v>
      </c>
      <c r="L25" s="60" t="s">
        <v>320</v>
      </c>
      <c r="M25" s="62">
        <f>M24*H2</f>
        <v>217.18299724817729</v>
      </c>
      <c r="N25" s="60" t="s">
        <v>319</v>
      </c>
      <c r="O25" s="61"/>
      <c r="P25" s="61"/>
      <c r="Q25" s="61"/>
      <c r="R25" s="61"/>
      <c r="S25" s="61"/>
      <c r="T25" s="59"/>
    </row>
    <row r="26" spans="1:22" ht="15" customHeight="1" x14ac:dyDescent="0.2">
      <c r="K26" s="91"/>
      <c r="L26" s="91"/>
      <c r="M26" s="93"/>
      <c r="N26" s="91"/>
      <c r="O26" s="91"/>
    </row>
    <row r="27" spans="1:22" ht="15" customHeight="1" x14ac:dyDescent="0.2"/>
    <row r="28" spans="1:22" ht="15" customHeight="1" x14ac:dyDescent="0.2"/>
    <row r="29" spans="1:22" ht="15" customHeight="1" x14ac:dyDescent="0.2"/>
    <row r="30" spans="1:22" ht="15" customHeight="1" x14ac:dyDescent="0.2"/>
  </sheetData>
  <mergeCells count="11">
    <mergeCell ref="P21:T21"/>
    <mergeCell ref="P1:T1"/>
    <mergeCell ref="O16:O19"/>
    <mergeCell ref="P11:T11"/>
    <mergeCell ref="K7:O7"/>
    <mergeCell ref="A1:E1"/>
    <mergeCell ref="F1:I1"/>
    <mergeCell ref="K1:N1"/>
    <mergeCell ref="A11:E11"/>
    <mergeCell ref="F11:J11"/>
    <mergeCell ref="K11:N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B19" sqref="B19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C15" sqref="C15"/>
    </sheetView>
  </sheetViews>
  <sheetFormatPr defaultRowHeight="15" x14ac:dyDescent="0.25"/>
  <cols>
    <col min="1" max="1" width="10.5703125" style="86" bestFit="1" customWidth="1"/>
    <col min="2" max="2" width="7.7109375" style="87" bestFit="1" customWidth="1"/>
    <col min="3" max="3" width="12.42578125" bestFit="1" customWidth="1"/>
    <col min="4" max="4" width="10.85546875" bestFit="1" customWidth="1"/>
    <col min="6" max="6" width="13" bestFit="1" customWidth="1"/>
  </cols>
  <sheetData>
    <row r="1" spans="1:6" x14ac:dyDescent="0.25">
      <c r="A1" s="86" t="s">
        <v>293</v>
      </c>
      <c r="B1" s="87" t="s">
        <v>294</v>
      </c>
    </row>
    <row r="2" spans="1:6" x14ac:dyDescent="0.25">
      <c r="A2" s="88">
        <v>0</v>
      </c>
      <c r="B2" s="87">
        <v>0.96</v>
      </c>
    </row>
    <row r="3" spans="1:6" x14ac:dyDescent="0.25">
      <c r="A3" s="88">
        <v>-41668.491999999998</v>
      </c>
      <c r="B3" s="87">
        <v>0.90764053175022497</v>
      </c>
      <c r="C3">
        <f>(B2-B3)/(A2-A3)</f>
        <v>1.256572190080097E-6</v>
      </c>
      <c r="D3" s="89">
        <f>1/(C3/'SH1'!M5)</f>
        <v>1.0000516245070639</v>
      </c>
    </row>
    <row r="4" spans="1:6" x14ac:dyDescent="0.25">
      <c r="A4" s="88">
        <v>-83336.985000000001</v>
      </c>
      <c r="B4" s="87">
        <v>0.85527835989871304</v>
      </c>
      <c r="C4">
        <f>(B3-B4)/(A3-A4)</f>
        <v>1.2566370435213947E-6</v>
      </c>
      <c r="D4" s="89">
        <f>1/(C4/'SH1'!M5)</f>
        <v>1.0000000131132576</v>
      </c>
    </row>
    <row r="5" spans="1:6" x14ac:dyDescent="0.25">
      <c r="A5" s="88">
        <v>-125005.477</v>
      </c>
      <c r="B5" s="87">
        <v>0.802916188047201</v>
      </c>
      <c r="C5">
        <f t="shared" ref="C4:C10" si="0">(B4-B5)/(A4-A5)</f>
        <v>1.2566370736793652E-6</v>
      </c>
      <c r="D5" s="89">
        <f>1/(C5/'SH1'!M5)</f>
        <v>0.9999999891143071</v>
      </c>
    </row>
    <row r="6" spans="1:6" x14ac:dyDescent="0.25">
      <c r="A6" s="88">
        <v>-166673.97</v>
      </c>
      <c r="B6" s="87">
        <v>0.75055401619568896</v>
      </c>
      <c r="C6">
        <f t="shared" si="0"/>
        <v>1.2566370435213972E-6</v>
      </c>
      <c r="D6" s="89">
        <f>1/(C6/'SH1'!M5)</f>
        <v>1.0000000131132556</v>
      </c>
    </row>
    <row r="7" spans="1:6" x14ac:dyDescent="0.25">
      <c r="A7" s="88">
        <v>-208342.462</v>
      </c>
      <c r="B7" s="87">
        <v>0.69819184434417803</v>
      </c>
      <c r="C7">
        <f t="shared" si="0"/>
        <v>1.2566370736793387E-6</v>
      </c>
      <c r="D7" s="89">
        <f>1/(C7/'SH1'!M5)</f>
        <v>0.99999998911432819</v>
      </c>
    </row>
    <row r="8" spans="1:6" x14ac:dyDescent="0.25">
      <c r="A8" s="88">
        <v>-250010.954</v>
      </c>
      <c r="B8" s="87">
        <v>0.64582967249266598</v>
      </c>
      <c r="C8">
        <f t="shared" si="0"/>
        <v>1.2566370736793652E-6</v>
      </c>
      <c r="D8" s="89">
        <f>1/(C8/'SH1'!M5)</f>
        <v>0.9999999891143071</v>
      </c>
      <c r="F8" s="90"/>
    </row>
    <row r="9" spans="1:6" x14ac:dyDescent="0.25">
      <c r="A9" s="88">
        <v>-291679.44699999999</v>
      </c>
      <c r="B9" s="87">
        <v>0.59346750064115605</v>
      </c>
      <c r="C9">
        <f>(B8-B9)/(A8-A9)</f>
        <v>1.2566370435213471E-6</v>
      </c>
      <c r="D9" s="89">
        <f>1/(C9/'SH1'!M5)</f>
        <v>1.0000000131132956</v>
      </c>
    </row>
    <row r="10" spans="1:6" x14ac:dyDescent="0.25">
      <c r="A10" s="88">
        <v>-333347.93900000001</v>
      </c>
      <c r="B10" s="87">
        <v>0.54110532878964401</v>
      </c>
      <c r="C10">
        <f t="shared" si="0"/>
        <v>1.2566370736793643E-6</v>
      </c>
      <c r="D10" s="89">
        <f>1/(C10/'SH1'!M5)</f>
        <v>0.99999998911430776</v>
      </c>
    </row>
    <row r="11" spans="1:6" x14ac:dyDescent="0.25">
      <c r="A11" s="88"/>
    </row>
    <row r="12" spans="1:6" x14ac:dyDescent="0.25">
      <c r="A12" s="88"/>
    </row>
    <row r="13" spans="1:6" x14ac:dyDescent="0.25">
      <c r="A13" s="88"/>
    </row>
    <row r="14" spans="1:6" x14ac:dyDescent="0.25">
      <c r="A14" s="88"/>
    </row>
    <row r="15" spans="1:6" x14ac:dyDescent="0.25">
      <c r="A15" s="88"/>
    </row>
    <row r="16" spans="1:6" x14ac:dyDescent="0.25">
      <c r="A16" s="88"/>
    </row>
    <row r="17" spans="1:1" x14ac:dyDescent="0.25">
      <c r="A17" s="88"/>
    </row>
    <row r="18" spans="1:1" x14ac:dyDescent="0.25">
      <c r="A18" s="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OLDParameters!C4/OLDParameters!C5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OLDParameters!C4*OLDParameters!C7*OLDParameters!C9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OLDParameters!C9*10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C3/(C4*OLDParameters!C7)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OLDParameters!C2/(OLDParameters!C8*2*OLDParameters!H8/60)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OLDParameters!C2/(OLDParameters!C4*OLDParameters!H2/100)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OLDParameters!C3/OLDParameters!C5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0.612*OLDParameters!C6*C9/SQRT(3)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C8/(OLDParameters!H3*OLD!C10*3)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OLDParameters!C8*OLD!C4/120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OLDParameters!C11*OLDParameters!C12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2*C7/(C13*1000*OLDParameters!H8)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ROUND(((0.18+0.006*(OLDParameters!C2)^0.4)*1.6),1)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OLDParameters!H8*OLD!C16/OLD!C3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0.001*2*C16*C17*OLDParameters!C12/OLD!C4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C23*OLDParameters!C9*OLDParameters!C15/2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activeCell="C16" sqref="C16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77" t="s">
        <v>224</v>
      </c>
      <c r="G7" s="77"/>
      <c r="H7" s="77"/>
      <c r="I7" s="77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81" t="s">
        <v>106</v>
      </c>
      <c r="B1" s="81"/>
      <c r="C1" s="81"/>
      <c r="D1" s="81"/>
      <c r="E1" s="81"/>
      <c r="F1" s="81" t="s">
        <v>124</v>
      </c>
      <c r="G1" s="81"/>
      <c r="H1" s="81"/>
      <c r="I1" s="81"/>
      <c r="J1" s="81"/>
      <c r="K1" s="81" t="s">
        <v>107</v>
      </c>
      <c r="L1" s="81"/>
      <c r="M1" s="81"/>
      <c r="N1" s="81"/>
      <c r="O1" s="81"/>
      <c r="P1" s="78" t="s">
        <v>217</v>
      </c>
      <c r="Q1" s="79"/>
      <c r="R1" s="79"/>
      <c r="S1" s="79"/>
      <c r="T1" s="79"/>
      <c r="U1" s="80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OLDParameters!C4*OLDParameters!C7*OLDParameters!C9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1000*SQRT(2*OLDParameters!H9/(2*OLDParameters!H8*M8*OLDParameters!H10))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OLDParameters!C4/OLDParameters!C5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OLDParameters!C9*10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SQRT(4*M7/(OLDParameters!H8*OLDParameters!C13))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OLDParameters!C2/(OLDParameters!C4*OLDParameters!H2/100)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C3/(C4*OLDParameters!C7)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82" t="s">
        <v>178</v>
      </c>
      <c r="K5" s="28" t="s">
        <v>65</v>
      </c>
      <c r="L5" s="20" t="s">
        <v>66</v>
      </c>
      <c r="M5" s="20">
        <f>OLDParameters!C3/OLDParameters!C5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OLDParameters!C11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OLDParameters!C11*C19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82"/>
      <c r="K6" s="28" t="s">
        <v>26</v>
      </c>
      <c r="L6" s="20" t="s">
        <v>48</v>
      </c>
      <c r="M6" s="23">
        <f>0.612*OLDParameters!C6*M5/SQRT(3)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OLDParameters!C13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OLDParameters!C2/(OLDParameters!C8*2*OLDParameters!H8/60)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OLDParameters!C15*H13*OLDParameters!H8*(H5/2)^2*1.25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M4/(OLDParameters!H3*'OLDGeneral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OLDParameters!C8*'OLDGeneral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4*C8/OLDParameters!H8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81" t="s">
        <v>128</v>
      </c>
      <c r="G10" s="81"/>
      <c r="H10" s="81"/>
      <c r="I10" s="81"/>
      <c r="J10" s="81"/>
      <c r="K10" s="81" t="s">
        <v>125</v>
      </c>
      <c r="L10" s="81"/>
      <c r="M10" s="81"/>
      <c r="N10" s="81"/>
      <c r="O10" s="81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82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0.001*2*C11*C12*OLDParameters!C12/C4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82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82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H13*OLDParameters!C9*OLDParameters!C15/2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OLDParameters!H8*C11/'OLDGeneral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H15*OLDParameters!C4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OLDParameters!H8*(C14-M14)/'OLDGeneral Calculations'!C3</f>
        <v>33.171057287635783</v>
      </c>
      <c r="D17" s="20" t="s">
        <v>80</v>
      </c>
      <c r="E17" s="28"/>
      <c r="F17" s="81" t="s">
        <v>161</v>
      </c>
      <c r="G17" s="81"/>
      <c r="H17" s="81"/>
      <c r="I17" s="81"/>
      <c r="J17" s="81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2*OLDParameters!C9*C12*1.2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OLDParameters!C12*2/OLDParameters!H8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H20*OLDParameters!C4*OLDParameters!C7+H21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OLDParameters!C2/(OLDParameters!C2+'OLDGeneral Calculations'!H22)*100</f>
        <v>99.065033073674314</v>
      </c>
      <c r="I23" s="20" t="s">
        <v>15</v>
      </c>
      <c r="J23" s="46"/>
      <c r="K23" s="81" t="s">
        <v>186</v>
      </c>
      <c r="L23" s="81"/>
      <c r="M23" s="81"/>
      <c r="N23" s="81"/>
      <c r="O23" s="81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2*OLDParameters!H8*OLDParameters!C16/'OLDGeneral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M24*180/OLDParameters!H8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(M24*(C11/2-C15/2-OLDParameters!C14/2)+2*C15)*(C12)/100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M27*C15/(M26*OLDParameters!C14)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M30*OLDParameters!H11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SH1</vt:lpstr>
      <vt:lpstr>Figures</vt:lpstr>
      <vt:lpstr>B-H magnet</vt:lpstr>
      <vt:lpstr>OLD</vt:lpstr>
      <vt:lpstr>OLDParameters</vt:lpstr>
      <vt:lpstr>OLDGeneral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2017-10-18T12:51:11Z</dcterms:modified>
</cp:coreProperties>
</file>