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Design report\"/>
    </mc:Choice>
  </mc:AlternateContent>
  <bookViews>
    <workbookView xWindow="0" yWindow="0" windowWidth="27480" windowHeight="12915" activeTab="1"/>
  </bookViews>
  <sheets>
    <sheet name="Parameters" sheetId="1" r:id="rId1"/>
    <sheet name="General Calculations" sheetId="4" r:id="rId2"/>
    <sheet name="Load design" sheetId="6" r:id="rId3"/>
    <sheet name="Figures" sheetId="5" r:id="rId4"/>
    <sheet name="Not used-old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4" l="1"/>
  <c r="M14" i="4" l="1"/>
  <c r="C17" i="4"/>
  <c r="M16" i="4" s="1"/>
  <c r="H14" i="4"/>
  <c r="H12" i="4"/>
  <c r="M34" i="4"/>
  <c r="M29" i="4"/>
  <c r="M26" i="4"/>
  <c r="M24" i="4"/>
  <c r="C15" i="6" l="1"/>
  <c r="H13" i="6"/>
  <c r="C17" i="6"/>
  <c r="H5" i="6"/>
  <c r="H6" i="6"/>
  <c r="H7" i="6" s="1"/>
  <c r="H2" i="6"/>
  <c r="H3" i="6"/>
  <c r="H4" i="6" l="1"/>
  <c r="H8" i="6" s="1"/>
  <c r="C13" i="6" s="1"/>
  <c r="C11" i="4"/>
  <c r="C9" i="4"/>
  <c r="C8" i="4"/>
  <c r="C3" i="4"/>
  <c r="C14" i="6" l="1"/>
  <c r="H7" i="4"/>
  <c r="C6" i="4"/>
  <c r="C12" i="4" s="1"/>
  <c r="C19" i="4"/>
  <c r="C7" i="4"/>
  <c r="M31" i="4" l="1"/>
  <c r="H11" i="1"/>
  <c r="R18" i="4"/>
  <c r="T12" i="4"/>
  <c r="U12" i="4" s="1"/>
  <c r="S12" i="4"/>
  <c r="R11" i="4"/>
  <c r="S11" i="4" s="1"/>
  <c r="S10" i="4"/>
  <c r="R9" i="4"/>
  <c r="S9" i="4" s="1"/>
  <c r="S8" i="4"/>
  <c r="R8" i="4"/>
  <c r="S7" i="4"/>
  <c r="S4" i="4"/>
  <c r="S6" i="4"/>
  <c r="S5" i="4"/>
  <c r="T6" i="4"/>
  <c r="T5" i="4"/>
  <c r="U5" i="4" s="1"/>
  <c r="S3" i="4"/>
  <c r="C16" i="6" l="1"/>
  <c r="C18" i="6" s="1"/>
  <c r="H14" i="6"/>
  <c r="U6" i="4"/>
  <c r="T8" i="4"/>
  <c r="U8" i="4" s="1"/>
  <c r="M5" i="4" l="1"/>
  <c r="M6" i="4" s="1"/>
  <c r="M4" i="4"/>
  <c r="C4" i="4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M27" i="4" l="1"/>
  <c r="M25" i="4"/>
  <c r="M8" i="4"/>
  <c r="H3" i="4" s="1"/>
  <c r="H15" i="4"/>
  <c r="H16" i="4" s="1"/>
  <c r="M7" i="4"/>
  <c r="T3" i="4" s="1"/>
  <c r="U3" i="4" s="1"/>
  <c r="C16" i="4"/>
  <c r="C18" i="4" s="1"/>
  <c r="C20" i="4" s="1"/>
  <c r="C14" i="4"/>
  <c r="H18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M17" i="4" l="1"/>
  <c r="M28" i="4"/>
  <c r="T4" i="4"/>
  <c r="U4" i="4" s="1"/>
  <c r="H19" i="4"/>
  <c r="T11" i="4" s="1"/>
  <c r="U11" i="4" s="1"/>
  <c r="H4" i="4"/>
  <c r="C5" i="3"/>
  <c r="C11" i="3"/>
  <c r="M33" i="4" l="1"/>
  <c r="T10" i="4"/>
  <c r="U10" i="4" s="1"/>
  <c r="H20" i="4"/>
  <c r="C21" i="3"/>
  <c r="C19" i="3"/>
  <c r="C17" i="3"/>
  <c r="C22" i="3" s="1"/>
  <c r="C25" i="3" s="1"/>
  <c r="M20" i="4" l="1"/>
  <c r="M21" i="4" s="1"/>
  <c r="T9" i="4" s="1"/>
  <c r="U9" i="4" s="1"/>
  <c r="H22" i="4"/>
  <c r="T7" i="4" s="1"/>
  <c r="U7" i="4" s="1"/>
  <c r="H23" i="4" l="1"/>
</calcChain>
</file>

<file path=xl/comments1.xml><?xml version="1.0" encoding="utf-8"?>
<comments xmlns="http://schemas.openxmlformats.org/spreadsheetml/2006/main">
  <authors>
    <author>mesutto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actually a design parameter.
</t>
        </r>
      </text>
    </comment>
  </commentList>
</comments>
</file>

<file path=xl/comments2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<sst xmlns="http://schemas.openxmlformats.org/spreadsheetml/2006/main" count="493" uniqueCount="274">
  <si>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</si>
  <si>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</si>
  <si>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</si>
  <si>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</si>
  <si>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</si>
  <si>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</si>
  <si>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</si>
  <si>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</si>
  <si>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</si>
  <si>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</si>
  <si>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</si>
  <si>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</si>
  <si>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</si>
  <si>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</si>
  <si>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</si>
  <si>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</si>
  <si>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</si>
  <si>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</si>
  <si>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</si>
  <si>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</si>
  <si>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</si>
  <si>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</si>
  <si>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</si>
  <si>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</si>
  <si>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</si>
  <si>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</si>
  <si>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</si>
  <si>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</si>
  <si>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</si>
  <si>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</si>
  <si>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</si>
  <si>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</si>
  <si>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</si>
  <si>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</si>
  <si>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</si>
  <si>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</si>
  <si>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</si>
  <si>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</si>
  <si>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</si>
  <si>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</si>
  <si>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</si>
  <si>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</si>
  <si>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</si>
  <si>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</si>
  <si>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</si>
  <si>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</si>
  <si>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</si>
  <si>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</si>
  <si>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</si>
  <si>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</si>
  <si>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</si>
  <si>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</si>
  <si>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</si>
  <si>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</si>
  <si>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</si>
  <si>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</si>
  <si>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</si>
  <si>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</si>
  <si>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</si>
  <si>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</si>
  <si>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</si>
  <si>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</si>
  <si>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</si>
  <si>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</si>
  <si>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</si>
  <si>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</si>
  <si>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</si>
  <si>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</si>
  <si>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</si>
  <si>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</si>
  <si>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</si>
  <si>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</si>
  <si>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</si>
  <si>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</si>
  <si>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</si>
  <si>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</si>
  <si>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</si>
  <si>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</si>
  <si>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</si>
  <si>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</si>
  <si>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</si>
  <si>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</si>
  <si>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</si>
  <si>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</si>
  <si>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</si>
  <si>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</si>
  <si>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</si>
  <si>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</si>
  <si>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</si>
  <si>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</si>
  <si>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</si>
  <si>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</si>
  <si>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</si>
  <si>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</si>
  <si>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</si>
  <si>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</si>
  <si>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</si>
  <si>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</si>
  <si>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</si>
  <si>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</si>
  <si>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</si>
  <si>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</si>
  <si>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</si>
  <si>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</si>
  <si>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</si>
  <si>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</si>
  <si>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</si>
  <si>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</si>
  <si>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</si>
  <si>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</si>
  <si>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</si>
  <si>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</si>
  <si>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</si>
  <si>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</si>
  <si>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</si>
  <si>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</si>
  <si>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</si>
  <si>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</si>
  <si>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</si>
  <si>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</si>
  <si>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</si>
  <si>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</si>
  <si>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</si>
  <si>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</si>
  <si>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</si>
  <si>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</si>
  <si>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</si>
  <si>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</si>
  <si>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</si>
  <si>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</si>
  <si>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</si>
  <si>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</si>
  <si>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</si>
  <si>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</si>
  <si>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</si>
  <si>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</si>
  <si>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</si>
  <si>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</si>
  <si>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</si>
  <si>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</si>
  <si>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</si>
  <si>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</si>
  <si>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</si>
  <si>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</si>
  <si>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</si>
  <si>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</si>
  <si>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</si>
  <si>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</si>
  <si>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</si>
  <si>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</si>
  <si>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</si>
  <si>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</si>
  <si>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</si>
  <si>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</si>
  <si>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</si>
  <si>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Quantity</t>
  </si>
  <si>
    <t>Result</t>
  </si>
  <si>
    <t>Scaled</t>
  </si>
  <si>
    <t>Error (%)</t>
  </si>
  <si>
    <t>Elect. Loading</t>
  </si>
  <si>
    <t>Current Density</t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</si>
  <si>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</si>
  <si>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</si>
  <si>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</si>
  <si>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</si>
  <si>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</si>
  <si>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</si>
  <si>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</si>
  <si>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</si>
  <si>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t>Efficiency</t>
  </si>
  <si>
    <t>Analytic</t>
  </si>
  <si>
    <t>Copper loss</t>
  </si>
  <si>
    <t>Line current (m-p)</t>
  </si>
  <si>
    <t>Ind voltage (m-p)</t>
  </si>
  <si>
    <t>Arms</t>
  </si>
  <si>
    <t>Vrms</t>
  </si>
  <si>
    <t>Torque</t>
  </si>
  <si>
    <t>Fill factor</t>
  </si>
  <si>
    <t>pwt</t>
  </si>
  <si>
    <t>inh</t>
  </si>
  <si>
    <t>Core loss</t>
  </si>
  <si>
    <t>Copper loss/module/phase</t>
  </si>
  <si>
    <r>
      <t>P</t>
    </r>
    <r>
      <rPr>
        <vertAlign val="subscript"/>
        <sz val="11"/>
        <color theme="1"/>
        <rFont val="Garamond"/>
        <family val="1"/>
        <charset val="162"/>
      </rPr>
      <t>c</t>
    </r>
  </si>
  <si>
    <r>
      <t>P</t>
    </r>
    <r>
      <rPr>
        <vertAlign val="subscript"/>
        <sz val="11"/>
        <color theme="1"/>
        <rFont val="Garamond"/>
        <family val="1"/>
        <charset val="162"/>
      </rPr>
      <t>loss</t>
    </r>
  </si>
  <si>
    <t>Half turn length</t>
  </si>
  <si>
    <t>Resistance</t>
  </si>
  <si>
    <t>Magnet</t>
  </si>
  <si>
    <t>Air gap effective pole area</t>
  </si>
  <si>
    <t>Magnet effective pole area</t>
  </si>
  <si>
    <t>Magnet relative permeability</t>
  </si>
  <si>
    <t>Air permeability</t>
  </si>
  <si>
    <r>
      <t>µ</t>
    </r>
    <r>
      <rPr>
        <vertAlign val="subscript"/>
        <sz val="11"/>
        <color theme="1"/>
        <rFont val="Calibri"/>
        <family val="2"/>
        <charset val="162"/>
      </rPr>
      <t>0</t>
    </r>
  </si>
  <si>
    <t>Magnet permeability</t>
  </si>
  <si>
    <r>
      <t>A</t>
    </r>
    <r>
      <rPr>
        <vertAlign val="subscript"/>
        <sz val="11"/>
        <color theme="1"/>
        <rFont val="Garamond"/>
        <family val="1"/>
        <charset val="162"/>
      </rPr>
      <t>g</t>
    </r>
  </si>
  <si>
    <r>
      <t>A</t>
    </r>
    <r>
      <rPr>
        <vertAlign val="subscript"/>
        <sz val="11"/>
        <color theme="1"/>
        <rFont val="Garamond"/>
        <family val="1"/>
        <charset val="162"/>
      </rPr>
      <t>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</si>
  <si>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</si>
  <si>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rec</t>
    </r>
  </si>
  <si>
    <r>
      <t>η</t>
    </r>
    <r>
      <rPr>
        <vertAlign val="subscript"/>
        <sz val="11"/>
        <color theme="1"/>
        <rFont val="Calibri Light"/>
        <family val="2"/>
        <charset val="162"/>
        <scheme val="major"/>
      </rPr>
      <t>m</t>
    </r>
  </si>
  <si>
    <t>Magnet pole angle</t>
  </si>
  <si>
    <r>
      <t>θ</t>
    </r>
    <r>
      <rPr>
        <vertAlign val="subscript"/>
        <sz val="11"/>
        <color theme="1"/>
        <rFont val="Garamond"/>
        <family val="1"/>
        <charset val="162"/>
      </rPr>
      <t>m</t>
    </r>
  </si>
  <si>
    <t>rad</t>
  </si>
  <si>
    <t>deg</t>
  </si>
  <si>
    <r>
      <t>cm</t>
    </r>
    <r>
      <rPr>
        <vertAlign val="superscript"/>
        <sz val="11"/>
        <color theme="1"/>
        <rFont val="Garamond"/>
        <family val="1"/>
        <charset val="162"/>
      </rPr>
      <t>2</t>
    </r>
  </si>
  <si>
    <t>Flux concentration coefficient</t>
  </si>
  <si>
    <r>
      <t>C</t>
    </r>
    <r>
      <rPr>
        <vertAlign val="subscript"/>
        <sz val="11"/>
        <color theme="1"/>
        <rFont val="Calibri"/>
        <family val="2"/>
        <charset val="162"/>
      </rPr>
      <t>Φ</t>
    </r>
  </si>
  <si>
    <t>Permeance Coefficient</t>
  </si>
  <si>
    <t>PC</t>
  </si>
  <si>
    <t>Remanent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</si>
  <si>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r</t>
    </r>
  </si>
  <si>
    <r>
      <t>B</t>
    </r>
    <r>
      <rPr>
        <vertAlign val="subscript"/>
        <sz val="11"/>
        <color theme="1"/>
        <rFont val="Garamond"/>
        <family val="1"/>
        <charset val="162"/>
      </rPr>
      <t>g</t>
    </r>
  </si>
  <si>
    <r>
      <t>k</t>
    </r>
    <r>
      <rPr>
        <vertAlign val="subscript"/>
        <sz val="11"/>
        <color theme="1"/>
        <rFont val="Garamond"/>
        <family val="1"/>
        <charset val="162"/>
      </rPr>
      <t>c</t>
    </r>
  </si>
  <si>
    <r>
      <t>β</t>
    </r>
    <r>
      <rPr>
        <vertAlign val="subscript"/>
        <sz val="11"/>
        <color theme="1"/>
        <rFont val="Garamond"/>
        <family val="1"/>
        <charset val="162"/>
      </rPr>
      <t>r1</t>
    </r>
  </si>
  <si>
    <t>Magnet leakage coefficient</t>
  </si>
  <si>
    <t>Carter's coefficient</t>
  </si>
  <si>
    <t>Slot fraction</t>
  </si>
  <si>
    <r>
      <rPr>
        <sz val="11"/>
        <color theme="1"/>
        <rFont val="Calibri"/>
        <family val="2"/>
        <charset val="162"/>
      </rPr>
      <t>α</t>
    </r>
    <r>
      <rPr>
        <vertAlign val="subscript"/>
        <sz val="11"/>
        <color theme="1"/>
        <rFont val="Garamond"/>
        <family val="1"/>
        <charset val="162"/>
      </rPr>
      <t>s</t>
    </r>
  </si>
  <si>
    <t>uyd</t>
  </si>
  <si>
    <t>Maxwell Results Comparison</t>
  </si>
  <si>
    <t>Lakage factor</t>
  </si>
  <si>
    <r>
      <t>k</t>
    </r>
    <r>
      <rPr>
        <vertAlign val="subscript"/>
        <sz val="11"/>
        <color theme="1"/>
        <rFont val="Garamond"/>
        <family val="1"/>
        <charset val="162"/>
      </rPr>
      <t>l</t>
    </r>
  </si>
  <si>
    <r>
      <t>k</t>
    </r>
    <r>
      <rPr>
        <vertAlign val="subscript"/>
        <sz val="11"/>
        <color theme="1"/>
        <rFont val="Garamond"/>
        <family val="1"/>
        <charset val="162"/>
      </rPr>
      <t>r</t>
    </r>
  </si>
  <si>
    <t>Reluctance factor</t>
  </si>
  <si>
    <t>Air gap flux density</t>
  </si>
  <si>
    <t>cns</t>
  </si>
  <si>
    <t>Definitions - Constants</t>
  </si>
  <si>
    <t>The electrical loading, magnetic loading and current density are selected as follows:</t>
  </si>
  <si>
    <t>Average air gap flux density</t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</si>
  <si>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</t>
    </r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</si>
  <si>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se</t>
    </r>
  </si>
  <si>
    <r>
      <rPr>
        <sz val="11"/>
        <color theme="1"/>
        <rFont val="Calibri"/>
        <family val="2"/>
        <charset val="162"/>
      </rPr>
      <t>B</t>
    </r>
    <r>
      <rPr>
        <vertAlign val="subscript"/>
        <sz val="11"/>
        <color theme="1"/>
        <rFont val="Garamond"/>
        <family val="1"/>
        <charset val="162"/>
      </rPr>
      <t>avg</t>
    </r>
  </si>
  <si>
    <t>Circuit schematic for drive</t>
  </si>
  <si>
    <t>Volume</t>
  </si>
  <si>
    <r>
      <t>V</t>
    </r>
    <r>
      <rPr>
        <vertAlign val="subscript"/>
        <sz val="11"/>
        <color theme="1"/>
        <rFont val="Garamond"/>
        <family val="1"/>
        <charset val="162"/>
      </rPr>
      <t>r</t>
    </r>
  </si>
  <si>
    <t>Induced voltage (all-series)</t>
  </si>
  <si>
    <r>
      <t>E</t>
    </r>
    <r>
      <rPr>
        <vertAlign val="subscript"/>
        <sz val="11"/>
        <color theme="1"/>
        <rFont val="Garamond"/>
        <family val="1"/>
        <charset val="162"/>
      </rPr>
      <t>ph</t>
    </r>
  </si>
  <si>
    <t>Peak Tooth Flux</t>
  </si>
  <si>
    <t>Input Parameters</t>
  </si>
  <si>
    <t>Total drive output power</t>
  </si>
  <si>
    <t>Calculated parameters</t>
  </si>
  <si>
    <r>
      <t>P</t>
    </r>
    <r>
      <rPr>
        <vertAlign val="subscript"/>
        <sz val="10"/>
        <color theme="1"/>
        <rFont val="Garamond"/>
        <family val="1"/>
        <charset val="162"/>
      </rPr>
      <t>outd</t>
    </r>
  </si>
  <si>
    <r>
      <t>n</t>
    </r>
    <r>
      <rPr>
        <vertAlign val="subscript"/>
        <sz val="10"/>
        <color theme="1"/>
        <rFont val="Garamond"/>
        <family val="1"/>
        <charset val="162"/>
      </rPr>
      <t>p</t>
    </r>
  </si>
  <si>
    <r>
      <t>V</t>
    </r>
    <r>
      <rPr>
        <vertAlign val="subscript"/>
        <sz val="10"/>
        <color theme="1"/>
        <rFont val="Garamond"/>
        <family val="1"/>
        <charset val="162"/>
      </rPr>
      <t>dc</t>
    </r>
  </si>
  <si>
    <r>
      <t>P</t>
    </r>
    <r>
      <rPr>
        <vertAlign val="subscript"/>
        <sz val="10"/>
        <color theme="1"/>
        <rFont val="Garamond"/>
        <family val="1"/>
        <charset val="162"/>
      </rPr>
      <t>drm</t>
    </r>
  </si>
  <si>
    <r>
      <t>V</t>
    </r>
    <r>
      <rPr>
        <vertAlign val="subscript"/>
        <sz val="10"/>
        <color theme="1"/>
        <rFont val="Garamond"/>
        <family val="1"/>
        <charset val="162"/>
      </rPr>
      <t>dcm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</si>
  <si>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</si>
  <si>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r>
      <t>V</t>
    </r>
    <r>
      <rPr>
        <vertAlign val="subscript"/>
        <sz val="10"/>
        <color theme="1"/>
        <rFont val="Garamond"/>
        <family val="1"/>
        <charset val="162"/>
      </rPr>
      <t>phm</t>
    </r>
  </si>
  <si>
    <r>
      <t>m</t>
    </r>
    <r>
      <rPr>
        <vertAlign val="subscript"/>
        <sz val="10"/>
        <color theme="1"/>
        <rFont val="Garamond"/>
        <family val="1"/>
        <charset val="162"/>
      </rPr>
      <t>a</t>
    </r>
  </si>
  <si>
    <r>
      <t>I</t>
    </r>
    <r>
      <rPr>
        <vertAlign val="subscript"/>
        <sz val="10"/>
        <color theme="1"/>
        <rFont val="Garamond"/>
        <family val="1"/>
        <charset val="162"/>
      </rPr>
      <t>phm</t>
    </r>
  </si>
  <si>
    <r>
      <t>f</t>
    </r>
    <r>
      <rPr>
        <vertAlign val="subscript"/>
        <sz val="10"/>
        <color theme="1"/>
        <rFont val="Garamond"/>
        <family val="1"/>
        <charset val="162"/>
      </rPr>
      <t>r</t>
    </r>
  </si>
  <si>
    <r>
      <t>η</t>
    </r>
    <r>
      <rPr>
        <vertAlign val="subscript"/>
        <sz val="10"/>
        <color theme="1"/>
        <rFont val="Garamond"/>
        <family val="1"/>
        <charset val="162"/>
      </rPr>
      <t>m</t>
    </r>
  </si>
  <si>
    <t>Drive apparent power (module)</t>
  </si>
  <si>
    <r>
      <t>S</t>
    </r>
    <r>
      <rPr>
        <vertAlign val="subscript"/>
        <sz val="10"/>
        <color theme="1"/>
        <rFont val="Garamond"/>
        <family val="1"/>
        <charset val="162"/>
      </rPr>
      <t>drm</t>
    </r>
  </si>
  <si>
    <t>VA</t>
  </si>
  <si>
    <t>Phase resistance/module</t>
  </si>
  <si>
    <t>Phase impedance/module</t>
  </si>
  <si>
    <r>
      <t>Z</t>
    </r>
    <r>
      <rPr>
        <vertAlign val="subscript"/>
        <sz val="10"/>
        <color theme="1"/>
        <rFont val="Garamond"/>
        <family val="1"/>
        <charset val="162"/>
      </rPr>
      <t>phm</t>
    </r>
  </si>
  <si>
    <t>Results</t>
  </si>
  <si>
    <t>Ω</t>
  </si>
  <si>
    <r>
      <t>R</t>
    </r>
    <r>
      <rPr>
        <vertAlign val="subscript"/>
        <sz val="10"/>
        <color theme="1"/>
        <rFont val="Garamond"/>
        <family val="1"/>
        <charset val="162"/>
      </rPr>
      <t>phm</t>
    </r>
  </si>
  <si>
    <t>Phase reactance/module</t>
  </si>
  <si>
    <r>
      <t>X</t>
    </r>
    <r>
      <rPr>
        <vertAlign val="subscript"/>
        <sz val="10"/>
        <color theme="1"/>
        <rFont val="Garamond"/>
        <family val="1"/>
        <charset val="162"/>
      </rPr>
      <t>phm</t>
    </r>
  </si>
  <si>
    <t>Phase inductance/module</t>
  </si>
  <si>
    <r>
      <t>L</t>
    </r>
    <r>
      <rPr>
        <vertAlign val="subscript"/>
        <sz val="10"/>
        <color theme="1"/>
        <rFont val="Garamond"/>
        <family val="1"/>
        <charset val="162"/>
      </rPr>
      <t>phm</t>
    </r>
  </si>
  <si>
    <t>mH</t>
  </si>
  <si>
    <t>Single resistance</t>
  </si>
  <si>
    <t>R</t>
  </si>
  <si>
    <t>Number of parallel branches</t>
  </si>
  <si>
    <t>b</t>
  </si>
  <si>
    <t>Single inductance</t>
  </si>
  <si>
    <t>L</t>
  </si>
  <si>
    <t>Voltage on Rphm</t>
  </si>
  <si>
    <t>Voltage on Xphm</t>
  </si>
  <si>
    <t>Drive reactive power (module)</t>
  </si>
  <si>
    <r>
      <t>Q</t>
    </r>
    <r>
      <rPr>
        <vertAlign val="subscript"/>
        <sz val="10"/>
        <color theme="1"/>
        <rFont val="Garamond"/>
        <family val="1"/>
        <charset val="162"/>
      </rPr>
      <t>drm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</si>
</sst>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 Light"/>
      <family val="2"/>
      <charset val="162"/>
      <scheme val="major"/>
    </font>
    <font>
      <vertAlign val="subscript"/>
      <sz val="11"/>
      <color theme="1"/>
      <name val="Calibri Light"/>
      <family val="2"/>
      <charset val="162"/>
      <scheme val="major"/>
    </font>
    <font>
      <b/>
      <sz val="12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b/>
      <sz val="10"/>
      <color theme="1"/>
      <name val="Garamond"/>
      <family val="1"/>
      <charset val="162"/>
    </font>
    <font>
      <sz val="10"/>
      <color theme="1"/>
      <name val="Garamond"/>
      <family val="1"/>
      <charset val="162"/>
    </font>
    <font>
      <vertAlign val="subscript"/>
      <sz val="10"/>
      <color theme="1"/>
      <name val="Garamond"/>
      <family val="1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0" fontId="14" fillId="0" borderId="4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vertical="center"/>
    </xf>
    <xf numFmtId="0" fontId="2" fillId="9" borderId="4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36634</xdr:colOff>
      <xdr:row>1</xdr:row>
      <xdr:rowOff>7327</xdr:rowOff>
    </xdr:from>
    <xdr:to>
      <xdr:col>0</xdr:col>
      <xdr:colOff>3216518</xdr:colOff>
      <xdr:row>16</xdr:row>
      <xdr:rowOff>139212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680"/>
        <a:stretch/>
      </xdr:blipFill>
      <xdr:spPr bwMode="auto">
        <a:xfrm>
          <a:off x="36634" y="197827"/>
          <a:ext cx="3179884" cy="298938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3282461</xdr:colOff>
      <xdr:row>1</xdr:row>
      <xdr:rowOff>109904</xdr:rowOff>
    </xdr:from>
    <xdr:to>
      <xdr:col>0</xdr:col>
      <xdr:colOff>6669551</xdr:colOff>
      <xdr:row>15</xdr:row>
      <xdr:rowOff>39419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94"/>
        <a:stretch/>
      </xdr:blipFill>
      <xdr:spPr bwMode="auto">
        <a:xfrm>
          <a:off x="3282461" y="307731"/>
          <a:ext cx="3387090" cy="259651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6848475</xdr:colOff>
          <xdr:row>1</xdr:row>
          <xdr:rowOff>76200</xdr:rowOff>
        </xdr:from>
        <xdr:to>
          <xdr:col>3</xdr:col>
          <xdr:colOff>352425</xdr:colOff>
          <xdr:row>16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izimi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0"/>
  <sheetViews>
    <sheetView zoomScale="175" zoomScaleNormal="175" workbookViewId="0">
      <selection activeCell="B14" sqref="B14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4.28515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ht="15" customHeight="1" x14ac:dyDescent="0.25">
      <c r="A1" s="24" t="s">
        <v>55</v>
      </c>
      <c r="B1" s="46" t="s">
        <v>4</v>
      </c>
      <c r="C1" s="46" t="s">
        <v>5</v>
      </c>
      <c r="D1" s="46" t="s">
        <v>6</v>
      </c>
      <c r="E1" s="46"/>
      <c r="F1" s="4" t="s">
        <v>54</v>
      </c>
      <c r="G1" s="5" t="s">
        <v>4</v>
      </c>
      <c r="H1" s="5" t="s">
        <v>5</v>
      </c>
      <c r="I1" s="5" t="s">
        <v>6</v>
      </c>
    </row>
    <row r="2" spans="1:12" ht="15" customHeight="1" x14ac:dyDescent="0.35">
      <c r="A2" s="28" t="s">
        <v>8</v>
      </c>
      <c r="B2" s="20" t="s">
        <v>35</v>
      </c>
      <c r="C2" s="20">
        <v>8000</v>
      </c>
      <c r="D2" s="20" t="s">
        <v>7</v>
      </c>
      <c r="E2" s="20"/>
      <c r="F2" s="6" t="s">
        <v>49</v>
      </c>
      <c r="G2" s="7" t="s">
        <v>50</v>
      </c>
      <c r="H2" s="7">
        <v>94</v>
      </c>
      <c r="I2" s="7" t="s">
        <v>51</v>
      </c>
    </row>
    <row r="3" spans="1:12" ht="15" customHeight="1" x14ac:dyDescent="0.25">
      <c r="A3" s="28" t="s">
        <v>32</v>
      </c>
      <c r="B3" s="20" t="s">
        <v>36</v>
      </c>
      <c r="C3" s="20">
        <v>540</v>
      </c>
      <c r="D3" s="20" t="s">
        <v>33</v>
      </c>
      <c r="E3" s="20"/>
      <c r="F3" s="6" t="s">
        <v>0</v>
      </c>
      <c r="G3" s="7" t="s">
        <v>52</v>
      </c>
      <c r="H3" s="7">
        <v>0.85</v>
      </c>
      <c r="I3" s="7" t="s">
        <v>15</v>
      </c>
      <c r="J3" s="2"/>
    </row>
    <row r="4" spans="1:12" ht="15" customHeight="1" x14ac:dyDescent="0.35">
      <c r="A4" s="28" t="s">
        <v>9</v>
      </c>
      <c r="B4" s="20" t="s">
        <v>13</v>
      </c>
      <c r="C4" s="20">
        <v>4</v>
      </c>
      <c r="D4" s="20" t="s">
        <v>15</v>
      </c>
      <c r="E4" s="20"/>
      <c r="F4" s="6" t="s">
        <v>53</v>
      </c>
      <c r="G4" s="7" t="s">
        <v>56</v>
      </c>
      <c r="H4" s="7">
        <v>98</v>
      </c>
      <c r="I4" s="7" t="s">
        <v>51</v>
      </c>
    </row>
    <row r="5" spans="1:12" ht="15" customHeight="1" x14ac:dyDescent="0.25">
      <c r="A5" s="28" t="s">
        <v>10</v>
      </c>
      <c r="B5" s="20" t="s">
        <v>37</v>
      </c>
      <c r="C5" s="20">
        <v>2</v>
      </c>
      <c r="D5" s="20" t="s">
        <v>15</v>
      </c>
      <c r="E5" s="20"/>
      <c r="F5" s="6"/>
      <c r="G5" s="7"/>
      <c r="H5" s="7"/>
      <c r="I5" s="7"/>
      <c r="K5" s="2"/>
      <c r="L5" s="2"/>
    </row>
    <row r="6" spans="1:12" ht="15" customHeight="1" x14ac:dyDescent="0.25">
      <c r="A6" s="56" t="s">
        <v>11</v>
      </c>
      <c r="B6" s="20" t="s">
        <v>38</v>
      </c>
      <c r="C6" s="20">
        <v>1</v>
      </c>
      <c r="D6" s="20" t="s">
        <v>15</v>
      </c>
      <c r="E6" s="51" t="s">
        <v>178</v>
      </c>
      <c r="F6" s="6"/>
      <c r="G6" s="7"/>
      <c r="H6" s="7"/>
      <c r="I6" s="7"/>
      <c r="K6" s="2"/>
      <c r="L6" s="2"/>
    </row>
    <row r="7" spans="1:12" ht="15" customHeight="1" x14ac:dyDescent="0.25">
      <c r="A7" s="28" t="s">
        <v>12</v>
      </c>
      <c r="B7" s="20" t="s">
        <v>14</v>
      </c>
      <c r="C7" s="20">
        <v>3</v>
      </c>
      <c r="D7" s="20" t="s">
        <v>15</v>
      </c>
      <c r="E7" s="20"/>
      <c r="F7" s="74" t="s">
        <v>224</v>
      </c>
      <c r="G7" s="74"/>
      <c r="H7" s="74"/>
      <c r="I7" s="74"/>
      <c r="K7" s="2"/>
      <c r="L7" s="2"/>
    </row>
    <row r="8" spans="1:12" ht="15" customHeight="1" x14ac:dyDescent="0.25">
      <c r="A8" s="28" t="s">
        <v>16</v>
      </c>
      <c r="B8" s="20" t="s">
        <v>39</v>
      </c>
      <c r="C8" s="20">
        <v>600</v>
      </c>
      <c r="D8" s="20" t="s">
        <v>17</v>
      </c>
      <c r="E8" s="20"/>
      <c r="F8" s="6"/>
      <c r="G8" s="7" t="s">
        <v>61</v>
      </c>
      <c r="H8" s="8">
        <v>3.1415926500000002</v>
      </c>
      <c r="I8" s="7" t="s">
        <v>15</v>
      </c>
    </row>
    <row r="9" spans="1:12" ht="15" customHeight="1" x14ac:dyDescent="0.35">
      <c r="A9" s="28" t="s">
        <v>18</v>
      </c>
      <c r="B9" s="20" t="s">
        <v>19</v>
      </c>
      <c r="C9" s="20">
        <v>2</v>
      </c>
      <c r="D9" s="20" t="s">
        <v>15</v>
      </c>
      <c r="E9" s="20"/>
      <c r="F9" s="6" t="s">
        <v>108</v>
      </c>
      <c r="G9" s="18" t="s">
        <v>111</v>
      </c>
      <c r="H9" s="19">
        <v>1.7E-8</v>
      </c>
      <c r="I9" s="7" t="s">
        <v>109</v>
      </c>
    </row>
    <row r="10" spans="1:12" ht="15" customHeight="1" x14ac:dyDescent="0.35">
      <c r="A10" s="28" t="s">
        <v>20</v>
      </c>
      <c r="B10" s="20" t="s">
        <v>40</v>
      </c>
      <c r="C10" s="20">
        <v>0.6</v>
      </c>
      <c r="D10" s="20" t="s">
        <v>15</v>
      </c>
      <c r="E10" s="50" t="s">
        <v>223</v>
      </c>
      <c r="F10" s="6" t="s">
        <v>110</v>
      </c>
      <c r="G10" s="18" t="s">
        <v>112</v>
      </c>
      <c r="H10" s="19">
        <v>1.2566289999999999E-6</v>
      </c>
      <c r="I10" s="7" t="s">
        <v>113</v>
      </c>
    </row>
    <row r="11" spans="1:12" ht="15" customHeight="1" x14ac:dyDescent="0.35">
      <c r="A11" s="28" t="s">
        <v>21</v>
      </c>
      <c r="B11" s="20" t="s">
        <v>41</v>
      </c>
      <c r="C11" s="20">
        <v>50</v>
      </c>
      <c r="D11" s="20" t="s">
        <v>23</v>
      </c>
      <c r="E11" s="20"/>
      <c r="F11" s="6" t="s">
        <v>190</v>
      </c>
      <c r="G11" s="18" t="s">
        <v>191</v>
      </c>
      <c r="H11" s="19">
        <f>4*H8*0.0000001</f>
        <v>1.2566370599999999E-6</v>
      </c>
      <c r="I11" s="7" t="s">
        <v>113</v>
      </c>
    </row>
    <row r="12" spans="1:12" ht="15" customHeight="1" x14ac:dyDescent="0.25">
      <c r="A12" s="28" t="s">
        <v>27</v>
      </c>
      <c r="B12" s="20" t="s">
        <v>42</v>
      </c>
      <c r="C12" s="20">
        <v>0.9</v>
      </c>
      <c r="D12" s="20" t="s">
        <v>28</v>
      </c>
      <c r="E12" s="20"/>
      <c r="F12" s="6"/>
      <c r="G12" s="7"/>
      <c r="H12" s="7"/>
      <c r="I12" s="7"/>
    </row>
    <row r="13" spans="1:12" ht="15" customHeight="1" x14ac:dyDescent="0.25">
      <c r="A13" s="28" t="s">
        <v>29</v>
      </c>
      <c r="B13" s="20" t="s">
        <v>30</v>
      </c>
      <c r="C13" s="20">
        <v>4</v>
      </c>
      <c r="D13" s="20" t="s">
        <v>43</v>
      </c>
      <c r="E13" s="20"/>
      <c r="F13" s="6"/>
      <c r="G13" s="7"/>
      <c r="H13" s="7"/>
      <c r="I13" s="7"/>
    </row>
    <row r="14" spans="1:12" ht="15" customHeight="1" x14ac:dyDescent="0.25">
      <c r="A14" s="56" t="s">
        <v>88</v>
      </c>
      <c r="B14" s="20" t="s">
        <v>89</v>
      </c>
      <c r="C14" s="20">
        <v>3.5</v>
      </c>
      <c r="D14" s="20" t="s">
        <v>80</v>
      </c>
      <c r="E14" s="51" t="s">
        <v>178</v>
      </c>
      <c r="F14" s="6"/>
      <c r="G14" s="7"/>
      <c r="H14" s="7"/>
      <c r="I14" s="7"/>
    </row>
    <row r="15" spans="1:12" ht="15" customHeight="1" x14ac:dyDescent="0.25">
      <c r="A15" s="28" t="s">
        <v>98</v>
      </c>
      <c r="B15" s="20" t="s">
        <v>99</v>
      </c>
      <c r="C15" s="20">
        <v>2</v>
      </c>
      <c r="D15" s="20" t="s">
        <v>15</v>
      </c>
      <c r="E15" s="21"/>
      <c r="F15" s="6"/>
      <c r="G15" s="7"/>
      <c r="H15" s="7"/>
      <c r="I15" s="7"/>
    </row>
    <row r="16" spans="1:12" ht="15" customHeight="1" x14ac:dyDescent="0.25">
      <c r="A16" s="36" t="s">
        <v>153</v>
      </c>
      <c r="B16" s="20" t="s">
        <v>154</v>
      </c>
      <c r="C16" s="20">
        <v>0.7</v>
      </c>
      <c r="D16" s="20" t="s">
        <v>15</v>
      </c>
      <c r="E16" s="21"/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4"/>
  <sheetViews>
    <sheetView tabSelected="1" zoomScale="130" zoomScaleNormal="130" workbookViewId="0">
      <selection activeCell="K18" sqref="K18"/>
    </sheetView>
  </sheetViews>
  <sheetFormatPr defaultRowHeight="15" x14ac:dyDescent="0.25"/>
  <cols>
    <col min="1" max="1" width="24.140625" style="25" bestFit="1" customWidth="1"/>
    <col min="2" max="2" width="7.7109375" style="41" bestFit="1" customWidth="1"/>
    <col min="3" max="3" width="6.42578125" style="41" bestFit="1" customWidth="1"/>
    <col min="4" max="4" width="5" style="41" bestFit="1" customWidth="1"/>
    <col min="5" max="5" width="4.28515625" style="25" bestFit="1" customWidth="1"/>
    <col min="6" max="6" width="25.5703125" style="25" bestFit="1" customWidth="1"/>
    <col min="7" max="7" width="7.7109375" style="25" bestFit="1" customWidth="1"/>
    <col min="8" max="9" width="6.42578125" style="25" bestFit="1" customWidth="1"/>
    <col min="10" max="10" width="4.28515625" style="25" bestFit="1" customWidth="1"/>
    <col min="11" max="11" width="26.28515625" style="25" bestFit="1" customWidth="1"/>
    <col min="12" max="12" width="7.7109375" style="25" bestFit="1" customWidth="1"/>
    <col min="13" max="13" width="10" style="25" bestFit="1" customWidth="1"/>
    <col min="14" max="14" width="5.140625" style="25" bestFit="1" customWidth="1"/>
    <col min="15" max="15" width="4.28515625" style="25" bestFit="1" customWidth="1"/>
    <col min="16" max="16" width="16.28515625" style="25" bestFit="1" customWidth="1"/>
    <col min="17" max="17" width="7.42578125" style="25" bestFit="1" customWidth="1"/>
    <col min="18" max="19" width="7" style="25" bestFit="1" customWidth="1"/>
    <col min="20" max="20" width="8.42578125" style="25" bestFit="1" customWidth="1"/>
    <col min="21" max="21" width="9.7109375" style="25" bestFit="1" customWidth="1"/>
    <col min="22" max="22" width="7.42578125" style="25" bestFit="1" customWidth="1"/>
    <col min="23" max="29" width="4.7109375" style="25" bestFit="1" customWidth="1"/>
    <col min="30" max="16384" width="9.140625" style="25"/>
  </cols>
  <sheetData>
    <row r="1" spans="1:22" ht="15" customHeight="1" x14ac:dyDescent="0.25">
      <c r="A1" s="78" t="s">
        <v>106</v>
      </c>
      <c r="B1" s="78"/>
      <c r="C1" s="78"/>
      <c r="D1" s="78"/>
      <c r="E1" s="78"/>
      <c r="F1" s="78" t="s">
        <v>124</v>
      </c>
      <c r="G1" s="78"/>
      <c r="H1" s="78"/>
      <c r="I1" s="78"/>
      <c r="J1" s="78"/>
      <c r="K1" s="78" t="s">
        <v>107</v>
      </c>
      <c r="L1" s="78"/>
      <c r="M1" s="78"/>
      <c r="N1" s="78"/>
      <c r="O1" s="78"/>
      <c r="P1" s="75" t="s">
        <v>217</v>
      </c>
      <c r="Q1" s="76"/>
      <c r="R1" s="76"/>
      <c r="S1" s="76"/>
      <c r="T1" s="76"/>
      <c r="U1" s="77"/>
      <c r="V1" s="24"/>
    </row>
    <row r="2" spans="1:22" ht="15" customHeight="1" x14ac:dyDescent="0.25">
      <c r="A2" s="24" t="s">
        <v>57</v>
      </c>
      <c r="B2" s="26" t="s">
        <v>4</v>
      </c>
      <c r="C2" s="26" t="s">
        <v>5</v>
      </c>
      <c r="D2" s="26" t="s">
        <v>6</v>
      </c>
      <c r="E2" s="24"/>
      <c r="F2" s="24" t="s">
        <v>57</v>
      </c>
      <c r="G2" s="26" t="s">
        <v>4</v>
      </c>
      <c r="H2" s="26" t="s">
        <v>5</v>
      </c>
      <c r="I2" s="26" t="s">
        <v>6</v>
      </c>
      <c r="J2" s="24"/>
      <c r="K2" s="24" t="s">
        <v>57</v>
      </c>
      <c r="L2" s="26" t="s">
        <v>4</v>
      </c>
      <c r="M2" s="26" t="s">
        <v>5</v>
      </c>
      <c r="N2" s="26" t="s">
        <v>6</v>
      </c>
      <c r="O2" s="24"/>
      <c r="P2" s="27" t="s">
        <v>155</v>
      </c>
      <c r="Q2" s="27" t="s">
        <v>6</v>
      </c>
      <c r="R2" s="27" t="s">
        <v>156</v>
      </c>
      <c r="S2" s="27" t="s">
        <v>157</v>
      </c>
      <c r="T2" s="27" t="s">
        <v>170</v>
      </c>
      <c r="U2" s="27" t="s">
        <v>158</v>
      </c>
      <c r="V2" s="20"/>
    </row>
    <row r="3" spans="1:22" ht="15" customHeight="1" x14ac:dyDescent="0.25">
      <c r="A3" s="28" t="s">
        <v>2</v>
      </c>
      <c r="B3" s="20" t="s">
        <v>45</v>
      </c>
      <c r="C3" s="20">
        <f>Parameters!C4*Parameters!C7*Parameters!C9</f>
        <v>24</v>
      </c>
      <c r="D3" s="20" t="s">
        <v>15</v>
      </c>
      <c r="E3" s="24"/>
      <c r="F3" s="29" t="s">
        <v>114</v>
      </c>
      <c r="G3" s="20" t="s">
        <v>115</v>
      </c>
      <c r="H3" s="23">
        <f>1000*SQRT(2*Parameters!H9/(2*Parameters!H8*M8*Parameters!H10))</f>
        <v>6.562147464226471</v>
      </c>
      <c r="I3" s="20" t="s">
        <v>80</v>
      </c>
      <c r="J3" s="28"/>
      <c r="K3" s="28" t="s">
        <v>34</v>
      </c>
      <c r="L3" s="20" t="s">
        <v>44</v>
      </c>
      <c r="M3" s="20">
        <f>Parameters!C4/Parameters!C5</f>
        <v>2</v>
      </c>
      <c r="N3" s="20" t="s">
        <v>15</v>
      </c>
      <c r="O3" s="30"/>
      <c r="P3" s="31" t="s">
        <v>172</v>
      </c>
      <c r="Q3" s="22" t="s">
        <v>174</v>
      </c>
      <c r="R3" s="23">
        <v>15</v>
      </c>
      <c r="S3" s="23">
        <f>R3</f>
        <v>15</v>
      </c>
      <c r="T3" s="23">
        <f>M7</f>
        <v>8.7459583070829847</v>
      </c>
      <c r="U3" s="23">
        <f>100*ABS(S3-T3)/T3</f>
        <v>71.507792209026761</v>
      </c>
      <c r="V3" s="20"/>
    </row>
    <row r="4" spans="1:22" ht="15" customHeight="1" x14ac:dyDescent="0.25">
      <c r="A4" s="28" t="s">
        <v>3</v>
      </c>
      <c r="B4" s="20" t="s">
        <v>24</v>
      </c>
      <c r="C4" s="20">
        <f>Parameters!C9*10</f>
        <v>20</v>
      </c>
      <c r="D4" s="20" t="s">
        <v>15</v>
      </c>
      <c r="E4" s="24"/>
      <c r="F4" s="29" t="s">
        <v>116</v>
      </c>
      <c r="G4" s="20" t="s">
        <v>119</v>
      </c>
      <c r="H4" s="23">
        <f>SQRT(4*M7/(Parameters!H8*Parameters!C13))</f>
        <v>1.6685098131197376</v>
      </c>
      <c r="I4" s="20" t="s">
        <v>80</v>
      </c>
      <c r="J4" s="20"/>
      <c r="K4" s="28" t="s">
        <v>62</v>
      </c>
      <c r="L4" s="20" t="s">
        <v>63</v>
      </c>
      <c r="M4" s="32">
        <f>Parameters!C2/(Parameters!C4*Parameters!H2/100)</f>
        <v>2127.6595744680853</v>
      </c>
      <c r="N4" s="20" t="s">
        <v>7</v>
      </c>
      <c r="O4" s="30"/>
      <c r="P4" s="31" t="s">
        <v>173</v>
      </c>
      <c r="Q4" s="22" t="s">
        <v>175</v>
      </c>
      <c r="R4" s="23">
        <v>557</v>
      </c>
      <c r="S4" s="23">
        <f>R4/(4*SQRT(2)*SQRT(3))</f>
        <v>56.848574447092922</v>
      </c>
      <c r="T4" s="23">
        <f>H15</f>
        <v>29.956922473408429</v>
      </c>
      <c r="U4" s="23">
        <f t="shared" ref="U4:U12" si="0">100*ABS(S4-T4)/T4</f>
        <v>89.767738984387151</v>
      </c>
      <c r="V4" s="21"/>
    </row>
    <row r="5" spans="1:22" ht="15" customHeight="1" x14ac:dyDescent="0.25">
      <c r="A5" s="28" t="s">
        <v>31</v>
      </c>
      <c r="B5" s="20" t="s">
        <v>46</v>
      </c>
      <c r="C5" s="20">
        <f>C3/(C4*Parameters!C7)</f>
        <v>0.4</v>
      </c>
      <c r="D5" s="20" t="s">
        <v>15</v>
      </c>
      <c r="E5" s="24"/>
      <c r="F5" s="29" t="s">
        <v>118</v>
      </c>
      <c r="G5" s="20" t="s">
        <v>117</v>
      </c>
      <c r="H5" s="23">
        <v>1.8288</v>
      </c>
      <c r="I5" s="20" t="s">
        <v>80</v>
      </c>
      <c r="J5" s="79" t="s">
        <v>178</v>
      </c>
      <c r="K5" s="28" t="s">
        <v>65</v>
      </c>
      <c r="L5" s="20" t="s">
        <v>66</v>
      </c>
      <c r="M5" s="20">
        <f>Parameters!C3/Parameters!C5</f>
        <v>270</v>
      </c>
      <c r="N5" s="20" t="s">
        <v>33</v>
      </c>
      <c r="O5" s="30"/>
      <c r="P5" s="29" t="s">
        <v>159</v>
      </c>
      <c r="Q5" s="20" t="s">
        <v>23</v>
      </c>
      <c r="R5" s="23">
        <v>62.21</v>
      </c>
      <c r="S5" s="23">
        <f t="shared" ref="S5:S10" si="1">R5</f>
        <v>62.21</v>
      </c>
      <c r="T5" s="23">
        <f>Parameters!C11</f>
        <v>50</v>
      </c>
      <c r="U5" s="23">
        <f t="shared" si="0"/>
        <v>24.42</v>
      </c>
      <c r="V5" s="20"/>
    </row>
    <row r="6" spans="1:22" ht="15" customHeight="1" x14ac:dyDescent="0.25">
      <c r="A6" s="28" t="s">
        <v>71</v>
      </c>
      <c r="B6" s="20" t="s">
        <v>72</v>
      </c>
      <c r="C6" s="20">
        <f>Parameters!C11*C19</f>
        <v>28.647889789276149</v>
      </c>
      <c r="D6" s="20" t="s">
        <v>73</v>
      </c>
      <c r="E6" s="24"/>
      <c r="F6" s="29" t="s">
        <v>144</v>
      </c>
      <c r="G6" s="20" t="s">
        <v>120</v>
      </c>
      <c r="H6" s="23">
        <v>6.5698400000000001</v>
      </c>
      <c r="I6" s="20" t="s">
        <v>126</v>
      </c>
      <c r="J6" s="79"/>
      <c r="K6" s="28" t="s">
        <v>26</v>
      </c>
      <c r="L6" s="20" t="s">
        <v>48</v>
      </c>
      <c r="M6" s="23">
        <f>0.612*Parameters!C6*M5/SQRT(3)</f>
        <v>95.401358480893776</v>
      </c>
      <c r="N6" s="20" t="s">
        <v>33</v>
      </c>
      <c r="O6" s="21"/>
      <c r="P6" s="29" t="s">
        <v>160</v>
      </c>
      <c r="Q6" s="20" t="s">
        <v>43</v>
      </c>
      <c r="R6" s="23">
        <v>4.75</v>
      </c>
      <c r="S6" s="23">
        <f t="shared" si="1"/>
        <v>4.75</v>
      </c>
      <c r="T6" s="23">
        <f>Parameters!C13</f>
        <v>4</v>
      </c>
      <c r="U6" s="23">
        <f t="shared" si="0"/>
        <v>18.75</v>
      </c>
      <c r="V6" s="20"/>
    </row>
    <row r="7" spans="1:22" ht="15" customHeight="1" x14ac:dyDescent="0.25">
      <c r="A7" s="28" t="s">
        <v>59</v>
      </c>
      <c r="B7" s="20" t="s">
        <v>60</v>
      </c>
      <c r="C7" s="23">
        <f>Parameters!C2/(Parameters!C8*2*Parameters!H8/60)</f>
        <v>127.32395461900511</v>
      </c>
      <c r="D7" s="20" t="s">
        <v>64</v>
      </c>
      <c r="E7" s="24"/>
      <c r="F7" s="29" t="s">
        <v>121</v>
      </c>
      <c r="G7" s="20" t="s">
        <v>122</v>
      </c>
      <c r="H7" s="23">
        <f>Parameters!C15*H13*Parameters!H8*(H5/2)^2*1.25</f>
        <v>197.00786764799284</v>
      </c>
      <c r="I7" s="20" t="s">
        <v>123</v>
      </c>
      <c r="J7" s="20"/>
      <c r="K7" s="28" t="s">
        <v>67</v>
      </c>
      <c r="L7" s="20" t="s">
        <v>68</v>
      </c>
      <c r="M7" s="23">
        <f>M4/(Parameters!H3*'General Calculations'!M6*3)</f>
        <v>8.7459583070829847</v>
      </c>
      <c r="N7" s="20" t="s">
        <v>22</v>
      </c>
      <c r="O7" s="30"/>
      <c r="P7" s="29" t="s">
        <v>171</v>
      </c>
      <c r="Q7" s="20" t="s">
        <v>7</v>
      </c>
      <c r="R7" s="23">
        <v>351.3</v>
      </c>
      <c r="S7" s="23">
        <f t="shared" si="1"/>
        <v>351.3</v>
      </c>
      <c r="T7" s="23">
        <f>H22</f>
        <v>61.157660726613045</v>
      </c>
      <c r="U7" s="23">
        <f t="shared" si="0"/>
        <v>474.41699997385632</v>
      </c>
      <c r="V7" s="20"/>
    </row>
    <row r="8" spans="1:22" ht="15" customHeight="1" x14ac:dyDescent="0.25">
      <c r="A8" s="25" t="s">
        <v>231</v>
      </c>
      <c r="B8" s="20" t="s">
        <v>232</v>
      </c>
      <c r="C8" s="33">
        <f>C7/(2*C6*1000)</f>
        <v>2.2222222222222222E-3</v>
      </c>
      <c r="D8" s="20" t="s">
        <v>75</v>
      </c>
      <c r="E8" s="28"/>
      <c r="F8" s="29"/>
      <c r="G8" s="20"/>
      <c r="H8" s="20"/>
      <c r="I8" s="20"/>
      <c r="J8" s="34"/>
      <c r="K8" s="28" t="s">
        <v>25</v>
      </c>
      <c r="L8" s="20" t="s">
        <v>69</v>
      </c>
      <c r="M8" s="20">
        <f>Parameters!C8*'General Calculations'!C4/120</f>
        <v>100</v>
      </c>
      <c r="N8" s="20" t="s">
        <v>70</v>
      </c>
      <c r="O8" s="30"/>
      <c r="P8" s="29" t="s">
        <v>176</v>
      </c>
      <c r="Q8" s="20" t="s">
        <v>64</v>
      </c>
      <c r="R8" s="23">
        <f>21</f>
        <v>21</v>
      </c>
      <c r="S8" s="23">
        <f t="shared" si="1"/>
        <v>21</v>
      </c>
      <c r="T8" s="23">
        <f>C7</f>
        <v>127.32395461900511</v>
      </c>
      <c r="U8" s="23">
        <f t="shared" si="0"/>
        <v>83.506638587500007</v>
      </c>
      <c r="V8" s="20"/>
    </row>
    <row r="9" spans="1:22" ht="15" customHeight="1" x14ac:dyDescent="0.25">
      <c r="A9" s="28" t="s">
        <v>74</v>
      </c>
      <c r="B9" s="20" t="s">
        <v>74</v>
      </c>
      <c r="C9" s="33">
        <f>4*C8/Parameters!H8</f>
        <v>2.8294212137556689E-3</v>
      </c>
      <c r="D9" s="20" t="s">
        <v>75</v>
      </c>
      <c r="E9" s="24"/>
      <c r="F9" s="29"/>
      <c r="G9" s="20"/>
      <c r="H9" s="20"/>
      <c r="I9" s="20"/>
      <c r="J9" s="34"/>
      <c r="K9" s="28"/>
      <c r="L9" s="28"/>
      <c r="M9" s="28"/>
      <c r="N9" s="28"/>
      <c r="O9" s="30"/>
      <c r="P9" s="29" t="s">
        <v>177</v>
      </c>
      <c r="Q9" s="20" t="s">
        <v>15</v>
      </c>
      <c r="R9" s="23">
        <f>1.26</f>
        <v>1.26</v>
      </c>
      <c r="S9" s="23">
        <f t="shared" si="1"/>
        <v>1.26</v>
      </c>
      <c r="T9" s="23">
        <f>M21</f>
        <v>0.75422189569649689</v>
      </c>
      <c r="U9" s="23">
        <f t="shared" si="0"/>
        <v>67.059589119517028</v>
      </c>
      <c r="V9" s="20"/>
    </row>
    <row r="10" spans="1:22" ht="15" customHeight="1" x14ac:dyDescent="0.25">
      <c r="A10" s="28" t="s">
        <v>76</v>
      </c>
      <c r="B10" s="20" t="s">
        <v>77</v>
      </c>
      <c r="C10" s="20">
        <v>0.3</v>
      </c>
      <c r="D10" s="20" t="s">
        <v>15</v>
      </c>
      <c r="E10" s="51" t="s">
        <v>178</v>
      </c>
      <c r="F10" s="78" t="s">
        <v>128</v>
      </c>
      <c r="G10" s="78"/>
      <c r="H10" s="78"/>
      <c r="I10" s="78"/>
      <c r="J10" s="78"/>
      <c r="K10" s="78" t="s">
        <v>125</v>
      </c>
      <c r="L10" s="78"/>
      <c r="M10" s="78"/>
      <c r="N10" s="78"/>
      <c r="O10" s="78"/>
      <c r="P10" s="31" t="s">
        <v>184</v>
      </c>
      <c r="Q10" s="22" t="s">
        <v>80</v>
      </c>
      <c r="R10" s="35">
        <v>105.62</v>
      </c>
      <c r="S10" s="23">
        <f t="shared" si="1"/>
        <v>105.62</v>
      </c>
      <c r="T10" s="23">
        <f>C12+C17</f>
        <v>96.555114987268894</v>
      </c>
      <c r="U10" s="23">
        <f t="shared" si="0"/>
        <v>9.3883011934959075</v>
      </c>
    </row>
    <row r="11" spans="1:22" ht="15" customHeight="1" x14ac:dyDescent="0.25">
      <c r="A11" s="28" t="s">
        <v>78</v>
      </c>
      <c r="B11" s="20" t="s">
        <v>79</v>
      </c>
      <c r="C11" s="32">
        <f>1000*(C9/C10)^(1/3)</f>
        <v>211.2801923321104</v>
      </c>
      <c r="D11" s="20" t="s">
        <v>80</v>
      </c>
      <c r="E11" s="28"/>
      <c r="F11" s="29" t="s">
        <v>1</v>
      </c>
      <c r="G11" s="20" t="s">
        <v>47</v>
      </c>
      <c r="H11" s="20">
        <v>0.93300000000000005</v>
      </c>
      <c r="I11" s="20" t="s">
        <v>15</v>
      </c>
      <c r="J11" s="48" t="s">
        <v>179</v>
      </c>
      <c r="K11" s="73" t="s">
        <v>130</v>
      </c>
      <c r="L11" s="20" t="s">
        <v>129</v>
      </c>
      <c r="M11" s="20">
        <v>15</v>
      </c>
      <c r="N11" s="20" t="s">
        <v>80</v>
      </c>
      <c r="O11" s="79" t="s">
        <v>178</v>
      </c>
      <c r="P11" s="31" t="s">
        <v>185</v>
      </c>
      <c r="Q11" s="20" t="s">
        <v>166</v>
      </c>
      <c r="R11" s="35">
        <f>0.6986*1000</f>
        <v>698.6</v>
      </c>
      <c r="S11" s="35">
        <f>R11/4</f>
        <v>174.65</v>
      </c>
      <c r="T11" s="23">
        <f>H19</f>
        <v>66.627698821977219</v>
      </c>
      <c r="U11" s="23">
        <f t="shared" si="0"/>
        <v>162.12821857565268</v>
      </c>
    </row>
    <row r="12" spans="1:22" ht="15" customHeight="1" x14ac:dyDescent="0.25">
      <c r="A12" s="28" t="s">
        <v>81</v>
      </c>
      <c r="B12" s="20" t="s">
        <v>82</v>
      </c>
      <c r="C12" s="32">
        <f>C11*C10</f>
        <v>63.384057699633118</v>
      </c>
      <c r="D12" s="20" t="s">
        <v>80</v>
      </c>
      <c r="E12" s="36"/>
      <c r="F12" s="29" t="s">
        <v>93</v>
      </c>
      <c r="G12" s="20" t="s">
        <v>127</v>
      </c>
      <c r="H12" s="37">
        <f>0.001*2*C11*C12*Parameters!C12/C4</f>
        <v>1.2052616311411262</v>
      </c>
      <c r="I12" s="20" t="s">
        <v>96</v>
      </c>
      <c r="J12" s="21"/>
      <c r="K12" s="70" t="s">
        <v>131</v>
      </c>
      <c r="L12" s="20" t="s">
        <v>133</v>
      </c>
      <c r="M12" s="20">
        <v>2</v>
      </c>
      <c r="N12" s="20" t="s">
        <v>80</v>
      </c>
      <c r="O12" s="79"/>
      <c r="P12" s="22" t="s">
        <v>1</v>
      </c>
      <c r="Q12" s="22" t="s">
        <v>15</v>
      </c>
      <c r="R12" s="37">
        <v>0.93300000000000005</v>
      </c>
      <c r="S12" s="37">
        <f>R12</f>
        <v>0.93300000000000005</v>
      </c>
      <c r="T12" s="37">
        <f>H11</f>
        <v>0.93300000000000005</v>
      </c>
      <c r="U12" s="23">
        <f t="shared" si="0"/>
        <v>0</v>
      </c>
    </row>
    <row r="13" spans="1:22" ht="15" customHeight="1" x14ac:dyDescent="0.25">
      <c r="A13" s="28" t="s">
        <v>91</v>
      </c>
      <c r="B13" s="20" t="s">
        <v>91</v>
      </c>
      <c r="C13" s="23">
        <v>1.2</v>
      </c>
      <c r="D13" s="20" t="s">
        <v>15</v>
      </c>
      <c r="E13" s="51" t="s">
        <v>178</v>
      </c>
      <c r="F13" s="28" t="s">
        <v>97</v>
      </c>
      <c r="G13" s="20" t="s">
        <v>100</v>
      </c>
      <c r="H13" s="20">
        <v>30</v>
      </c>
      <c r="I13" s="20" t="s">
        <v>15</v>
      </c>
      <c r="J13" s="51" t="s">
        <v>178</v>
      </c>
      <c r="K13" s="70" t="s">
        <v>132</v>
      </c>
      <c r="L13" s="20" t="s">
        <v>134</v>
      </c>
      <c r="M13" s="20">
        <v>2</v>
      </c>
      <c r="N13" s="20" t="s">
        <v>80</v>
      </c>
      <c r="O13" s="79"/>
      <c r="R13" s="38"/>
      <c r="S13" s="38"/>
      <c r="T13" s="38"/>
      <c r="U13" s="38"/>
    </row>
    <row r="14" spans="1:22" ht="15" customHeight="1" x14ac:dyDescent="0.25">
      <c r="A14" s="28" t="s">
        <v>83</v>
      </c>
      <c r="B14" s="20" t="s">
        <v>84</v>
      </c>
      <c r="C14" s="32">
        <f>C13*C11</f>
        <v>253.53623079853247</v>
      </c>
      <c r="D14" s="20" t="s">
        <v>80</v>
      </c>
      <c r="E14" s="28"/>
      <c r="F14" s="28" t="s">
        <v>103</v>
      </c>
      <c r="G14" s="20" t="s">
        <v>104</v>
      </c>
      <c r="H14" s="20">
        <f>'General Calculations'!H13*Parameters!C9*Parameters!C15/2</f>
        <v>60</v>
      </c>
      <c r="I14" s="20" t="s">
        <v>15</v>
      </c>
      <c r="J14" s="21"/>
      <c r="K14" s="70" t="s">
        <v>135</v>
      </c>
      <c r="L14" s="20" t="s">
        <v>136</v>
      </c>
      <c r="M14" s="23">
        <f>C14/2-C11/2-M11-M12-M13-M19</f>
        <v>0.12801923321103459</v>
      </c>
      <c r="N14" s="20" t="s">
        <v>80</v>
      </c>
      <c r="O14" s="21"/>
      <c r="R14" s="38"/>
      <c r="S14" s="38"/>
      <c r="T14" s="38"/>
      <c r="U14" s="38"/>
    </row>
    <row r="15" spans="1:22" ht="15" customHeight="1" x14ac:dyDescent="0.25">
      <c r="A15" s="28" t="s">
        <v>85</v>
      </c>
      <c r="B15" s="20" t="s">
        <v>86</v>
      </c>
      <c r="C15" s="20">
        <v>1</v>
      </c>
      <c r="D15" s="20" t="s">
        <v>80</v>
      </c>
      <c r="E15" s="21"/>
      <c r="F15" s="28" t="s">
        <v>143</v>
      </c>
      <c r="G15" s="20" t="s">
        <v>102</v>
      </c>
      <c r="H15" s="23">
        <f>4.44*H12*M8*H14*H11/1000</f>
        <v>29.956922473408429</v>
      </c>
      <c r="I15" s="20" t="s">
        <v>33</v>
      </c>
      <c r="J15" s="36"/>
      <c r="K15" s="70" t="s">
        <v>145</v>
      </c>
      <c r="L15" s="20" t="s">
        <v>148</v>
      </c>
      <c r="M15" s="22">
        <v>13</v>
      </c>
      <c r="N15" s="22" t="s">
        <v>80</v>
      </c>
      <c r="O15" s="51" t="s">
        <v>178</v>
      </c>
      <c r="R15" s="38"/>
      <c r="S15" s="38"/>
      <c r="T15" s="38"/>
      <c r="U15" s="38"/>
    </row>
    <row r="16" spans="1:22" ht="15" customHeight="1" x14ac:dyDescent="0.25">
      <c r="A16" s="28" t="s">
        <v>92</v>
      </c>
      <c r="B16" s="53" t="s">
        <v>227</v>
      </c>
      <c r="C16" s="23">
        <f>Parameters!H8*C11/'General Calculations'!C3</f>
        <v>27.65651247171435</v>
      </c>
      <c r="D16" s="20" t="s">
        <v>80</v>
      </c>
      <c r="E16" s="28"/>
      <c r="F16" s="28" t="s">
        <v>233</v>
      </c>
      <c r="G16" s="20" t="s">
        <v>234</v>
      </c>
      <c r="H16" s="20">
        <f>H15*Parameters!C4</f>
        <v>119.82768989363372</v>
      </c>
      <c r="I16" s="20" t="s">
        <v>33</v>
      </c>
      <c r="J16" s="28"/>
      <c r="K16" s="73" t="s">
        <v>139</v>
      </c>
      <c r="L16" s="20" t="s">
        <v>138</v>
      </c>
      <c r="M16" s="23">
        <f>C17-M15</f>
        <v>20.171057287635783</v>
      </c>
      <c r="N16" s="20" t="s">
        <v>80</v>
      </c>
      <c r="O16" s="21"/>
      <c r="R16" s="38"/>
      <c r="S16" s="38"/>
      <c r="T16" s="38"/>
      <c r="U16" s="38"/>
    </row>
    <row r="17" spans="1:21" ht="15" customHeight="1" x14ac:dyDescent="0.25">
      <c r="A17" s="56" t="s">
        <v>149</v>
      </c>
      <c r="B17" s="53" t="s">
        <v>228</v>
      </c>
      <c r="C17" s="23">
        <f>Parameters!H8*(C14-M14)/C3</f>
        <v>33.171057287635783</v>
      </c>
      <c r="D17" s="20" t="s">
        <v>80</v>
      </c>
      <c r="E17" s="28"/>
      <c r="F17" s="78" t="s">
        <v>161</v>
      </c>
      <c r="G17" s="78"/>
      <c r="H17" s="78"/>
      <c r="I17" s="78"/>
      <c r="J17" s="78"/>
      <c r="K17" s="70" t="s">
        <v>140</v>
      </c>
      <c r="L17" s="20" t="s">
        <v>141</v>
      </c>
      <c r="M17" s="23">
        <f>C16-M15</f>
        <v>14.65651247171435</v>
      </c>
      <c r="N17" s="20" t="s">
        <v>80</v>
      </c>
      <c r="O17" s="21"/>
      <c r="R17" s="38"/>
      <c r="S17" s="38"/>
      <c r="T17" s="38"/>
      <c r="U17" s="38"/>
    </row>
    <row r="18" spans="1:21" ht="15" customHeight="1" x14ac:dyDescent="0.25">
      <c r="A18" s="36" t="s">
        <v>214</v>
      </c>
      <c r="B18" s="20" t="s">
        <v>215</v>
      </c>
      <c r="C18" s="37">
        <f>(M15)/C16</f>
        <v>0.47005203614503915</v>
      </c>
      <c r="D18" s="20" t="s">
        <v>15</v>
      </c>
      <c r="E18" s="28"/>
      <c r="F18" s="28" t="s">
        <v>162</v>
      </c>
      <c r="G18" s="20" t="s">
        <v>163</v>
      </c>
      <c r="H18" s="23">
        <f>2*Parameters!C9*C12*1.2</f>
        <v>304.24347695823894</v>
      </c>
      <c r="I18" s="20" t="s">
        <v>80</v>
      </c>
      <c r="J18" s="40"/>
      <c r="K18" s="70" t="s">
        <v>137</v>
      </c>
      <c r="L18" s="20" t="s">
        <v>142</v>
      </c>
      <c r="M18" s="20">
        <v>2.5</v>
      </c>
      <c r="N18" s="20" t="s">
        <v>80</v>
      </c>
      <c r="O18" s="20"/>
      <c r="R18" s="38">
        <f>80*4*SQRT(3)</f>
        <v>554.25625842204067</v>
      </c>
      <c r="S18" s="38"/>
      <c r="T18" s="38"/>
      <c r="U18" s="38"/>
    </row>
    <row r="19" spans="1:21" ht="15" customHeight="1" x14ac:dyDescent="0.25">
      <c r="A19" s="28" t="s">
        <v>226</v>
      </c>
      <c r="B19" s="20" t="s">
        <v>229</v>
      </c>
      <c r="C19" s="37">
        <f>Parameters!C12*2/Parameters!H8</f>
        <v>0.57295779578552297</v>
      </c>
      <c r="D19" s="20" t="s">
        <v>28</v>
      </c>
      <c r="E19" s="39"/>
      <c r="F19" s="28" t="s">
        <v>164</v>
      </c>
      <c r="G19" s="20" t="s">
        <v>165</v>
      </c>
      <c r="H19" s="23">
        <f>H18*H6/(H13)</f>
        <v>66.627698821977219</v>
      </c>
      <c r="I19" s="20" t="s">
        <v>166</v>
      </c>
      <c r="J19" s="20"/>
      <c r="K19" s="72" t="s">
        <v>146</v>
      </c>
      <c r="L19" s="20" t="s">
        <v>147</v>
      </c>
      <c r="M19" s="20">
        <v>2</v>
      </c>
      <c r="N19" s="20" t="s">
        <v>80</v>
      </c>
      <c r="O19" s="51" t="s">
        <v>178</v>
      </c>
      <c r="R19" s="38"/>
      <c r="S19" s="38"/>
      <c r="T19" s="38"/>
      <c r="U19" s="38"/>
    </row>
    <row r="20" spans="1:21" ht="15" customHeight="1" x14ac:dyDescent="0.25">
      <c r="A20" s="54" t="s">
        <v>235</v>
      </c>
      <c r="B20" s="55"/>
      <c r="C20" s="55">
        <f>C19*PI()/2/C18</f>
        <v>1.91468163484499</v>
      </c>
      <c r="D20" s="55" t="s">
        <v>28</v>
      </c>
      <c r="E20" s="39"/>
      <c r="F20" s="28" t="s">
        <v>181</v>
      </c>
      <c r="G20" s="20" t="s">
        <v>167</v>
      </c>
      <c r="H20" s="20">
        <f>M7^2*H19/1000</f>
        <v>5.0964717272177538</v>
      </c>
      <c r="I20" s="20" t="s">
        <v>7</v>
      </c>
      <c r="J20" s="20"/>
      <c r="K20" s="72" t="s">
        <v>150</v>
      </c>
      <c r="L20" s="20" t="s">
        <v>151</v>
      </c>
      <c r="M20" s="23">
        <f>(M16+M17)*M11/2</f>
        <v>261.206773195126</v>
      </c>
      <c r="N20" s="20" t="s">
        <v>123</v>
      </c>
      <c r="O20" s="20"/>
      <c r="R20" s="38"/>
      <c r="S20" s="38"/>
      <c r="T20" s="38"/>
      <c r="U20" s="38"/>
    </row>
    <row r="21" spans="1:21" ht="15" customHeight="1" x14ac:dyDescent="0.25">
      <c r="A21" s="28"/>
      <c r="B21" s="20"/>
      <c r="C21" s="32"/>
      <c r="D21" s="20"/>
      <c r="E21" s="39"/>
      <c r="F21" s="28" t="s">
        <v>180</v>
      </c>
      <c r="G21" s="20" t="s">
        <v>182</v>
      </c>
      <c r="H21" s="20">
        <v>0</v>
      </c>
      <c r="I21" s="20" t="s">
        <v>7</v>
      </c>
      <c r="J21" s="20"/>
      <c r="K21" s="72" t="s">
        <v>20</v>
      </c>
      <c r="L21" s="22" t="s">
        <v>152</v>
      </c>
      <c r="M21" s="23">
        <f>H7/M20</f>
        <v>0.75422189569649689</v>
      </c>
      <c r="N21" s="22" t="s">
        <v>15</v>
      </c>
      <c r="O21" s="20"/>
      <c r="R21" s="38"/>
      <c r="S21" s="38"/>
      <c r="T21" s="38"/>
      <c r="U21" s="38"/>
    </row>
    <row r="22" spans="1:21" ht="15" customHeight="1" x14ac:dyDescent="0.25">
      <c r="A22" s="28"/>
      <c r="B22" s="20"/>
      <c r="C22" s="32"/>
      <c r="D22" s="20"/>
      <c r="E22" s="39"/>
      <c r="F22" s="28" t="s">
        <v>168</v>
      </c>
      <c r="G22" s="20" t="s">
        <v>183</v>
      </c>
      <c r="H22" s="20">
        <f>H20*Parameters!C4*Parameters!C7+H21</f>
        <v>61.157660726613045</v>
      </c>
      <c r="I22" s="20" t="s">
        <v>7</v>
      </c>
      <c r="J22" s="20"/>
    </row>
    <row r="23" spans="1:21" ht="15" customHeight="1" x14ac:dyDescent="0.25">
      <c r="F23" s="42" t="s">
        <v>169</v>
      </c>
      <c r="G23" s="43" t="s">
        <v>197</v>
      </c>
      <c r="H23" s="20">
        <f>Parameters!C2/(Parameters!C2+'General Calculations'!H22)*100</f>
        <v>99.241329058423347</v>
      </c>
      <c r="I23" s="20" t="s">
        <v>15</v>
      </c>
      <c r="J23" s="44"/>
      <c r="K23" s="78" t="s">
        <v>186</v>
      </c>
      <c r="L23" s="78"/>
      <c r="M23" s="78"/>
      <c r="N23" s="78"/>
      <c r="O23" s="78"/>
    </row>
    <row r="24" spans="1:21" ht="15" customHeight="1" x14ac:dyDescent="0.25">
      <c r="F24" s="42"/>
      <c r="G24" s="43"/>
      <c r="H24" s="20"/>
      <c r="I24" s="20"/>
      <c r="J24" s="44"/>
      <c r="K24" s="70" t="s">
        <v>198</v>
      </c>
      <c r="L24" s="20" t="s">
        <v>199</v>
      </c>
      <c r="M24" s="37">
        <f>2*Parameters!H8*Parameters!C16/'General Calculations'!C4</f>
        <v>0.2199114855</v>
      </c>
      <c r="N24" s="20" t="s">
        <v>200</v>
      </c>
      <c r="O24" s="20"/>
    </row>
    <row r="25" spans="1:21" ht="15" customHeight="1" x14ac:dyDescent="0.25">
      <c r="F25" s="42"/>
      <c r="G25" s="43"/>
      <c r="H25" s="20"/>
      <c r="I25" s="20"/>
      <c r="J25" s="44"/>
      <c r="K25" s="70" t="s">
        <v>198</v>
      </c>
      <c r="L25" s="20" t="s">
        <v>199</v>
      </c>
      <c r="M25" s="20">
        <f>M24*180/Parameters!H8</f>
        <v>12.6</v>
      </c>
      <c r="N25" s="20" t="s">
        <v>201</v>
      </c>
      <c r="O25" s="20"/>
    </row>
    <row r="26" spans="1:21" ht="15" customHeight="1" x14ac:dyDescent="0.25">
      <c r="F26" s="42"/>
      <c r="G26" s="43"/>
      <c r="H26" s="20"/>
      <c r="I26" s="20"/>
      <c r="J26" s="44"/>
      <c r="K26" s="70" t="s">
        <v>187</v>
      </c>
      <c r="L26" s="20" t="s">
        <v>193</v>
      </c>
      <c r="M26" s="23">
        <f>(M24*(C11/2-C15/2)+2*C15)*(C12+2*C15)/100</f>
        <v>16.425465688366973</v>
      </c>
      <c r="N26" s="20" t="s">
        <v>202</v>
      </c>
      <c r="O26" s="26"/>
    </row>
    <row r="27" spans="1:21" ht="15" customHeight="1" x14ac:dyDescent="0.25">
      <c r="F27" s="28"/>
      <c r="G27" s="20"/>
      <c r="H27" s="20"/>
      <c r="I27" s="20"/>
      <c r="J27" s="44"/>
      <c r="K27" s="70" t="s">
        <v>188</v>
      </c>
      <c r="L27" s="20" t="s">
        <v>194</v>
      </c>
      <c r="M27" s="23">
        <f>(M24*(C11/2-C15/2-Parameters!C14/2)+2*C15)*(C12)/100</f>
        <v>15.679104953696651</v>
      </c>
      <c r="N27" s="20" t="s">
        <v>202</v>
      </c>
      <c r="O27" s="20"/>
    </row>
    <row r="28" spans="1:21" ht="18" customHeight="1" x14ac:dyDescent="0.25">
      <c r="K28" s="70" t="s">
        <v>203</v>
      </c>
      <c r="L28" s="20" t="s">
        <v>204</v>
      </c>
      <c r="M28" s="23">
        <f>M27/M26</f>
        <v>0.95456075652096017</v>
      </c>
      <c r="N28" s="20" t="s">
        <v>15</v>
      </c>
      <c r="O28" s="20"/>
    </row>
    <row r="29" spans="1:21" ht="18" customHeight="1" x14ac:dyDescent="0.25">
      <c r="F29" s="29" t="s">
        <v>213</v>
      </c>
      <c r="G29" s="20" t="s">
        <v>210</v>
      </c>
      <c r="H29" s="20">
        <v>1.05</v>
      </c>
      <c r="I29" s="20" t="s">
        <v>15</v>
      </c>
      <c r="J29" s="49" t="s">
        <v>216</v>
      </c>
      <c r="K29" s="70" t="s">
        <v>205</v>
      </c>
      <c r="L29" s="20" t="s">
        <v>206</v>
      </c>
      <c r="M29" s="23">
        <f>M27*C15/(M26*Parameters!C14)</f>
        <v>0.27273164472027434</v>
      </c>
      <c r="N29" s="20" t="s">
        <v>15</v>
      </c>
      <c r="O29" s="20"/>
      <c r="P29" s="25">
        <f>1/M29</f>
        <v>3.6666078885918951</v>
      </c>
    </row>
    <row r="30" spans="1:21" ht="18" customHeight="1" x14ac:dyDescent="0.25">
      <c r="F30" s="29" t="s">
        <v>212</v>
      </c>
      <c r="G30" s="20" t="s">
        <v>211</v>
      </c>
      <c r="H30" s="20">
        <v>0.15</v>
      </c>
      <c r="I30" s="20" t="s">
        <v>15</v>
      </c>
      <c r="J30" s="49" t="s">
        <v>216</v>
      </c>
      <c r="K30" s="70" t="s">
        <v>189</v>
      </c>
      <c r="L30" s="20" t="s">
        <v>195</v>
      </c>
      <c r="M30" s="20">
        <v>1.1000000000000001</v>
      </c>
      <c r="N30" s="20" t="s">
        <v>15</v>
      </c>
      <c r="O30" s="51" t="s">
        <v>178</v>
      </c>
    </row>
    <row r="31" spans="1:21" ht="18" customHeight="1" x14ac:dyDescent="0.25">
      <c r="F31" s="47" t="s">
        <v>218</v>
      </c>
      <c r="G31" s="20" t="s">
        <v>219</v>
      </c>
      <c r="H31" s="40">
        <v>0.95</v>
      </c>
      <c r="I31" s="40"/>
      <c r="J31" s="41"/>
      <c r="K31" s="70" t="s">
        <v>192</v>
      </c>
      <c r="L31" s="20" t="s">
        <v>196</v>
      </c>
      <c r="M31" s="45">
        <f>M30*Parameters!H11</f>
        <v>1.3823007660000001E-6</v>
      </c>
      <c r="N31" s="20" t="s">
        <v>113</v>
      </c>
      <c r="O31" s="20"/>
    </row>
    <row r="32" spans="1:21" ht="18" x14ac:dyDescent="0.25">
      <c r="F32" s="29" t="s">
        <v>221</v>
      </c>
      <c r="G32" s="20" t="s">
        <v>220</v>
      </c>
      <c r="H32" s="20">
        <v>1.1000000000000001</v>
      </c>
      <c r="I32" s="20"/>
      <c r="J32" s="41"/>
      <c r="K32" s="71" t="s">
        <v>207</v>
      </c>
      <c r="L32" s="20" t="s">
        <v>208</v>
      </c>
      <c r="M32" s="23">
        <v>1</v>
      </c>
      <c r="N32" s="20" t="s">
        <v>28</v>
      </c>
      <c r="O32" s="51" t="s">
        <v>178</v>
      </c>
    </row>
    <row r="33" spans="6:15" ht="18" x14ac:dyDescent="0.25">
      <c r="F33" s="29"/>
      <c r="G33" s="20"/>
      <c r="H33" s="20"/>
      <c r="I33" s="20"/>
      <c r="J33" s="41"/>
      <c r="K33" s="71" t="s">
        <v>222</v>
      </c>
      <c r="L33" s="20" t="s">
        <v>209</v>
      </c>
      <c r="M33" s="23">
        <f>M28*M32/(1+M30*M29*H29*(1+H30))</f>
        <v>0.70072063671599039</v>
      </c>
      <c r="N33" s="20" t="s">
        <v>28</v>
      </c>
      <c r="O33" s="20"/>
    </row>
    <row r="34" spans="6:15" ht="18" x14ac:dyDescent="0.25">
      <c r="F34" s="28"/>
      <c r="G34" s="28"/>
      <c r="H34" s="28"/>
      <c r="I34" s="28"/>
      <c r="K34" s="71" t="s">
        <v>222</v>
      </c>
      <c r="L34" s="20" t="s">
        <v>209</v>
      </c>
      <c r="M34" s="23">
        <f>M28*M32*H31/(1+H32*M30*M29)</f>
        <v>0.6818263998174523</v>
      </c>
      <c r="N34" s="20" t="s">
        <v>28</v>
      </c>
    </row>
  </sheetData>
  <mergeCells count="10">
    <mergeCell ref="P1:U1"/>
    <mergeCell ref="K23:O23"/>
    <mergeCell ref="F17:J17"/>
    <mergeCell ref="A1:E1"/>
    <mergeCell ref="K1:O1"/>
    <mergeCell ref="J5:J6"/>
    <mergeCell ref="F1:J1"/>
    <mergeCell ref="F10:J10"/>
    <mergeCell ref="K10:O10"/>
    <mergeCell ref="O11:O1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205" zoomScaleNormal="205" workbookViewId="0">
      <selection activeCell="F16" sqref="F16"/>
    </sheetView>
  </sheetViews>
  <sheetFormatPr defaultRowHeight="12.95" customHeight="1" x14ac:dyDescent="0.25"/>
  <cols>
    <col min="1" max="1" width="23" style="64" bestFit="1" customWidth="1"/>
    <col min="2" max="2" width="5.42578125" style="65" customWidth="1"/>
    <col min="3" max="3" width="4.85546875" style="65" bestFit="1" customWidth="1"/>
    <col min="4" max="4" width="4" style="65" bestFit="1" customWidth="1"/>
    <col min="5" max="5" width="2.7109375" style="65" customWidth="1"/>
    <col min="6" max="6" width="24.42578125" style="64" bestFit="1" customWidth="1"/>
    <col min="7" max="7" width="4.7109375" style="65" bestFit="1" customWidth="1"/>
    <col min="8" max="8" width="4.85546875" style="65" bestFit="1" customWidth="1"/>
    <col min="9" max="9" width="3.5703125" style="65" bestFit="1" customWidth="1"/>
    <col min="10" max="10" width="2.5703125" style="65" customWidth="1"/>
    <col min="11" max="16384" width="9.140625" style="64"/>
  </cols>
  <sheetData>
    <row r="1" spans="1:10" ht="12.95" customHeight="1" x14ac:dyDescent="0.25">
      <c r="A1" s="80" t="s">
        <v>236</v>
      </c>
      <c r="B1" s="80"/>
      <c r="C1" s="80"/>
      <c r="D1" s="80"/>
      <c r="E1" s="80"/>
      <c r="F1" s="81" t="s">
        <v>238</v>
      </c>
      <c r="G1" s="80"/>
      <c r="H1" s="80"/>
      <c r="I1" s="80"/>
      <c r="J1" s="80"/>
    </row>
    <row r="2" spans="1:10" ht="12.95" customHeight="1" x14ac:dyDescent="0.25">
      <c r="A2" s="61" t="s">
        <v>237</v>
      </c>
      <c r="B2" s="58" t="s">
        <v>239</v>
      </c>
      <c r="C2" s="60">
        <v>8000</v>
      </c>
      <c r="D2" s="58" t="s">
        <v>7</v>
      </c>
      <c r="E2" s="58"/>
      <c r="F2" s="67" t="s">
        <v>34</v>
      </c>
      <c r="G2" s="58" t="s">
        <v>240</v>
      </c>
      <c r="H2" s="58">
        <f>C4/C5</f>
        <v>2</v>
      </c>
      <c r="I2" s="58" t="s">
        <v>15</v>
      </c>
      <c r="J2" s="58"/>
    </row>
    <row r="3" spans="1:10" ht="12.95" customHeight="1" x14ac:dyDescent="0.25">
      <c r="A3" s="61" t="s">
        <v>32</v>
      </c>
      <c r="B3" s="58" t="s">
        <v>241</v>
      </c>
      <c r="C3" s="58">
        <v>540</v>
      </c>
      <c r="D3" s="58" t="s">
        <v>33</v>
      </c>
      <c r="E3" s="58"/>
      <c r="F3" s="67" t="s">
        <v>62</v>
      </c>
      <c r="G3" s="58" t="s">
        <v>242</v>
      </c>
      <c r="H3" s="60">
        <f>C2/C4</f>
        <v>2000</v>
      </c>
      <c r="I3" s="58" t="s">
        <v>7</v>
      </c>
      <c r="J3" s="58"/>
    </row>
    <row r="4" spans="1:10" ht="12.95" customHeight="1" x14ac:dyDescent="0.25">
      <c r="A4" s="61" t="s">
        <v>9</v>
      </c>
      <c r="B4" s="58" t="s">
        <v>13</v>
      </c>
      <c r="C4" s="58">
        <v>4</v>
      </c>
      <c r="D4" s="58" t="s">
        <v>15</v>
      </c>
      <c r="E4" s="58"/>
      <c r="F4" s="67" t="s">
        <v>250</v>
      </c>
      <c r="G4" s="58" t="s">
        <v>251</v>
      </c>
      <c r="H4" s="60">
        <f>H3/C9</f>
        <v>2298.8505747126437</v>
      </c>
      <c r="I4" s="58" t="s">
        <v>252</v>
      </c>
      <c r="J4" s="58"/>
    </row>
    <row r="5" spans="1:10" ht="12.95" customHeight="1" x14ac:dyDescent="0.25">
      <c r="A5" s="61" t="s">
        <v>10</v>
      </c>
      <c r="B5" s="58" t="s">
        <v>244</v>
      </c>
      <c r="C5" s="58">
        <v>2</v>
      </c>
      <c r="D5" s="58" t="s">
        <v>15</v>
      </c>
      <c r="E5" s="58"/>
      <c r="F5" s="67" t="s">
        <v>272</v>
      </c>
      <c r="G5" s="58" t="s">
        <v>273</v>
      </c>
      <c r="H5" s="60">
        <f>SQRT(H4^2-H3^2)</f>
        <v>1133.4522331605565</v>
      </c>
      <c r="I5" s="58" t="s">
        <v>7</v>
      </c>
      <c r="J5" s="58"/>
    </row>
    <row r="6" spans="1:10" ht="12.95" customHeight="1" x14ac:dyDescent="0.25">
      <c r="A6" s="62" t="s">
        <v>11</v>
      </c>
      <c r="B6" s="58" t="s">
        <v>246</v>
      </c>
      <c r="C6" s="58">
        <v>1</v>
      </c>
      <c r="D6" s="58" t="s">
        <v>15</v>
      </c>
      <c r="E6" s="58"/>
      <c r="F6" s="67" t="s">
        <v>65</v>
      </c>
      <c r="G6" s="58" t="s">
        <v>243</v>
      </c>
      <c r="H6" s="58">
        <f>C3/C5</f>
        <v>270</v>
      </c>
      <c r="I6" s="58" t="s">
        <v>33</v>
      </c>
      <c r="J6" s="58"/>
    </row>
    <row r="7" spans="1:10" ht="12.95" customHeight="1" x14ac:dyDescent="0.25">
      <c r="A7" s="61" t="s">
        <v>12</v>
      </c>
      <c r="B7" s="58" t="s">
        <v>14</v>
      </c>
      <c r="C7" s="58">
        <v>3</v>
      </c>
      <c r="D7" s="58" t="s">
        <v>15</v>
      </c>
      <c r="E7" s="58"/>
      <c r="F7" s="67" t="s">
        <v>26</v>
      </c>
      <c r="G7" s="58" t="s">
        <v>245</v>
      </c>
      <c r="H7" s="59">
        <f>0.612*C6*H6/SQRT(3)</f>
        <v>95.401358480893776</v>
      </c>
      <c r="I7" s="58" t="s">
        <v>33</v>
      </c>
      <c r="J7" s="58"/>
    </row>
    <row r="8" spans="1:10" ht="12.95" customHeight="1" x14ac:dyDescent="0.25">
      <c r="A8" s="61" t="s">
        <v>49</v>
      </c>
      <c r="B8" s="58" t="s">
        <v>249</v>
      </c>
      <c r="C8" s="58">
        <v>94</v>
      </c>
      <c r="D8" s="58" t="s">
        <v>51</v>
      </c>
      <c r="E8" s="58"/>
      <c r="F8" s="67" t="s">
        <v>67</v>
      </c>
      <c r="G8" s="58" t="s">
        <v>247</v>
      </c>
      <c r="H8" s="59">
        <f>H4/(C7*H7)</f>
        <v>8.0322076866198895</v>
      </c>
      <c r="I8" s="58" t="s">
        <v>22</v>
      </c>
      <c r="J8" s="58"/>
    </row>
    <row r="9" spans="1:10" ht="12.95" customHeight="1" x14ac:dyDescent="0.25">
      <c r="A9" s="61" t="s">
        <v>0</v>
      </c>
      <c r="B9" s="58" t="s">
        <v>52</v>
      </c>
      <c r="C9" s="58">
        <v>0.87</v>
      </c>
      <c r="D9" s="58" t="s">
        <v>15</v>
      </c>
      <c r="E9" s="58"/>
      <c r="F9" s="67"/>
      <c r="G9" s="58"/>
      <c r="H9" s="58"/>
      <c r="I9" s="58"/>
      <c r="J9" s="58"/>
    </row>
    <row r="10" spans="1:10" ht="12.95" customHeight="1" x14ac:dyDescent="0.25">
      <c r="A10" s="61" t="s">
        <v>25</v>
      </c>
      <c r="B10" s="58" t="s">
        <v>248</v>
      </c>
      <c r="C10" s="58">
        <v>50</v>
      </c>
      <c r="D10" s="58" t="s">
        <v>70</v>
      </c>
      <c r="E10" s="58"/>
      <c r="F10" s="68"/>
      <c r="G10" s="58"/>
      <c r="H10" s="58"/>
      <c r="I10" s="58"/>
      <c r="J10" s="58"/>
    </row>
    <row r="11" spans="1:10" ht="12.95" customHeight="1" x14ac:dyDescent="0.25">
      <c r="A11" s="61" t="s">
        <v>266</v>
      </c>
      <c r="B11" s="58" t="s">
        <v>267</v>
      </c>
      <c r="C11" s="58">
        <v>5</v>
      </c>
      <c r="D11" s="58" t="s">
        <v>15</v>
      </c>
      <c r="E11" s="58"/>
      <c r="F11" s="68"/>
      <c r="G11" s="58"/>
      <c r="H11" s="58"/>
      <c r="I11" s="58"/>
      <c r="J11" s="58"/>
    </row>
    <row r="12" spans="1:10" s="66" customFormat="1" ht="12.95" customHeight="1" x14ac:dyDescent="0.25">
      <c r="A12" s="82" t="s">
        <v>256</v>
      </c>
      <c r="B12" s="82"/>
      <c r="C12" s="82"/>
      <c r="D12" s="82"/>
      <c r="E12" s="82"/>
      <c r="F12" s="83" t="s">
        <v>256</v>
      </c>
      <c r="G12" s="82"/>
      <c r="H12" s="82"/>
      <c r="I12" s="82"/>
      <c r="J12" s="82"/>
    </row>
    <row r="13" spans="1:10" ht="12.95" customHeight="1" x14ac:dyDescent="0.25">
      <c r="A13" s="63" t="s">
        <v>254</v>
      </c>
      <c r="B13" s="58" t="s">
        <v>255</v>
      </c>
      <c r="C13" s="59">
        <f>H7/H8</f>
        <v>11.877352056000003</v>
      </c>
      <c r="D13" s="58" t="s">
        <v>257</v>
      </c>
      <c r="E13" s="58"/>
      <c r="F13" s="69" t="s">
        <v>270</v>
      </c>
      <c r="G13" s="58"/>
      <c r="H13" s="59">
        <f>C14*H8</f>
        <v>82.999181878377584</v>
      </c>
      <c r="I13" s="58"/>
      <c r="J13" s="58"/>
    </row>
    <row r="14" spans="1:10" ht="12.95" customHeight="1" x14ac:dyDescent="0.25">
      <c r="A14" s="63" t="s">
        <v>253</v>
      </c>
      <c r="B14" s="58" t="s">
        <v>258</v>
      </c>
      <c r="C14" s="59">
        <f>C13*C9</f>
        <v>10.333296288720003</v>
      </c>
      <c r="D14" s="58" t="s">
        <v>257</v>
      </c>
      <c r="E14" s="58"/>
      <c r="F14" s="69" t="s">
        <v>271</v>
      </c>
      <c r="G14" s="58"/>
      <c r="H14" s="59">
        <f>C15*H8</f>
        <v>47.037804025273118</v>
      </c>
      <c r="I14" s="58"/>
      <c r="J14" s="58"/>
    </row>
    <row r="15" spans="1:10" ht="12.95" customHeight="1" x14ac:dyDescent="0.25">
      <c r="A15" s="63" t="s">
        <v>259</v>
      </c>
      <c r="B15" s="58" t="s">
        <v>260</v>
      </c>
      <c r="C15" s="59">
        <f>SQRT(C13^2-C14^2)</f>
        <v>5.8561488771796872</v>
      </c>
      <c r="D15" s="58" t="s">
        <v>257</v>
      </c>
      <c r="E15" s="58"/>
      <c r="F15" s="69"/>
      <c r="G15" s="58"/>
      <c r="H15" s="59"/>
      <c r="I15" s="58"/>
      <c r="J15" s="58"/>
    </row>
    <row r="16" spans="1:10" ht="12.95" customHeight="1" x14ac:dyDescent="0.25">
      <c r="A16" s="63" t="s">
        <v>261</v>
      </c>
      <c r="B16" s="58" t="s">
        <v>262</v>
      </c>
      <c r="C16" s="59">
        <f>1000*C15/(2*3.14*C10)</f>
        <v>18.650155659807922</v>
      </c>
      <c r="D16" s="58" t="s">
        <v>263</v>
      </c>
      <c r="E16" s="58"/>
      <c r="F16" s="69"/>
      <c r="G16" s="58"/>
      <c r="H16" s="59"/>
      <c r="I16" s="58"/>
      <c r="J16" s="58"/>
    </row>
    <row r="17" spans="1:10" ht="12.95" customHeight="1" x14ac:dyDescent="0.25">
      <c r="A17" s="57" t="s">
        <v>264</v>
      </c>
      <c r="B17" s="58" t="s">
        <v>265</v>
      </c>
      <c r="C17" s="59">
        <f>C14*C11</f>
        <v>51.66648144360002</v>
      </c>
      <c r="D17" s="58" t="s">
        <v>257</v>
      </c>
      <c r="E17" s="58"/>
      <c r="F17" s="68"/>
      <c r="G17" s="58"/>
      <c r="H17" s="58"/>
      <c r="I17" s="58"/>
      <c r="J17" s="58"/>
    </row>
    <row r="18" spans="1:10" ht="12.95" customHeight="1" x14ac:dyDescent="0.25">
      <c r="A18" s="57" t="s">
        <v>268</v>
      </c>
      <c r="B18" s="58" t="s">
        <v>269</v>
      </c>
      <c r="C18" s="59">
        <f>C16*C11</f>
        <v>93.250778299039609</v>
      </c>
      <c r="D18" s="58" t="s">
        <v>263</v>
      </c>
      <c r="E18" s="58"/>
    </row>
  </sheetData>
  <mergeCells count="4">
    <mergeCell ref="A1:E1"/>
    <mergeCell ref="F1:J1"/>
    <mergeCell ref="A12:E12"/>
    <mergeCell ref="F12:J12"/>
  </mergeCells>
  <pageMargins left="0.7" right="0.7" top="0.75" bottom="0.75" header="0.3" footer="0.3"/>
  <pageSetup paperSize="9" orientation="portrait" r:id="rId1"/>
  <ignoredErrors>
    <ignoredError sqref="H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1"/>
  <sheetViews>
    <sheetView zoomScale="130" zoomScaleNormal="130" workbookViewId="0">
      <selection activeCell="A18" sqref="A18"/>
    </sheetView>
  </sheetViews>
  <sheetFormatPr defaultRowHeight="15" x14ac:dyDescent="0.25"/>
  <cols>
    <col min="1" max="1" width="103" customWidth="1"/>
    <col min="2" max="2" width="27.140625" customWidth="1"/>
  </cols>
  <sheetData>
    <row r="1" spans="1:2" ht="15.75" x14ac:dyDescent="0.25">
      <c r="A1" s="52" t="s">
        <v>225</v>
      </c>
      <c r="B1" s="52" t="s">
        <v>230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21" r:id="rId3">
          <objectPr defaultSize="0" autoPict="0" r:id="rId4">
            <anchor moveWithCells="1" sizeWithCells="1">
              <from>
                <xdr:col>0</xdr:col>
                <xdr:colOff>6848475</xdr:colOff>
                <xdr:row>1</xdr:row>
                <xdr:rowOff>76200</xdr:rowOff>
              </from>
              <to>
                <xdr:col>3</xdr:col>
                <xdr:colOff>352425</xdr:colOff>
                <xdr:row>16</xdr:row>
                <xdr:rowOff>19050</xdr:rowOff>
              </to>
            </anchor>
          </objectPr>
        </oleObject>
      </mc:Choice>
      <mc:Fallback>
        <oleObject progId="Visio.Drawing.15" shapeId="5121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P12" sqref="P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Parameters!C4/Parameters!C5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Parameters!C4*Parameters!C7*Parameters!C9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C3/(C4*Parameters!C7)</f>
        <v>0.4</v>
      </c>
      <c r="D5" s="7" t="s">
        <v>15</v>
      </c>
      <c r="G5" s="12" t="s">
        <v>90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91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Parameters!C2/(Parameters!C8*2*Parameters!H8/60)</f>
        <v>127.32395461900511</v>
      </c>
      <c r="D7" s="7" t="s">
        <v>64</v>
      </c>
      <c r="G7" s="13" t="s">
        <v>91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105</v>
      </c>
    </row>
    <row r="8" spans="1:18" ht="18" x14ac:dyDescent="0.35">
      <c r="A8" s="6" t="s">
        <v>62</v>
      </c>
      <c r="B8" s="7" t="s">
        <v>63</v>
      </c>
      <c r="C8" s="8">
        <f>Parameters!C2/(Parameters!C4*Parameters!H2/100)</f>
        <v>2127.6595744680853</v>
      </c>
      <c r="D8" s="7" t="s">
        <v>7</v>
      </c>
    </row>
    <row r="9" spans="1:18" ht="18" x14ac:dyDescent="0.35">
      <c r="A9" s="6" t="s">
        <v>65</v>
      </c>
      <c r="B9" s="7" t="s">
        <v>66</v>
      </c>
      <c r="C9" s="7">
        <f>Parameters!C3/Parameters!C5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0.612*Parameters!C6*C9/SQRT(3)</f>
        <v>95.401358480893776</v>
      </c>
      <c r="D10" s="7" t="s">
        <v>33</v>
      </c>
    </row>
    <row r="11" spans="1:18" ht="18" x14ac:dyDescent="0.35">
      <c r="A11" s="6" t="s">
        <v>67</v>
      </c>
      <c r="B11" s="7" t="s">
        <v>68</v>
      </c>
      <c r="C11" s="8">
        <f>C8/(Parameters!H3*'Not used-old'!C10*3)</f>
        <v>8.7459583070829847</v>
      </c>
      <c r="D11" s="7" t="s">
        <v>22</v>
      </c>
    </row>
    <row r="12" spans="1:18" ht="18" x14ac:dyDescent="0.35">
      <c r="A12" s="6" t="s">
        <v>25</v>
      </c>
      <c r="B12" s="7" t="s">
        <v>69</v>
      </c>
      <c r="C12" s="7">
        <f>Parameters!C8*'Not used-old'!C4/120</f>
        <v>100</v>
      </c>
      <c r="D12" s="7" t="s">
        <v>70</v>
      </c>
    </row>
    <row r="13" spans="1:18" x14ac:dyDescent="0.25">
      <c r="A13" s="6" t="s">
        <v>71</v>
      </c>
      <c r="B13" s="7" t="s">
        <v>72</v>
      </c>
      <c r="C13" s="7">
        <f>Parameters!C11*Parameters!C12</f>
        <v>45</v>
      </c>
      <c r="D13" s="7" t="s">
        <v>73</v>
      </c>
    </row>
    <row r="14" spans="1:18" ht="17.25" x14ac:dyDescent="0.25">
      <c r="A14" s="6" t="s">
        <v>74</v>
      </c>
      <c r="B14" s="7" t="s">
        <v>74</v>
      </c>
      <c r="C14" s="9">
        <f>2*C7/(C13*1000*Parameters!H8)</f>
        <v>1.8012654910913857E-3</v>
      </c>
      <c r="D14" s="7" t="s">
        <v>75</v>
      </c>
      <c r="J14">
        <f>0.155^2*150</f>
        <v>3.6037500000000002</v>
      </c>
      <c r="K14">
        <v>155</v>
      </c>
    </row>
    <row r="15" spans="1:18" x14ac:dyDescent="0.25">
      <c r="A15" s="6" t="s">
        <v>76</v>
      </c>
      <c r="B15" s="7" t="s">
        <v>77</v>
      </c>
      <c r="C15" s="7">
        <v>0.3</v>
      </c>
      <c r="D15" s="7" t="s">
        <v>15</v>
      </c>
      <c r="E15" s="16" t="s">
        <v>87</v>
      </c>
      <c r="K15">
        <v>150</v>
      </c>
    </row>
    <row r="16" spans="1:18" ht="18" x14ac:dyDescent="0.35">
      <c r="A16" s="6" t="s">
        <v>78</v>
      </c>
      <c r="B16" s="7" t="s">
        <v>79</v>
      </c>
      <c r="C16" s="10">
        <f>1000*(C14/C15)^(1/3)</f>
        <v>181.7546335652992</v>
      </c>
      <c r="D16" s="7" t="s">
        <v>80</v>
      </c>
    </row>
    <row r="17" spans="1:5" ht="18" x14ac:dyDescent="0.35">
      <c r="A17" s="6" t="s">
        <v>81</v>
      </c>
      <c r="B17" s="7" t="s">
        <v>82</v>
      </c>
      <c r="C17" s="10">
        <f>C16*C15</f>
        <v>54.526390069589759</v>
      </c>
      <c r="D17" s="7" t="s">
        <v>80</v>
      </c>
      <c r="E17" s="11"/>
    </row>
    <row r="18" spans="1:5" x14ac:dyDescent="0.25">
      <c r="A18" s="6" t="s">
        <v>91</v>
      </c>
      <c r="B18" s="7" t="s">
        <v>91</v>
      </c>
      <c r="C18" s="8">
        <v>1.4</v>
      </c>
      <c r="D18" s="7" t="s">
        <v>15</v>
      </c>
      <c r="E18" s="16" t="s">
        <v>87</v>
      </c>
    </row>
    <row r="19" spans="1:5" ht="18" customHeight="1" x14ac:dyDescent="0.35">
      <c r="A19" s="6" t="s">
        <v>83</v>
      </c>
      <c r="B19" s="7" t="s">
        <v>84</v>
      </c>
      <c r="C19" s="10">
        <f>C18*C16</f>
        <v>254.45648699141887</v>
      </c>
      <c r="D19" s="7" t="s">
        <v>80</v>
      </c>
    </row>
    <row r="20" spans="1:5" ht="18" customHeight="1" x14ac:dyDescent="0.35">
      <c r="A20" s="6" t="s">
        <v>85</v>
      </c>
      <c r="B20" s="7" t="s">
        <v>86</v>
      </c>
      <c r="C20" s="7">
        <f>ROUND(((0.18+0.006*(Parameters!C2)^0.4)*1.6),1)</f>
        <v>0.6</v>
      </c>
      <c r="D20" s="7" t="s">
        <v>80</v>
      </c>
      <c r="E20" s="17"/>
    </row>
    <row r="21" spans="1:5" ht="18" customHeight="1" x14ac:dyDescent="0.35">
      <c r="A21" s="6" t="s">
        <v>92</v>
      </c>
      <c r="B21" s="7" t="s">
        <v>94</v>
      </c>
      <c r="C21" s="8">
        <f>Parameters!H8*'Not used-old'!C16/'Not used-old'!C3</f>
        <v>23.791625871341139</v>
      </c>
      <c r="D21" s="7" t="s">
        <v>80</v>
      </c>
    </row>
    <row r="22" spans="1:5" ht="18" customHeight="1" x14ac:dyDescent="0.35">
      <c r="A22" s="6" t="s">
        <v>93</v>
      </c>
      <c r="B22" s="7" t="s">
        <v>95</v>
      </c>
      <c r="C22" s="15">
        <f>0.001*2*C16*C17*Parameters!C12/'Not used-old'!C4</f>
        <v>0.891938164206317</v>
      </c>
      <c r="D22" s="7" t="s">
        <v>96</v>
      </c>
    </row>
    <row r="23" spans="1:5" ht="18" customHeight="1" x14ac:dyDescent="0.35">
      <c r="A23" s="6" t="s">
        <v>97</v>
      </c>
      <c r="B23" s="7" t="s">
        <v>100</v>
      </c>
      <c r="C23" s="7">
        <v>100</v>
      </c>
      <c r="D23" s="7" t="s">
        <v>15</v>
      </c>
    </row>
    <row r="24" spans="1:5" ht="18" customHeight="1" x14ac:dyDescent="0.35">
      <c r="A24" s="6" t="s">
        <v>103</v>
      </c>
      <c r="B24" s="7" t="s">
        <v>104</v>
      </c>
      <c r="C24" s="7">
        <f>C23*Parameters!C9*Parameters!C15/2</f>
        <v>200</v>
      </c>
      <c r="D24" s="7" t="s">
        <v>15</v>
      </c>
    </row>
    <row r="25" spans="1:5" ht="18" customHeight="1" x14ac:dyDescent="0.35">
      <c r="A25" s="6" t="s">
        <v>101</v>
      </c>
      <c r="B25" s="7" t="s">
        <v>102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General Calculations</vt:lpstr>
      <vt:lpstr>Load design</vt:lpstr>
      <vt:lpstr>Figures</vt:lpstr>
      <vt:lpstr>Not used-old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2017-10-19T11:53:01Z</dcterms:modified>
</cp:coreProperties>
</file>