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"/>
    </mc:Choice>
  </mc:AlternateContent>
  <bookViews>
    <workbookView xWindow="0" yWindow="0" windowWidth="27480" windowHeight="12915" activeTab="1"/>
  </bookViews>
  <sheets>
    <sheet name="Parameters" sheetId="1" r:id="rId1"/>
    <sheet name="General Calculations" sheetId="4" r:id="rId2"/>
    <sheet name="Calculations-old" sheetId="3" r:id="rId3"/>
    <sheet name="Burdadursu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H21" i="4"/>
  <c r="H12" i="4"/>
  <c r="H20" i="4"/>
  <c r="T9" i="4" s="1"/>
  <c r="H19" i="4"/>
  <c r="T8" i="4" s="1"/>
  <c r="H18" i="4"/>
  <c r="T7" i="4" s="1"/>
  <c r="T6" i="4"/>
  <c r="T5" i="4"/>
  <c r="S3" i="4"/>
  <c r="S4" i="4"/>
  <c r="H14" i="4"/>
  <c r="H7" i="4"/>
  <c r="K3" i="2"/>
  <c r="J3" i="2"/>
  <c r="I3" i="2"/>
  <c r="H3" i="2"/>
  <c r="G3" i="2"/>
  <c r="F3" i="2"/>
  <c r="E3" i="2"/>
  <c r="D3" i="2"/>
  <c r="C3" i="2"/>
  <c r="B3" i="2"/>
  <c r="C7" i="4"/>
  <c r="C14" i="4" l="1"/>
  <c r="C6" i="4"/>
  <c r="C8" i="4" s="1"/>
  <c r="C10" i="4" s="1"/>
  <c r="M5" i="4"/>
  <c r="M6" i="4" s="1"/>
  <c r="M4" i="4"/>
  <c r="C4" i="4"/>
  <c r="M8" i="4" s="1"/>
  <c r="H3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7" i="4" l="1"/>
  <c r="T3" i="4" s="1"/>
  <c r="C15" i="4"/>
  <c r="M17" i="4" s="1"/>
  <c r="H4" i="4"/>
  <c r="C13" i="4"/>
  <c r="C11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M14" i="4" l="1"/>
  <c r="C16" i="4" s="1"/>
  <c r="M16" i="4" s="1"/>
  <c r="M20" i="4" s="1"/>
  <c r="M21" i="4" s="1"/>
  <c r="H15" i="4"/>
  <c r="T4" i="4" s="1"/>
  <c r="C5" i="3"/>
  <c r="C11" i="3"/>
  <c r="C21" i="3" l="1"/>
  <c r="C19" i="3"/>
  <c r="C17" i="3"/>
  <c r="C22" i="3" s="1"/>
  <c r="C25" i="3" s="1"/>
</calcChain>
</file>

<file path=xl/comments1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<sst xmlns="http://schemas.openxmlformats.org/spreadsheetml/2006/main" count="338" uniqueCount="180">
  <si>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</si>
  <si>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</si>
  <si>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</si>
  <si>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</si>
  <si>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</si>
  <si>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</si>
  <si>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</si>
  <si>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</si>
  <si>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</si>
  <si>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</si>
  <si>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</si>
  <si>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</si>
  <si>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</si>
  <si>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</si>
  <si>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</si>
  <si>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</si>
  <si>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</si>
  <si>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</si>
  <si>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</si>
  <si>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</si>
  <si>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</si>
  <si>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</si>
  <si>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</si>
  <si>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</si>
  <si>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</si>
  <si>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</si>
  <si>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</si>
  <si>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</si>
  <si>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</si>
  <si>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</si>
  <si>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</si>
  <si>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</si>
  <si>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</si>
  <si>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</si>
  <si>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</si>
  <si>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</si>
  <si>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</si>
  <si>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</si>
  <si>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</si>
  <si>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</si>
  <si>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</si>
  <si>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</si>
  <si>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</si>
  <si>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</si>
  <si>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</si>
  <si>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</si>
  <si>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</si>
  <si>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</si>
  <si>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</si>
  <si>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</si>
  <si>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</si>
  <si>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</si>
  <si>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</si>
  <si>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</si>
  <si>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</si>
  <si>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</si>
  <si>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</si>
  <si>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</si>
  <si>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</si>
  <si>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</si>
  <si>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</si>
  <si>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Definitions</t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</si>
  <si>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</si>
  <si>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</si>
  <si>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</si>
  <si>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</si>
  <si>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</si>
  <si>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</si>
  <si>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</si>
  <si>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</si>
  <si>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</si>
  <si>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</si>
  <si>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</si>
  <si>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</si>
  <si>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</si>
  <si>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</si>
  <si>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</si>
  <si>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</si>
  <si>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</si>
  <si>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</si>
  <si>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</si>
  <si>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</si>
  <si>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</si>
  <si>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</si>
  <si>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</si>
  <si>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</si>
  <si>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</si>
  <si>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</si>
  <si>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</si>
  <si>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</si>
  <si>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</si>
  <si>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</si>
  <si>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</si>
  <si>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</si>
  <si>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</si>
  <si>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</si>
  <si>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</si>
  <si>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</si>
  <si>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</si>
  <si>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</si>
  <si>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</si>
  <si>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</si>
  <si>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</si>
  <si>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</si>
  <si>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</si>
  <si>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</si>
  <si>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</si>
  <si>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</si>
  <si>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</si>
  <si>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Inh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</si>
  <si>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</si>
  <si>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</si>
  <si>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</si>
  <si>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</si>
  <si>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</si>
  <si>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</si>
  <si>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</si>
  <si>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</si>
  <si>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</si>
  <si>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</si>
  <si>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</si>
  <si>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</si>
  <si>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</si>
  <si>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</si>
  <si>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</si>
  <si>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</si>
  <si>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</si>
  <si>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</si>
  <si>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</si>
  <si>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</si>
  <si>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</si>
  <si>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</si>
  <si>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</si>
  <si>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</si>
  <si>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</si>
  <si>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</si>
  <si>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</si>
  <si>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</si>
  <si>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</si>
  <si>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</si>
  <si>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</si>
  <si>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</si>
  <si>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</si>
  <si>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</si>
  <si>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</si>
  <si>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</si>
  <si>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</si>
  <si>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</si>
  <si>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</si>
  <si>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</si>
  <si>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</si>
  <si>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</si>
  <si>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r>
      <t>τ</t>
    </r>
    <r>
      <rPr>
        <vertAlign val="subscript"/>
        <sz val="11"/>
        <color theme="1"/>
        <rFont val="Garamond"/>
        <family val="1"/>
        <charset val="162"/>
      </rPr>
      <t>se</t>
    </r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</si>
  <si>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</si>
  <si>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</si>
  <si>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</si>
  <si>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</si>
  <si>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</si>
  <si>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not used</t>
  </si>
  <si>
    <t>Maxwell</t>
  </si>
  <si>
    <t>Current</t>
  </si>
  <si>
    <t>Ind voltage</t>
  </si>
  <si>
    <t>Quantity</t>
  </si>
  <si>
    <t>Result</t>
  </si>
  <si>
    <t>Scaled</t>
  </si>
  <si>
    <t>Error (%)</t>
  </si>
  <si>
    <t>Elect. Loading</t>
  </si>
  <si>
    <t>Current Density</t>
  </si>
  <si>
    <r>
      <t>A/mm</t>
    </r>
    <r>
      <rPr>
        <vertAlign val="superscript"/>
        <sz val="11"/>
        <color theme="1"/>
        <rFont val="Calibri"/>
        <family val="2"/>
        <charset val="162"/>
        <scheme val="minor"/>
      </rPr>
      <t>2</t>
    </r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</si>
  <si>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</si>
  <si>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</si>
  <si>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</si>
  <si>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</si>
  <si>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</si>
  <si>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</si>
  <si>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t>Phase copper loss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</si>
  <si>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</si>
  <si>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</si>
  <si>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r>
      <t>P</t>
    </r>
    <r>
      <rPr>
        <vertAlign val="subscript"/>
        <sz val="11"/>
        <color theme="1"/>
        <rFont val="Garamond"/>
        <family val="1"/>
        <charset val="162"/>
      </rPr>
      <t>cu</t>
    </r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</si>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</sst>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70" formatCode="0.0"/>
  </numFmts>
  <fonts count="1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Garamond"/>
      <family val="1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vertAlign val="superscript"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70" fontId="0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2" xfId="0" applyBorder="1"/>
    <xf numFmtId="0" fontId="2" fillId="0" borderId="4" xfId="0" applyFont="1" applyBorder="1" applyAlignment="1">
      <alignment horizontal="left"/>
    </xf>
    <xf numFmtId="0" fontId="2" fillId="0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0"/>
  <sheetViews>
    <sheetView zoomScale="115" zoomScaleNormal="115" workbookViewId="0">
      <selection activeCell="G2" sqref="G2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8.140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x14ac:dyDescent="0.25">
      <c r="A1" s="4" t="s">
        <v>55</v>
      </c>
      <c r="B1" s="5" t="s">
        <v>4</v>
      </c>
      <c r="C1" s="5" t="s">
        <v>5</v>
      </c>
      <c r="D1" s="5" t="s">
        <v>6</v>
      </c>
      <c r="E1" s="5"/>
      <c r="F1" s="4" t="s">
        <v>54</v>
      </c>
      <c r="G1" s="5" t="s">
        <v>4</v>
      </c>
      <c r="H1" s="5" t="s">
        <v>5</v>
      </c>
      <c r="I1" s="5" t="s">
        <v>6</v>
      </c>
    </row>
    <row r="2" spans="1:12" ht="18" x14ac:dyDescent="0.35">
      <c r="A2" s="6" t="s">
        <v>8</v>
      </c>
      <c r="B2" s="7" t="s">
        <v>35</v>
      </c>
      <c r="C2" s="7">
        <v>8000</v>
      </c>
      <c r="D2" s="7" t="s">
        <v>7</v>
      </c>
      <c r="E2" s="7"/>
      <c r="F2" s="6" t="s">
        <v>49</v>
      </c>
      <c r="G2" s="7" t="s">
        <v>50</v>
      </c>
      <c r="H2" s="7">
        <v>94</v>
      </c>
      <c r="I2" s="7" t="s">
        <v>51</v>
      </c>
    </row>
    <row r="3" spans="1:12" ht="18" x14ac:dyDescent="0.35">
      <c r="A3" s="6" t="s">
        <v>32</v>
      </c>
      <c r="B3" s="7" t="s">
        <v>36</v>
      </c>
      <c r="C3" s="7">
        <v>540</v>
      </c>
      <c r="D3" s="7" t="s">
        <v>33</v>
      </c>
      <c r="E3" s="7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8" x14ac:dyDescent="0.35">
      <c r="A4" s="6" t="s">
        <v>9</v>
      </c>
      <c r="B4" s="7" t="s">
        <v>13</v>
      </c>
      <c r="C4" s="7">
        <v>4</v>
      </c>
      <c r="D4" s="7" t="s">
        <v>15</v>
      </c>
      <c r="E4" s="7"/>
      <c r="F4" s="6" t="s">
        <v>53</v>
      </c>
      <c r="G4" s="7" t="s">
        <v>56</v>
      </c>
      <c r="H4" s="7">
        <v>98</v>
      </c>
      <c r="I4" s="7" t="s">
        <v>51</v>
      </c>
    </row>
    <row r="5" spans="1:12" ht="18" x14ac:dyDescent="0.35">
      <c r="A5" s="6" t="s">
        <v>10</v>
      </c>
      <c r="B5" s="7" t="s">
        <v>37</v>
      </c>
      <c r="C5" s="7">
        <v>2</v>
      </c>
      <c r="D5" s="7" t="s">
        <v>15</v>
      </c>
      <c r="E5" s="7"/>
      <c r="F5" s="6"/>
      <c r="G5" s="7"/>
      <c r="H5" s="7"/>
      <c r="I5" s="7"/>
      <c r="K5" s="2"/>
      <c r="L5" s="2"/>
    </row>
    <row r="6" spans="1:12" ht="18" x14ac:dyDescent="0.35">
      <c r="A6" s="6" t="s">
        <v>11</v>
      </c>
      <c r="B6" s="7" t="s">
        <v>38</v>
      </c>
      <c r="C6" s="7">
        <v>0.85</v>
      </c>
      <c r="D6" s="7" t="s">
        <v>15</v>
      </c>
      <c r="E6" s="7"/>
      <c r="F6" s="6"/>
      <c r="G6" s="7"/>
      <c r="H6" s="7"/>
      <c r="I6" s="7"/>
      <c r="K6" s="2"/>
      <c r="L6" s="2"/>
    </row>
    <row r="7" spans="1:12" x14ac:dyDescent="0.25">
      <c r="A7" s="6" t="s">
        <v>12</v>
      </c>
      <c r="B7" s="7" t="s">
        <v>14</v>
      </c>
      <c r="C7" s="7">
        <v>3</v>
      </c>
      <c r="D7" s="7" t="s">
        <v>15</v>
      </c>
      <c r="E7" s="7"/>
      <c r="F7" s="23" t="s">
        <v>61</v>
      </c>
      <c r="G7" s="23"/>
      <c r="H7" s="23"/>
      <c r="I7" s="23"/>
      <c r="K7" s="2"/>
      <c r="L7" s="2"/>
    </row>
    <row r="8" spans="1:12" ht="18" x14ac:dyDescent="0.35">
      <c r="A8" s="6" t="s">
        <v>16</v>
      </c>
      <c r="B8" s="7" t="s">
        <v>39</v>
      </c>
      <c r="C8" s="7">
        <v>600</v>
      </c>
      <c r="D8" s="7" t="s">
        <v>17</v>
      </c>
      <c r="E8" s="7"/>
      <c r="F8" s="6"/>
      <c r="G8" s="7" t="s">
        <v>62</v>
      </c>
      <c r="H8" s="8">
        <v>3.1415926500000002</v>
      </c>
      <c r="I8" s="7" t="s">
        <v>15</v>
      </c>
    </row>
    <row r="9" spans="1:12" ht="18" x14ac:dyDescent="0.35">
      <c r="A9" s="6" t="s">
        <v>18</v>
      </c>
      <c r="B9" s="7" t="s">
        <v>19</v>
      </c>
      <c r="C9" s="7">
        <v>2</v>
      </c>
      <c r="D9" s="7" t="s">
        <v>15</v>
      </c>
      <c r="E9" s="7"/>
      <c r="F9" s="6" t="s">
        <v>110</v>
      </c>
      <c r="G9" s="24" t="s">
        <v>113</v>
      </c>
      <c r="H9" s="25">
        <v>1.7E-8</v>
      </c>
      <c r="I9" s="7" t="s">
        <v>111</v>
      </c>
    </row>
    <row r="10" spans="1:12" ht="18" x14ac:dyDescent="0.35">
      <c r="A10" s="6" t="s">
        <v>20</v>
      </c>
      <c r="B10" s="7" t="s">
        <v>40</v>
      </c>
      <c r="C10" s="7">
        <v>0.6</v>
      </c>
      <c r="D10" s="7" t="s">
        <v>15</v>
      </c>
      <c r="E10" s="7"/>
      <c r="F10" s="6" t="s">
        <v>112</v>
      </c>
      <c r="G10" s="24" t="s">
        <v>114</v>
      </c>
      <c r="H10" s="25">
        <v>1.2566289999999999E-6</v>
      </c>
      <c r="I10" s="7" t="s">
        <v>115</v>
      </c>
    </row>
    <row r="11" spans="1:12" ht="18" x14ac:dyDescent="0.35">
      <c r="A11" s="6" t="s">
        <v>21</v>
      </c>
      <c r="B11" s="7" t="s">
        <v>41</v>
      </c>
      <c r="C11" s="7">
        <v>50</v>
      </c>
      <c r="D11" s="7" t="s">
        <v>23</v>
      </c>
      <c r="E11" s="7"/>
      <c r="F11" s="6"/>
      <c r="G11" s="7"/>
      <c r="H11" s="7"/>
      <c r="I11" s="7"/>
    </row>
    <row r="12" spans="1:12" ht="18" x14ac:dyDescent="0.35">
      <c r="A12" s="6" t="s">
        <v>27</v>
      </c>
      <c r="B12" s="7" t="s">
        <v>42</v>
      </c>
      <c r="C12" s="7">
        <v>0.9</v>
      </c>
      <c r="D12" s="7" t="s">
        <v>28</v>
      </c>
      <c r="E12" s="7"/>
      <c r="F12" s="6"/>
      <c r="G12" s="7"/>
      <c r="H12" s="7"/>
      <c r="I12" s="7"/>
    </row>
    <row r="13" spans="1:12" ht="17.25" x14ac:dyDescent="0.25">
      <c r="A13" s="6" t="s">
        <v>29</v>
      </c>
      <c r="B13" s="7" t="s">
        <v>30</v>
      </c>
      <c r="C13" s="7">
        <v>4</v>
      </c>
      <c r="D13" s="7" t="s">
        <v>43</v>
      </c>
      <c r="E13" s="7"/>
      <c r="F13" s="6"/>
      <c r="G13" s="7"/>
      <c r="H13" s="7"/>
      <c r="I13" s="7"/>
    </row>
    <row r="14" spans="1:12" ht="18" x14ac:dyDescent="0.35">
      <c r="A14" s="6" t="s">
        <v>89</v>
      </c>
      <c r="B14" s="7" t="s">
        <v>90</v>
      </c>
      <c r="C14" s="7">
        <v>3.5</v>
      </c>
      <c r="D14" s="7" t="s">
        <v>81</v>
      </c>
      <c r="E14" s="16" t="s">
        <v>158</v>
      </c>
      <c r="F14" s="6"/>
      <c r="G14" s="7"/>
      <c r="H14" s="7"/>
      <c r="I14" s="7"/>
    </row>
    <row r="15" spans="1:12" x14ac:dyDescent="0.25">
      <c r="A15" s="6" t="s">
        <v>99</v>
      </c>
      <c r="B15" s="7" t="s">
        <v>100</v>
      </c>
      <c r="C15" s="7">
        <v>2</v>
      </c>
      <c r="D15" s="7" t="s">
        <v>15</v>
      </c>
      <c r="E15" s="7"/>
      <c r="F15" s="6"/>
      <c r="G15" s="7"/>
      <c r="H15" s="7"/>
      <c r="I15" s="7"/>
    </row>
    <row r="16" spans="1:12" ht="18" x14ac:dyDescent="0.35">
      <c r="A16" s="6" t="s">
        <v>156</v>
      </c>
      <c r="B16" s="7" t="s">
        <v>157</v>
      </c>
      <c r="C16" s="7">
        <v>0.7</v>
      </c>
      <c r="D16" s="7" t="s">
        <v>15</v>
      </c>
      <c r="E16" s="16" t="s">
        <v>158</v>
      </c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U26"/>
  <sheetViews>
    <sheetView tabSelected="1" zoomScale="115" zoomScaleNormal="115" workbookViewId="0">
      <selection activeCell="R13" sqref="R13"/>
    </sheetView>
  </sheetViews>
  <sheetFormatPr defaultRowHeight="15" x14ac:dyDescent="0.25"/>
  <cols>
    <col min="1" max="1" width="21.5703125" style="1" bestFit="1" customWidth="1"/>
    <col min="2" max="2" width="7.7109375" style="2" bestFit="1" customWidth="1"/>
    <col min="3" max="3" width="6.42578125" style="2" bestFit="1" customWidth="1"/>
    <col min="4" max="4" width="5" style="2" bestFit="1" customWidth="1"/>
    <col min="5" max="5" width="11.7109375" bestFit="1" customWidth="1"/>
    <col min="6" max="6" width="25.5703125" bestFit="1" customWidth="1"/>
    <col min="7" max="7" width="7.7109375" bestFit="1" customWidth="1"/>
    <col min="8" max="9" width="6.42578125" bestFit="1" customWidth="1"/>
    <col min="10" max="10" width="11.7109375" bestFit="1" customWidth="1"/>
    <col min="11" max="11" width="26.28515625" bestFit="1" customWidth="1"/>
    <col min="12" max="12" width="7.7109375" bestFit="1" customWidth="1"/>
    <col min="13" max="13" width="6.42578125" bestFit="1" customWidth="1"/>
    <col min="14" max="14" width="5.140625" bestFit="1" customWidth="1"/>
    <col min="15" max="15" width="11.7109375" bestFit="1" customWidth="1"/>
    <col min="16" max="16" width="15" bestFit="1" customWidth="1"/>
    <col min="17" max="17" width="7.42578125" bestFit="1" customWidth="1"/>
    <col min="18" max="18" width="7.85546875" bestFit="1" customWidth="1"/>
    <col min="19" max="19" width="6.85546875" bestFit="1" customWidth="1"/>
    <col min="20" max="20" width="9.7109375" bestFit="1" customWidth="1"/>
    <col min="21" max="21" width="7.42578125" bestFit="1" customWidth="1"/>
    <col min="22" max="28" width="4.7109375" bestFit="1" customWidth="1"/>
  </cols>
  <sheetData>
    <row r="1" spans="1:21" ht="18" customHeight="1" x14ac:dyDescent="0.25">
      <c r="A1" s="18" t="s">
        <v>107</v>
      </c>
      <c r="B1" s="18"/>
      <c r="C1" s="18"/>
      <c r="D1" s="18"/>
      <c r="E1" s="18"/>
      <c r="F1" s="18" t="s">
        <v>126</v>
      </c>
      <c r="G1" s="18"/>
      <c r="H1" s="18"/>
      <c r="I1" s="18"/>
      <c r="J1" s="18"/>
      <c r="K1" s="18" t="s">
        <v>108</v>
      </c>
      <c r="L1" s="18"/>
      <c r="M1" s="18"/>
      <c r="N1" s="18"/>
      <c r="O1" s="18"/>
      <c r="P1" s="38" t="s">
        <v>159</v>
      </c>
      <c r="Q1" s="40"/>
      <c r="R1" s="39"/>
      <c r="S1" s="39"/>
      <c r="T1" s="39"/>
      <c r="U1" s="39"/>
    </row>
    <row r="2" spans="1:21" ht="18" customHeight="1" x14ac:dyDescent="0.25">
      <c r="A2" s="4" t="s">
        <v>57</v>
      </c>
      <c r="B2" s="5" t="s">
        <v>4</v>
      </c>
      <c r="C2" s="5" t="s">
        <v>5</v>
      </c>
      <c r="D2" s="5" t="s">
        <v>6</v>
      </c>
      <c r="E2" s="4"/>
      <c r="F2" s="4" t="s">
        <v>57</v>
      </c>
      <c r="G2" s="5" t="s">
        <v>4</v>
      </c>
      <c r="H2" s="5" t="s">
        <v>5</v>
      </c>
      <c r="I2" s="5" t="s">
        <v>6</v>
      </c>
      <c r="J2" s="4"/>
      <c r="K2" s="4" t="s">
        <v>57</v>
      </c>
      <c r="L2" s="5" t="s">
        <v>4</v>
      </c>
      <c r="M2" s="5" t="s">
        <v>5</v>
      </c>
      <c r="N2" s="5" t="s">
        <v>6</v>
      </c>
      <c r="O2" s="4"/>
      <c r="P2" s="37" t="s">
        <v>162</v>
      </c>
      <c r="Q2" s="37" t="s">
        <v>6</v>
      </c>
      <c r="R2" s="37" t="s">
        <v>163</v>
      </c>
      <c r="S2" s="37" t="s">
        <v>164</v>
      </c>
      <c r="T2" s="37" t="s">
        <v>165</v>
      </c>
      <c r="U2" s="12"/>
    </row>
    <row r="3" spans="1:21" ht="18" customHeight="1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  <c r="E3" s="4"/>
      <c r="F3" s="28" t="s">
        <v>116</v>
      </c>
      <c r="G3" s="7" t="s">
        <v>117</v>
      </c>
      <c r="H3" s="8">
        <f>1000*SQRT(2*Parameters!H9/(2*Parameters!H8*M8*Parameters!H10))</f>
        <v>6.562147464226471</v>
      </c>
      <c r="I3" s="7" t="s">
        <v>81</v>
      </c>
      <c r="J3" s="6"/>
      <c r="K3" s="6" t="s">
        <v>34</v>
      </c>
      <c r="L3" s="7" t="s">
        <v>44</v>
      </c>
      <c r="M3" s="7">
        <f>Parameters!C4/Parameters!C5</f>
        <v>2</v>
      </c>
      <c r="N3" s="7" t="s">
        <v>15</v>
      </c>
      <c r="O3" s="22"/>
      <c r="P3" s="13" t="s">
        <v>160</v>
      </c>
      <c r="Q3" s="13" t="s">
        <v>22</v>
      </c>
      <c r="R3" s="41">
        <v>55.77</v>
      </c>
      <c r="S3" s="42">
        <f>R3/(2)</f>
        <v>27.885000000000002</v>
      </c>
      <c r="T3" s="42">
        <f>100*ABS(S3-M7)/M7</f>
        <v>186.94968714492271</v>
      </c>
      <c r="U3" s="41"/>
    </row>
    <row r="4" spans="1:21" ht="18" customHeight="1" x14ac:dyDescent="0.35">
      <c r="A4" s="6" t="s">
        <v>3</v>
      </c>
      <c r="B4" s="7" t="s">
        <v>24</v>
      </c>
      <c r="C4" s="7">
        <f>Parameters!C9*10</f>
        <v>20</v>
      </c>
      <c r="D4" s="7" t="s">
        <v>15</v>
      </c>
      <c r="E4" s="4"/>
      <c r="F4" s="28" t="s">
        <v>118</v>
      </c>
      <c r="G4" s="7" t="s">
        <v>121</v>
      </c>
      <c r="H4" s="8">
        <f>SQRT(4*M7/(Parameters!H8*Parameters!C13))</f>
        <v>1.7587637692667544</v>
      </c>
      <c r="I4" s="7" t="s">
        <v>81</v>
      </c>
      <c r="J4" s="7"/>
      <c r="K4" s="6" t="s">
        <v>63</v>
      </c>
      <c r="L4" s="7" t="s">
        <v>64</v>
      </c>
      <c r="M4" s="10">
        <f>Parameters!C2/(Parameters!C4*Parameters!H2/100)</f>
        <v>2127.6595744680853</v>
      </c>
      <c r="N4" s="7" t="s">
        <v>7</v>
      </c>
      <c r="O4" s="22"/>
      <c r="P4" s="13" t="s">
        <v>161</v>
      </c>
      <c r="Q4" s="13" t="s">
        <v>33</v>
      </c>
      <c r="R4" s="41">
        <v>121.5</v>
      </c>
      <c r="S4" s="42">
        <f>R4/(2*SQRT(2)*SQRT(3))</f>
        <v>24.801083645679675</v>
      </c>
      <c r="T4" s="42">
        <f>100*ABS(H15-S4)/H15</f>
        <v>5.6437955509280773</v>
      </c>
      <c r="U4" s="43"/>
    </row>
    <row r="5" spans="1:21" ht="18" customHeight="1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E5" s="4"/>
      <c r="F5" s="28" t="s">
        <v>120</v>
      </c>
      <c r="G5" s="7" t="s">
        <v>119</v>
      </c>
      <c r="H5" s="8">
        <v>1.8288</v>
      </c>
      <c r="I5" s="7" t="s">
        <v>81</v>
      </c>
      <c r="J5" s="26" t="s">
        <v>88</v>
      </c>
      <c r="K5" s="6" t="s">
        <v>66</v>
      </c>
      <c r="L5" s="7" t="s">
        <v>67</v>
      </c>
      <c r="M5" s="7">
        <f>Parameters!C3/Parameters!C5</f>
        <v>270</v>
      </c>
      <c r="N5" s="7" t="s">
        <v>33</v>
      </c>
      <c r="O5" s="22"/>
      <c r="P5" s="41" t="s">
        <v>166</v>
      </c>
      <c r="Q5" s="41" t="s">
        <v>23</v>
      </c>
      <c r="R5" s="41">
        <v>83.546999999999997</v>
      </c>
      <c r="S5" s="41">
        <v>83.546999999999997</v>
      </c>
      <c r="T5" s="42">
        <f>100*ABS(Parameters!C11-S5)/Parameters!C11</f>
        <v>67.093999999999994</v>
      </c>
      <c r="U5" s="41"/>
    </row>
    <row r="6" spans="1:21" ht="18" customHeight="1" x14ac:dyDescent="0.35">
      <c r="A6" s="6" t="s">
        <v>72</v>
      </c>
      <c r="B6" s="7" t="s">
        <v>73</v>
      </c>
      <c r="C6" s="7">
        <f>Parameters!C11*Parameters!C12</f>
        <v>45</v>
      </c>
      <c r="D6" s="7" t="s">
        <v>74</v>
      </c>
      <c r="E6" s="4"/>
      <c r="F6" s="28" t="s">
        <v>146</v>
      </c>
      <c r="G6" s="7" t="s">
        <v>122</v>
      </c>
      <c r="H6" s="8">
        <v>6.5698400000000001</v>
      </c>
      <c r="I6" s="7" t="s">
        <v>128</v>
      </c>
      <c r="J6" s="26"/>
      <c r="K6" s="6" t="s">
        <v>26</v>
      </c>
      <c r="L6" s="7" t="s">
        <v>48</v>
      </c>
      <c r="M6" s="8">
        <f>0.612*Parameters!C6*M5/SQRT(3)</f>
        <v>81.091154708759703</v>
      </c>
      <c r="N6" s="7" t="s">
        <v>33</v>
      </c>
      <c r="O6" s="21"/>
      <c r="P6" s="41" t="s">
        <v>167</v>
      </c>
      <c r="Q6" s="41" t="s">
        <v>168</v>
      </c>
      <c r="R6" s="41">
        <v>10.63</v>
      </c>
      <c r="S6" s="41">
        <v>10.63</v>
      </c>
      <c r="T6" s="42">
        <f>100*ABS(Parameters!C13-S6)/Parameters!C13</f>
        <v>165.75000000000003</v>
      </c>
      <c r="U6" s="41"/>
    </row>
    <row r="7" spans="1:21" ht="18" customHeight="1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65</v>
      </c>
      <c r="E7" s="4"/>
      <c r="F7" s="28" t="s">
        <v>123</v>
      </c>
      <c r="G7" s="7" t="s">
        <v>124</v>
      </c>
      <c r="H7" s="8">
        <f>Parameters!C15*H13*Parameters!H8*(H5*1.02/2)^2</f>
        <v>163.97358840077737</v>
      </c>
      <c r="I7" s="7" t="s">
        <v>125</v>
      </c>
      <c r="J7" s="7"/>
      <c r="K7" s="6" t="s">
        <v>68</v>
      </c>
      <c r="L7" s="7" t="s">
        <v>69</v>
      </c>
      <c r="M7" s="8">
        <f>M4/(Parameters!H3*'General Calculations'!M6*3)</f>
        <v>9.7177314523144265</v>
      </c>
      <c r="N7" s="7" t="s">
        <v>22</v>
      </c>
      <c r="O7" s="22"/>
      <c r="P7" s="41"/>
      <c r="Q7" s="41"/>
      <c r="R7" s="41"/>
      <c r="S7" s="41"/>
      <c r="T7" s="42">
        <f t="shared" ref="T5:T9" si="0">100*ABS(H18-S7)/H18</f>
        <v>99.999999999999986</v>
      </c>
      <c r="U7" s="41"/>
    </row>
    <row r="8" spans="1:21" ht="18" customHeight="1" x14ac:dyDescent="0.35">
      <c r="A8" s="6" t="s">
        <v>75</v>
      </c>
      <c r="B8" s="7" t="s">
        <v>75</v>
      </c>
      <c r="C8" s="9">
        <f>2*C7/(C6*1000*Parameters!H8)</f>
        <v>1.8012654910913857E-3</v>
      </c>
      <c r="D8" s="7" t="s">
        <v>76</v>
      </c>
      <c r="E8" s="4"/>
      <c r="F8" s="28"/>
      <c r="G8" s="7"/>
      <c r="H8" s="7"/>
      <c r="I8" s="7"/>
      <c r="J8" s="27"/>
      <c r="K8" s="6" t="s">
        <v>25</v>
      </c>
      <c r="L8" s="7" t="s">
        <v>70</v>
      </c>
      <c r="M8" s="7">
        <f>Parameters!C8*'General Calculations'!C4/120</f>
        <v>100</v>
      </c>
      <c r="N8" s="7" t="s">
        <v>71</v>
      </c>
      <c r="O8" s="22"/>
      <c r="P8" s="41"/>
      <c r="Q8" s="41"/>
      <c r="R8" s="41"/>
      <c r="S8" s="41"/>
      <c r="T8" s="42">
        <f t="shared" si="0"/>
        <v>100</v>
      </c>
      <c r="U8" s="41"/>
    </row>
    <row r="9" spans="1:21" ht="18" customHeight="1" x14ac:dyDescent="0.25">
      <c r="A9" s="6" t="s">
        <v>77</v>
      </c>
      <c r="B9" s="7" t="s">
        <v>78</v>
      </c>
      <c r="C9" s="7">
        <v>0.5</v>
      </c>
      <c r="D9" s="7" t="s">
        <v>15</v>
      </c>
      <c r="E9" s="16" t="s">
        <v>88</v>
      </c>
      <c r="F9" s="28"/>
      <c r="G9" s="7"/>
      <c r="H9" s="7"/>
      <c r="I9" s="7"/>
      <c r="J9" s="27"/>
      <c r="K9" s="6"/>
      <c r="L9" s="6"/>
      <c r="M9" s="6"/>
      <c r="N9" s="6"/>
      <c r="O9" s="22"/>
      <c r="P9" s="41"/>
      <c r="Q9" s="41"/>
      <c r="R9" s="41"/>
      <c r="S9" s="41"/>
      <c r="T9" s="42">
        <f t="shared" si="0"/>
        <v>100</v>
      </c>
      <c r="U9" s="41"/>
    </row>
    <row r="10" spans="1:21" ht="18" customHeight="1" x14ac:dyDescent="0.35">
      <c r="A10" s="6" t="s">
        <v>79</v>
      </c>
      <c r="B10" s="7" t="s">
        <v>80</v>
      </c>
      <c r="C10" s="10">
        <f>1000*(C8/C9)^(1/3)</f>
        <v>153.29779501892307</v>
      </c>
      <c r="D10" s="7" t="s">
        <v>81</v>
      </c>
      <c r="E10" s="6"/>
      <c r="F10" s="18" t="s">
        <v>130</v>
      </c>
      <c r="G10" s="18"/>
      <c r="H10" s="18"/>
      <c r="I10" s="18"/>
      <c r="J10" s="18"/>
      <c r="K10" s="18" t="s">
        <v>127</v>
      </c>
      <c r="L10" s="18"/>
      <c r="M10" s="18"/>
      <c r="N10" s="18"/>
      <c r="O10" s="18"/>
    </row>
    <row r="11" spans="1:21" ht="18" customHeight="1" x14ac:dyDescent="0.35">
      <c r="A11" s="6" t="s">
        <v>82</v>
      </c>
      <c r="B11" s="7" t="s">
        <v>83</v>
      </c>
      <c r="C11" s="10">
        <f>C10*C9</f>
        <v>76.648897509461534</v>
      </c>
      <c r="D11" s="7" t="s">
        <v>81</v>
      </c>
      <c r="E11" s="20"/>
      <c r="F11" s="28" t="s">
        <v>1</v>
      </c>
      <c r="G11" s="7" t="s">
        <v>47</v>
      </c>
      <c r="H11" s="7">
        <v>0.93300000000000005</v>
      </c>
      <c r="I11" s="7" t="s">
        <v>15</v>
      </c>
      <c r="J11" s="16" t="s">
        <v>109</v>
      </c>
      <c r="K11" s="28" t="s">
        <v>132</v>
      </c>
      <c r="L11" s="32" t="s">
        <v>131</v>
      </c>
      <c r="M11" s="32">
        <v>17</v>
      </c>
      <c r="N11" s="32" t="s">
        <v>81</v>
      </c>
      <c r="O11" s="26" t="s">
        <v>88</v>
      </c>
    </row>
    <row r="12" spans="1:21" ht="18" customHeight="1" x14ac:dyDescent="0.25">
      <c r="A12" s="6" t="s">
        <v>92</v>
      </c>
      <c r="B12" s="7" t="s">
        <v>92</v>
      </c>
      <c r="C12" s="8">
        <v>1.4</v>
      </c>
      <c r="D12" s="7" t="s">
        <v>15</v>
      </c>
      <c r="E12" s="16" t="s">
        <v>88</v>
      </c>
      <c r="F12" s="28" t="s">
        <v>94</v>
      </c>
      <c r="G12" s="7" t="s">
        <v>129</v>
      </c>
      <c r="H12" s="15">
        <f>0.001*2*C10*C11*Parameters!C12/'General Calculations'!C4</f>
        <v>1.0575096280948688</v>
      </c>
      <c r="I12" s="7" t="s">
        <v>97</v>
      </c>
      <c r="J12" s="21"/>
      <c r="K12" s="28" t="s">
        <v>133</v>
      </c>
      <c r="L12" s="32" t="s">
        <v>135</v>
      </c>
      <c r="M12" s="32">
        <v>2</v>
      </c>
      <c r="N12" s="32" t="s">
        <v>81</v>
      </c>
      <c r="O12" s="26"/>
    </row>
    <row r="13" spans="1:21" ht="18" customHeight="1" x14ac:dyDescent="0.35">
      <c r="A13" s="6" t="s">
        <v>84</v>
      </c>
      <c r="B13" s="7" t="s">
        <v>85</v>
      </c>
      <c r="C13" s="10">
        <f>C12*C10</f>
        <v>214.61691302649228</v>
      </c>
      <c r="D13" s="7" t="s">
        <v>81</v>
      </c>
      <c r="E13" s="6"/>
      <c r="F13" s="6" t="s">
        <v>98</v>
      </c>
      <c r="G13" s="7" t="s">
        <v>101</v>
      </c>
      <c r="H13" s="7">
        <v>30</v>
      </c>
      <c r="I13" s="7" t="s">
        <v>15</v>
      </c>
      <c r="J13" s="16" t="s">
        <v>88</v>
      </c>
      <c r="K13" s="28" t="s">
        <v>134</v>
      </c>
      <c r="L13" s="32" t="s">
        <v>136</v>
      </c>
      <c r="M13" s="32">
        <v>2</v>
      </c>
      <c r="N13" s="32" t="s">
        <v>81</v>
      </c>
      <c r="O13" s="26"/>
    </row>
    <row r="14" spans="1:21" ht="18" customHeight="1" x14ac:dyDescent="0.35">
      <c r="A14" s="6" t="s">
        <v>86</v>
      </c>
      <c r="B14" s="7" t="s">
        <v>87</v>
      </c>
      <c r="C14" s="7">
        <f>ROUND(((0.18+0.006*(Parameters!C2)^0.4)*1.6),1)</f>
        <v>0.6</v>
      </c>
      <c r="D14" s="7" t="s">
        <v>81</v>
      </c>
      <c r="E14" s="21"/>
      <c r="F14" s="6" t="s">
        <v>104</v>
      </c>
      <c r="G14" s="7" t="s">
        <v>105</v>
      </c>
      <c r="H14" s="7">
        <f>H13*Parameters!C9*Parameters!C15/2</f>
        <v>60</v>
      </c>
      <c r="I14" s="7" t="s">
        <v>15</v>
      </c>
      <c r="J14" s="21"/>
      <c r="K14" s="28" t="s">
        <v>137</v>
      </c>
      <c r="L14" s="32" t="s">
        <v>138</v>
      </c>
      <c r="M14" s="36">
        <f>C13/2-C10/2-M11-M12-M13-M19</f>
        <v>7.659559003784608</v>
      </c>
      <c r="N14" s="32" t="s">
        <v>81</v>
      </c>
      <c r="O14" s="33"/>
    </row>
    <row r="15" spans="1:21" ht="18" customHeight="1" x14ac:dyDescent="0.35">
      <c r="A15" s="6" t="s">
        <v>93</v>
      </c>
      <c r="B15" s="7" t="s">
        <v>95</v>
      </c>
      <c r="C15" s="8">
        <f>Parameters!H8*C10/'General Calculations'!C3</f>
        <v>20.066634420527304</v>
      </c>
      <c r="D15" s="7" t="s">
        <v>81</v>
      </c>
      <c r="E15" s="6"/>
      <c r="F15" s="6" t="s">
        <v>145</v>
      </c>
      <c r="G15" s="7" t="s">
        <v>103</v>
      </c>
      <c r="H15" s="8">
        <f>4.44*H12*M8*H14*H11/1000</f>
        <v>26.28452870745334</v>
      </c>
      <c r="I15" s="7" t="s">
        <v>33</v>
      </c>
      <c r="J15" s="20"/>
      <c r="K15" s="44" t="s">
        <v>147</v>
      </c>
      <c r="L15" s="32" t="s">
        <v>150</v>
      </c>
      <c r="M15" s="35">
        <v>8</v>
      </c>
      <c r="N15" s="35" t="s">
        <v>81</v>
      </c>
      <c r="O15" s="16" t="s">
        <v>88</v>
      </c>
    </row>
    <row r="16" spans="1:21" ht="18" customHeight="1" x14ac:dyDescent="0.35">
      <c r="A16" s="6" t="s">
        <v>151</v>
      </c>
      <c r="B16" s="7" t="s">
        <v>152</v>
      </c>
      <c r="C16" s="8">
        <f>Parameters!H8*(C13-M14)/'General Calculations'!C3</f>
        <v>27.090654260882769</v>
      </c>
      <c r="D16" s="7" t="s">
        <v>81</v>
      </c>
      <c r="E16" s="6"/>
      <c r="F16" s="6"/>
      <c r="G16" s="6"/>
      <c r="H16" s="6"/>
      <c r="I16" s="6"/>
      <c r="J16" s="6"/>
      <c r="K16" s="28" t="s">
        <v>141</v>
      </c>
      <c r="L16" s="32" t="s">
        <v>140</v>
      </c>
      <c r="M16" s="36">
        <f>C16-M15</f>
        <v>19.090654260882769</v>
      </c>
      <c r="N16" s="32" t="s">
        <v>81</v>
      </c>
      <c r="O16" s="33"/>
    </row>
    <row r="17" spans="1:15" ht="18" customHeight="1" x14ac:dyDescent="0.25">
      <c r="A17" s="6"/>
      <c r="B17" s="7"/>
      <c r="C17" s="15"/>
      <c r="D17" s="7"/>
      <c r="E17" s="6"/>
      <c r="F17" s="29" t="s">
        <v>169</v>
      </c>
      <c r="G17" s="30"/>
      <c r="H17" s="30"/>
      <c r="I17" s="30"/>
      <c r="J17" s="31"/>
      <c r="K17" s="28" t="s">
        <v>142</v>
      </c>
      <c r="L17" s="32" t="s">
        <v>143</v>
      </c>
      <c r="M17" s="36">
        <f>C15-M15</f>
        <v>12.066634420527304</v>
      </c>
      <c r="N17" s="32" t="s">
        <v>81</v>
      </c>
      <c r="O17" s="33"/>
    </row>
    <row r="18" spans="1:15" ht="18" customHeight="1" x14ac:dyDescent="0.35">
      <c r="A18" s="6"/>
      <c r="B18" s="7"/>
      <c r="C18" s="7"/>
      <c r="D18" s="7"/>
      <c r="E18" s="6"/>
      <c r="F18" s="6" t="s">
        <v>170</v>
      </c>
      <c r="G18" s="7" t="s">
        <v>171</v>
      </c>
      <c r="H18" s="8">
        <f>2*Parameters!C9*C11*1.2</f>
        <v>367.91470804541535</v>
      </c>
      <c r="I18" s="7" t="s">
        <v>81</v>
      </c>
      <c r="J18" s="7"/>
      <c r="K18" s="28" t="s">
        <v>139</v>
      </c>
      <c r="L18" s="32" t="s">
        <v>144</v>
      </c>
      <c r="M18" s="32">
        <v>2.5</v>
      </c>
      <c r="N18" s="32" t="s">
        <v>81</v>
      </c>
      <c r="O18" s="32"/>
    </row>
    <row r="19" spans="1:15" ht="18" customHeight="1" x14ac:dyDescent="0.35">
      <c r="A19" s="6"/>
      <c r="B19" s="7"/>
      <c r="C19" s="7"/>
      <c r="D19" s="7"/>
      <c r="E19" s="45"/>
      <c r="F19" s="6" t="s">
        <v>172</v>
      </c>
      <c r="G19" s="7" t="s">
        <v>173</v>
      </c>
      <c r="H19" s="8">
        <f>H18*H6/(H13)</f>
        <v>80.571358850169716</v>
      </c>
      <c r="I19" s="7" t="s">
        <v>174</v>
      </c>
      <c r="J19" s="7"/>
      <c r="K19" s="47" t="s">
        <v>148</v>
      </c>
      <c r="L19" s="32" t="s">
        <v>149</v>
      </c>
      <c r="M19" s="32">
        <v>2</v>
      </c>
      <c r="N19" s="32" t="s">
        <v>81</v>
      </c>
      <c r="O19" s="16" t="s">
        <v>88</v>
      </c>
    </row>
    <row r="20" spans="1:15" ht="18" customHeight="1" x14ac:dyDescent="0.35">
      <c r="A20" s="6"/>
      <c r="B20" s="7"/>
      <c r="C20" s="8"/>
      <c r="D20" s="7"/>
      <c r="E20" s="45"/>
      <c r="F20" s="6" t="s">
        <v>175</v>
      </c>
      <c r="G20" s="7" t="s">
        <v>176</v>
      </c>
      <c r="H20" s="7">
        <f>M7^2*H19/1000</f>
        <v>7.6087002420250913</v>
      </c>
      <c r="I20" s="7" t="s">
        <v>7</v>
      </c>
      <c r="J20" s="7"/>
      <c r="K20" s="47" t="s">
        <v>153</v>
      </c>
      <c r="L20" s="7" t="s">
        <v>154</v>
      </c>
      <c r="M20" s="8">
        <f>(M16+M17)*M11/2</f>
        <v>264.83695379198559</v>
      </c>
      <c r="N20" s="7" t="s">
        <v>125</v>
      </c>
      <c r="O20" s="32"/>
    </row>
    <row r="21" spans="1:15" ht="18" customHeight="1" x14ac:dyDescent="0.35">
      <c r="A21" s="6"/>
      <c r="B21" s="7"/>
      <c r="C21" s="7"/>
      <c r="D21" s="7"/>
      <c r="E21" s="46"/>
      <c r="F21" s="6" t="s">
        <v>177</v>
      </c>
      <c r="G21" s="7" t="s">
        <v>178</v>
      </c>
      <c r="H21" s="7">
        <f>H20*Parameters!C4*Parameters!C7</f>
        <v>91.304402904301099</v>
      </c>
      <c r="I21" s="7" t="s">
        <v>7</v>
      </c>
      <c r="J21" s="7"/>
      <c r="K21" s="48" t="s">
        <v>20</v>
      </c>
      <c r="L21" s="35" t="s">
        <v>155</v>
      </c>
      <c r="M21" s="8">
        <f>H7/M20</f>
        <v>0.61914920124617245</v>
      </c>
      <c r="N21" s="35" t="s">
        <v>15</v>
      </c>
      <c r="O21" s="7"/>
    </row>
    <row r="22" spans="1:15" ht="18" customHeight="1" x14ac:dyDescent="0.35">
      <c r="F22" s="34" t="s">
        <v>179</v>
      </c>
      <c r="G22" s="7" t="s">
        <v>50</v>
      </c>
      <c r="H22" s="7">
        <f>Parameters!C2/(Parameters!C2+'General Calculations'!H21)*100</f>
        <v>98.871573749326146</v>
      </c>
      <c r="I22" s="7" t="s">
        <v>15</v>
      </c>
      <c r="J22" s="7"/>
    </row>
    <row r="23" spans="1:15" ht="18" customHeight="1" x14ac:dyDescent="0.25">
      <c r="F23" s="19"/>
      <c r="G23" s="7"/>
      <c r="H23" s="12"/>
      <c r="I23" s="12"/>
      <c r="J23" s="12"/>
    </row>
    <row r="24" spans="1:15" ht="18" customHeight="1" x14ac:dyDescent="0.25"/>
    <row r="25" spans="1:15" ht="18" customHeight="1" x14ac:dyDescent="0.25"/>
    <row r="26" spans="1:15" ht="18" customHeight="1" x14ac:dyDescent="0.25"/>
  </sheetData>
  <mergeCells count="9">
    <mergeCell ref="P1:U1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E12" sqref="E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Parameters!C4/Parameters!C5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Parameters!C4*Parameters!C7*Parameters!C9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C3/(C4*Parameters!C7)</f>
        <v>0.4</v>
      </c>
      <c r="D5" s="7" t="s">
        <v>15</v>
      </c>
      <c r="G5" s="12" t="s">
        <v>91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92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Parameters!C2/(Parameters!C8*2*Parameters!H8/60)</f>
        <v>127.32395461900511</v>
      </c>
      <c r="D7" s="7" t="s">
        <v>65</v>
      </c>
      <c r="G7" s="13" t="s">
        <v>92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106</v>
      </c>
    </row>
    <row r="8" spans="1:18" ht="18" x14ac:dyDescent="0.35">
      <c r="A8" s="6" t="s">
        <v>63</v>
      </c>
      <c r="B8" s="7" t="s">
        <v>64</v>
      </c>
      <c r="C8" s="8">
        <f>Parameters!C2/(Parameters!C4*Parameters!H2/100)</f>
        <v>2127.6595744680853</v>
      </c>
      <c r="D8" s="7" t="s">
        <v>7</v>
      </c>
    </row>
    <row r="9" spans="1:18" ht="18" x14ac:dyDescent="0.35">
      <c r="A9" s="6" t="s">
        <v>66</v>
      </c>
      <c r="B9" s="7" t="s">
        <v>67</v>
      </c>
      <c r="C9" s="7">
        <f>Parameters!C3/Parameters!C5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0.612*Parameters!C6*C9/SQRT(3)</f>
        <v>81.091154708759703</v>
      </c>
      <c r="D10" s="7" t="s">
        <v>33</v>
      </c>
    </row>
    <row r="11" spans="1:18" ht="18" x14ac:dyDescent="0.35">
      <c r="A11" s="6" t="s">
        <v>68</v>
      </c>
      <c r="B11" s="7" t="s">
        <v>69</v>
      </c>
      <c r="C11" s="8">
        <f>C8/(Parameters!H3*'Calculations-old'!C10*3)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70</v>
      </c>
      <c r="C12" s="7">
        <f>Parameters!C8*'Calculations-old'!C4/120</f>
        <v>100</v>
      </c>
      <c r="D12" s="7" t="s">
        <v>71</v>
      </c>
    </row>
    <row r="13" spans="1:18" x14ac:dyDescent="0.25">
      <c r="A13" s="6" t="s">
        <v>72</v>
      </c>
      <c r="B13" s="7" t="s">
        <v>73</v>
      </c>
      <c r="C13" s="7">
        <f>Parameters!C11*Parameters!C12</f>
        <v>45</v>
      </c>
      <c r="D13" s="7" t="s">
        <v>74</v>
      </c>
    </row>
    <row r="14" spans="1:18" ht="17.25" x14ac:dyDescent="0.25">
      <c r="A14" s="6" t="s">
        <v>75</v>
      </c>
      <c r="B14" s="7" t="s">
        <v>75</v>
      </c>
      <c r="C14" s="9">
        <f>2*C7/(C13*1000*Parameters!H8)</f>
        <v>1.8012654910913857E-3</v>
      </c>
      <c r="D14" s="7" t="s">
        <v>76</v>
      </c>
      <c r="J14">
        <f>0.155^2*150</f>
        <v>3.6037500000000002</v>
      </c>
      <c r="K14">
        <v>155</v>
      </c>
    </row>
    <row r="15" spans="1:18" x14ac:dyDescent="0.25">
      <c r="A15" s="6" t="s">
        <v>77</v>
      </c>
      <c r="B15" s="7" t="s">
        <v>78</v>
      </c>
      <c r="C15" s="7">
        <v>0.3</v>
      </c>
      <c r="D15" s="7" t="s">
        <v>15</v>
      </c>
      <c r="E15" s="16" t="s">
        <v>88</v>
      </c>
      <c r="K15">
        <v>150</v>
      </c>
    </row>
    <row r="16" spans="1:18" ht="18" x14ac:dyDescent="0.35">
      <c r="A16" s="6" t="s">
        <v>79</v>
      </c>
      <c r="B16" s="7" t="s">
        <v>80</v>
      </c>
      <c r="C16" s="10">
        <f>1000*(C14/C15)^(1/3)</f>
        <v>181.7546335652992</v>
      </c>
      <c r="D16" s="7" t="s">
        <v>81</v>
      </c>
    </row>
    <row r="17" spans="1:5" ht="18" x14ac:dyDescent="0.35">
      <c r="A17" s="6" t="s">
        <v>82</v>
      </c>
      <c r="B17" s="7" t="s">
        <v>83</v>
      </c>
      <c r="C17" s="10">
        <f>C16*C15</f>
        <v>54.526390069589759</v>
      </c>
      <c r="D17" s="7" t="s">
        <v>81</v>
      </c>
      <c r="E17" s="11"/>
    </row>
    <row r="18" spans="1:5" x14ac:dyDescent="0.25">
      <c r="A18" s="6" t="s">
        <v>92</v>
      </c>
      <c r="B18" s="7" t="s">
        <v>92</v>
      </c>
      <c r="C18" s="8">
        <v>1.4</v>
      </c>
      <c r="D18" s="7" t="s">
        <v>15</v>
      </c>
      <c r="E18" s="16" t="s">
        <v>88</v>
      </c>
    </row>
    <row r="19" spans="1:5" ht="18" customHeight="1" x14ac:dyDescent="0.35">
      <c r="A19" s="6" t="s">
        <v>84</v>
      </c>
      <c r="B19" s="7" t="s">
        <v>85</v>
      </c>
      <c r="C19" s="10">
        <f>C18*C16</f>
        <v>254.45648699141887</v>
      </c>
      <c r="D19" s="7" t="s">
        <v>81</v>
      </c>
    </row>
    <row r="20" spans="1:5" ht="18" customHeight="1" x14ac:dyDescent="0.35">
      <c r="A20" s="6" t="s">
        <v>86</v>
      </c>
      <c r="B20" s="7" t="s">
        <v>87</v>
      </c>
      <c r="C20" s="7">
        <f>ROUND(((0.18+0.006*(Parameters!C2)^0.4)*1.6),1)</f>
        <v>0.6</v>
      </c>
      <c r="D20" s="7" t="s">
        <v>81</v>
      </c>
      <c r="E20" s="17"/>
    </row>
    <row r="21" spans="1:5" ht="18" customHeight="1" x14ac:dyDescent="0.35">
      <c r="A21" s="6" t="s">
        <v>93</v>
      </c>
      <c r="B21" s="7" t="s">
        <v>95</v>
      </c>
      <c r="C21" s="8">
        <f>Parameters!H8*'Calculations-old'!C16/'Calculations-old'!C3</f>
        <v>23.791625871341139</v>
      </c>
      <c r="D21" s="7" t="s">
        <v>81</v>
      </c>
    </row>
    <row r="22" spans="1:5" ht="18" customHeight="1" x14ac:dyDescent="0.35">
      <c r="A22" s="6" t="s">
        <v>94</v>
      </c>
      <c r="B22" s="7" t="s">
        <v>96</v>
      </c>
      <c r="C22" s="15">
        <f>0.001*2*C16*C17*Parameters!C12/'Calculations-old'!C4</f>
        <v>0.891938164206317</v>
      </c>
      <c r="D22" s="7" t="s">
        <v>97</v>
      </c>
    </row>
    <row r="23" spans="1:5" ht="18" customHeight="1" x14ac:dyDescent="0.35">
      <c r="A23" s="6" t="s">
        <v>98</v>
      </c>
      <c r="B23" s="7" t="s">
        <v>101</v>
      </c>
      <c r="C23" s="7">
        <v>100</v>
      </c>
      <c r="D23" s="7" t="s">
        <v>15</v>
      </c>
    </row>
    <row r="24" spans="1:5" ht="18" customHeight="1" x14ac:dyDescent="0.35">
      <c r="A24" s="6" t="s">
        <v>104</v>
      </c>
      <c r="B24" s="7" t="s">
        <v>105</v>
      </c>
      <c r="C24" s="7">
        <f>C23*Parameters!C9*Parameters!C15/2</f>
        <v>200</v>
      </c>
      <c r="D24" s="7" t="s">
        <v>15</v>
      </c>
    </row>
    <row r="25" spans="1:5" ht="18" customHeight="1" x14ac:dyDescent="0.35">
      <c r="A25" s="6" t="s">
        <v>102</v>
      </c>
      <c r="B25" s="7" t="s">
        <v>103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8"/>
  <sheetViews>
    <sheetView zoomScale="145" zoomScaleNormal="145" workbookViewId="0">
      <selection activeCell="B7" sqref="B7"/>
    </sheetView>
  </sheetViews>
  <sheetFormatPr defaultRowHeight="15" x14ac:dyDescent="0.25"/>
  <cols>
    <col min="1" max="1" width="26.140625" bestFit="1" customWidth="1"/>
  </cols>
  <sheetData>
    <row r="1" spans="1:12" x14ac:dyDescent="0.25">
      <c r="A1" s="12" t="s">
        <v>91</v>
      </c>
      <c r="B1" s="12">
        <v>2</v>
      </c>
      <c r="C1" s="12">
        <v>4</v>
      </c>
      <c r="D1" s="12">
        <v>6</v>
      </c>
      <c r="E1" s="12">
        <v>8</v>
      </c>
      <c r="F1" s="12">
        <v>10</v>
      </c>
      <c r="G1" s="12">
        <v>12</v>
      </c>
      <c r="H1" s="12">
        <v>14</v>
      </c>
      <c r="I1" s="12">
        <v>16</v>
      </c>
      <c r="J1" s="12">
        <v>18</v>
      </c>
      <c r="K1" s="12">
        <v>20</v>
      </c>
    </row>
    <row r="2" spans="1:12" x14ac:dyDescent="0.25">
      <c r="A2" s="13" t="s">
        <v>92</v>
      </c>
      <c r="B2" s="14">
        <v>2</v>
      </c>
      <c r="C2" s="14">
        <v>1.88</v>
      </c>
      <c r="D2" s="14">
        <v>1.78</v>
      </c>
      <c r="E2" s="14">
        <v>1.66</v>
      </c>
      <c r="F2" s="14">
        <v>1.54</v>
      </c>
      <c r="G2" s="14">
        <v>1.43</v>
      </c>
      <c r="H2" s="14"/>
      <c r="I2" s="14"/>
      <c r="J2" s="14"/>
      <c r="K2" s="14"/>
    </row>
    <row r="3" spans="1:12" x14ac:dyDescent="0.25">
      <c r="A3" s="13" t="s">
        <v>92</v>
      </c>
      <c r="B3" s="14">
        <f>2-((B1)/2-1)*0.1</f>
        <v>2</v>
      </c>
      <c r="C3" s="14">
        <f>2-((C1)/2-1)*0.115</f>
        <v>1.885</v>
      </c>
      <c r="D3" s="14">
        <f>2-((D1)/2-1)*0.115</f>
        <v>1.77</v>
      </c>
      <c r="E3" s="14">
        <f>2-((E1)/2-1)*0.115</f>
        <v>1.655</v>
      </c>
      <c r="F3" s="14">
        <f>2-((F1)/2-1)*0.115</f>
        <v>1.54</v>
      </c>
      <c r="G3" s="14">
        <f>2-((G1)/2-1)*0.115</f>
        <v>1.4249999999999998</v>
      </c>
      <c r="H3" s="14">
        <f>2-((H1)/2-1)*0.11</f>
        <v>1.3399999999999999</v>
      </c>
      <c r="I3" s="14">
        <f>2-((I1)/2-1)*0.11</f>
        <v>1.23</v>
      </c>
      <c r="J3" s="14">
        <f>2-((J1)/2-1)*0.11</f>
        <v>1.1200000000000001</v>
      </c>
      <c r="K3" s="14">
        <f>2-((K1)/2-1)*0.11</f>
        <v>1.01</v>
      </c>
      <c r="L3" t="s">
        <v>106</v>
      </c>
    </row>
    <row r="4" spans="1:12" x14ac:dyDescent="0.25">
      <c r="A4" s="1"/>
      <c r="B4" s="2"/>
      <c r="C4" s="3"/>
    </row>
    <row r="5" spans="1:12" x14ac:dyDescent="0.25">
      <c r="A5" s="1"/>
      <c r="B5" s="2"/>
      <c r="C5" s="2"/>
    </row>
    <row r="6" spans="1:12" x14ac:dyDescent="0.25">
      <c r="A6" s="1"/>
      <c r="B6" s="2"/>
      <c r="C6" s="2"/>
    </row>
    <row r="7" spans="1:12" x14ac:dyDescent="0.25">
      <c r="A7" s="1"/>
      <c r="B7" s="2"/>
      <c r="C7" s="2"/>
    </row>
    <row r="8" spans="1:12" x14ac:dyDescent="0.25">
      <c r="A8" s="1"/>
      <c r="B8" s="2"/>
      <c r="C8" s="2"/>
    </row>
    <row r="9" spans="1:12" x14ac:dyDescent="0.25">
      <c r="A9" s="1"/>
      <c r="B9" s="2"/>
      <c r="C9" s="2"/>
    </row>
    <row r="10" spans="1:12" x14ac:dyDescent="0.25">
      <c r="A10" s="1"/>
      <c r="B10" s="2"/>
      <c r="C10" s="2"/>
    </row>
    <row r="11" spans="1:12" x14ac:dyDescent="0.25">
      <c r="A11" s="1"/>
      <c r="B11" s="2"/>
      <c r="C11" s="2"/>
    </row>
    <row r="12" spans="1:12" x14ac:dyDescent="0.25">
      <c r="A12" s="1"/>
      <c r="B12" s="2"/>
      <c r="C12" s="2"/>
    </row>
    <row r="13" spans="1:12" x14ac:dyDescent="0.25">
      <c r="A13" s="1"/>
      <c r="B13" s="2"/>
      <c r="C13" s="2"/>
    </row>
    <row r="14" spans="1:12" x14ac:dyDescent="0.25">
      <c r="A14" s="1"/>
      <c r="B14" s="2"/>
      <c r="C14" s="2"/>
    </row>
    <row r="15" spans="1:12" x14ac:dyDescent="0.25">
      <c r="A15" s="1"/>
      <c r="B15" s="2"/>
      <c r="C15" s="2"/>
    </row>
    <row r="16" spans="1:12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1"/>
      <c r="C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General Calculations</vt:lpstr>
      <vt:lpstr>Calculations-old</vt:lpstr>
      <vt:lpstr>Burdadursun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2017-10-12T15:23:53Z</dcterms:modified>
</cp:coreProperties>
</file>