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Project\BAP\Design\"/>
    </mc:Choice>
  </mc:AlternateContent>
  <bookViews>
    <workbookView xWindow="0" yWindow="0" windowWidth="27480" windowHeight="12915" activeTab="1"/>
  </bookViews>
  <sheets>
    <sheet name="Parameters" sheetId="1" r:id="rId1"/>
    <sheet name="General Calculations" sheetId="4" r:id="rId2"/>
    <sheet name="Calculations-old" sheetId="3" r:id="rId3"/>
    <sheet name="Burdadursu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4" l="1"/>
  <c r="K3" i="2"/>
  <c r="J3" i="2"/>
  <c r="I3" i="2"/>
  <c r="H3" i="2"/>
  <c r="G3" i="2"/>
  <c r="F3" i="2"/>
  <c r="E3" i="2"/>
  <c r="D3" i="2"/>
  <c r="C3" i="2"/>
  <c r="B3" i="2"/>
  <c r="C17" i="4"/>
  <c r="C16" i="4"/>
  <c r="C8" i="4"/>
  <c r="C19" i="4" l="1"/>
  <c r="C15" i="4"/>
  <c r="C7" i="4"/>
  <c r="C9" i="4" s="1"/>
  <c r="C11" i="4" s="1"/>
  <c r="H5" i="4"/>
  <c r="H6" i="4" s="1"/>
  <c r="H7" i="4" s="1"/>
  <c r="H4" i="4"/>
  <c r="C4" i="4"/>
  <c r="H8" i="4" s="1"/>
  <c r="C3" i="4"/>
  <c r="H3" i="4"/>
  <c r="C14" i="3"/>
  <c r="C16" i="3" s="1"/>
  <c r="J14" i="3"/>
  <c r="C24" i="3"/>
  <c r="C20" i="3"/>
  <c r="O7" i="3"/>
  <c r="P7" i="3"/>
  <c r="Q7" i="3"/>
  <c r="N7" i="3"/>
  <c r="I7" i="3"/>
  <c r="J7" i="3"/>
  <c r="K7" i="3"/>
  <c r="L7" i="3"/>
  <c r="M7" i="3"/>
  <c r="H7" i="3"/>
  <c r="C14" i="4" l="1"/>
  <c r="C12" i="4"/>
  <c r="C5" i="4"/>
  <c r="C13" i="3"/>
  <c r="C9" i="3"/>
  <c r="C10" i="3" s="1"/>
  <c r="C8" i="3"/>
  <c r="C7" i="3"/>
  <c r="C4" i="3"/>
  <c r="C12" i="3" s="1"/>
  <c r="C3" i="3"/>
  <c r="C2" i="3"/>
  <c r="C5" i="3" l="1"/>
  <c r="C11" i="3"/>
  <c r="C21" i="3" l="1"/>
  <c r="C19" i="3"/>
  <c r="C17" i="3"/>
  <c r="C22" i="3" s="1"/>
  <c r="C25" i="3" s="1"/>
  <c r="C20" i="4" l="1"/>
</calcChain>
</file>

<file path=xl/sharedStrings.xml><?xml version="1.0" encoding="utf-8"?>
<sst xmlns="http://schemas.openxmlformats.org/spreadsheetml/2006/main" count="244" uniqueCount="119">
  <si>
    <t>Power factor</t>
  </si>
  <si>
    <t>Winding factor</t>
  </si>
  <si>
    <t>Number of slots</t>
  </si>
  <si>
    <t>Number of poles</t>
  </si>
  <si>
    <t>Symbol</t>
  </si>
  <si>
    <t>Value</t>
  </si>
  <si>
    <t>Unit</t>
  </si>
  <si>
    <t>W</t>
  </si>
  <si>
    <t>Total output power</t>
  </si>
  <si>
    <t xml:space="preserve">Number of modules </t>
  </si>
  <si>
    <t xml:space="preserve">Series connected modules </t>
  </si>
  <si>
    <t xml:space="preserve">Modulation index </t>
  </si>
  <si>
    <t xml:space="preserve">Number of phases </t>
  </si>
  <si>
    <t>n</t>
  </si>
  <si>
    <t>m</t>
  </si>
  <si>
    <t>-</t>
  </si>
  <si>
    <t>Synchronous speed</t>
  </si>
  <si>
    <t>rpm</t>
  </si>
  <si>
    <t>Slots per phase per module</t>
  </si>
  <si>
    <t>w</t>
  </si>
  <si>
    <t>Slot fill factor</t>
  </si>
  <si>
    <t>Electrical loading</t>
  </si>
  <si>
    <t>A</t>
  </si>
  <si>
    <t>kA/m</t>
  </si>
  <si>
    <t>p</t>
  </si>
  <si>
    <t>Applied frequency</t>
  </si>
  <si>
    <t>Phase voltage (module)</t>
  </si>
  <si>
    <t>Magnetic loading</t>
  </si>
  <si>
    <t>T</t>
  </si>
  <si>
    <t>Current density</t>
  </si>
  <si>
    <t>J</t>
  </si>
  <si>
    <t>Slot per pole per phase</t>
  </si>
  <si>
    <t>DC Link voltage</t>
  </si>
  <si>
    <t>V</t>
  </si>
  <si>
    <t>Parallel connected modules</t>
  </si>
  <si>
    <r>
      <t>P</t>
    </r>
    <r>
      <rPr>
        <vertAlign val="subscript"/>
        <sz val="11"/>
        <color theme="1"/>
        <rFont val="Garamond"/>
        <family val="1"/>
        <charset val="162"/>
      </rPr>
      <t>out</t>
    </r>
  </si>
  <si>
    <r>
      <t>V</t>
    </r>
    <r>
      <rPr>
        <vertAlign val="subscript"/>
        <sz val="11"/>
        <color theme="1"/>
        <rFont val="Garamond"/>
        <family val="1"/>
        <charset val="162"/>
      </rPr>
      <t>dc</t>
    </r>
  </si>
  <si>
    <r>
      <t>n</t>
    </r>
    <r>
      <rPr>
        <vertAlign val="subscript"/>
        <sz val="11"/>
        <color theme="1"/>
        <rFont val="Garamond"/>
        <family val="1"/>
        <charset val="162"/>
      </rPr>
      <t>s</t>
    </r>
  </si>
  <si>
    <r>
      <t>m</t>
    </r>
    <r>
      <rPr>
        <vertAlign val="subscript"/>
        <sz val="11"/>
        <color theme="1"/>
        <rFont val="Garamond"/>
        <family val="1"/>
        <charset val="162"/>
      </rPr>
      <t>a</t>
    </r>
  </si>
  <si>
    <r>
      <t>N</t>
    </r>
    <r>
      <rPr>
        <vertAlign val="subscript"/>
        <sz val="11"/>
        <color theme="1"/>
        <rFont val="Garamond"/>
        <family val="1"/>
        <charset val="162"/>
      </rPr>
      <t>s</t>
    </r>
  </si>
  <si>
    <r>
      <t>k</t>
    </r>
    <r>
      <rPr>
        <vertAlign val="subscript"/>
        <sz val="11"/>
        <color theme="1"/>
        <rFont val="Garamond"/>
        <family val="1"/>
        <charset val="162"/>
      </rPr>
      <t>cu</t>
    </r>
  </si>
  <si>
    <r>
      <t>A</t>
    </r>
    <r>
      <rPr>
        <vertAlign val="subscript"/>
        <sz val="11"/>
        <color theme="1"/>
        <rFont val="Garamond"/>
        <family val="1"/>
        <charset val="162"/>
      </rPr>
      <t>rms</t>
    </r>
  </si>
  <si>
    <r>
      <t>B</t>
    </r>
    <r>
      <rPr>
        <vertAlign val="subscript"/>
        <sz val="11"/>
        <color theme="1"/>
        <rFont val="Garamond"/>
        <family val="1"/>
        <charset val="162"/>
      </rPr>
      <t>p</t>
    </r>
  </si>
  <si>
    <r>
      <t>A/mm</t>
    </r>
    <r>
      <rPr>
        <vertAlign val="superscript"/>
        <sz val="11"/>
        <color theme="1"/>
        <rFont val="Garamond"/>
        <family val="1"/>
        <charset val="162"/>
      </rPr>
      <t>2</t>
    </r>
  </si>
  <si>
    <r>
      <t>n</t>
    </r>
    <r>
      <rPr>
        <vertAlign val="subscript"/>
        <sz val="11"/>
        <color theme="1"/>
        <rFont val="Garamond"/>
        <family val="1"/>
        <charset val="162"/>
      </rPr>
      <t>p</t>
    </r>
  </si>
  <si>
    <r>
      <t>Q</t>
    </r>
    <r>
      <rPr>
        <vertAlign val="subscript"/>
        <sz val="11"/>
        <color theme="1"/>
        <rFont val="Garamond"/>
        <family val="1"/>
        <charset val="162"/>
      </rPr>
      <t>s</t>
    </r>
  </si>
  <si>
    <r>
      <t>q</t>
    </r>
    <r>
      <rPr>
        <vertAlign val="subscript"/>
        <sz val="11"/>
        <color theme="1"/>
        <rFont val="Garamond"/>
        <family val="1"/>
        <charset val="162"/>
      </rPr>
      <t>s</t>
    </r>
  </si>
  <si>
    <r>
      <t>k</t>
    </r>
    <r>
      <rPr>
        <vertAlign val="subscript"/>
        <sz val="11"/>
        <color theme="1"/>
        <rFont val="Garamond"/>
        <family val="1"/>
        <charset val="162"/>
      </rPr>
      <t>w</t>
    </r>
  </si>
  <si>
    <r>
      <t>V</t>
    </r>
    <r>
      <rPr>
        <vertAlign val="subscript"/>
        <sz val="11"/>
        <color theme="1"/>
        <rFont val="Garamond"/>
        <family val="1"/>
        <charset val="162"/>
      </rPr>
      <t>phm</t>
    </r>
  </si>
  <si>
    <t>Motor efficiency</t>
  </si>
  <si>
    <r>
      <rPr>
        <sz val="11"/>
        <color theme="1"/>
        <rFont val="Calibri"/>
        <family val="2"/>
        <charset val="162"/>
      </rPr>
      <t>η</t>
    </r>
    <r>
      <rPr>
        <vertAlign val="subscript"/>
        <sz val="11"/>
        <color theme="1"/>
        <rFont val="Garamond"/>
        <family val="1"/>
        <charset val="162"/>
      </rPr>
      <t>m</t>
    </r>
  </si>
  <si>
    <t>%</t>
  </si>
  <si>
    <t>pf</t>
  </si>
  <si>
    <t>Drive efficiency</t>
  </si>
  <si>
    <t>Expected Parameters</t>
  </si>
  <si>
    <t>Selected Parameters</t>
  </si>
  <si>
    <r>
      <rPr>
        <sz val="11"/>
        <color theme="1"/>
        <rFont val="Calibri"/>
        <family val="2"/>
        <charset val="162"/>
      </rPr>
      <t>η</t>
    </r>
    <r>
      <rPr>
        <vertAlign val="subscript"/>
        <sz val="11"/>
        <color theme="1"/>
        <rFont val="Garamond"/>
        <family val="1"/>
        <charset val="162"/>
      </rPr>
      <t>d</t>
    </r>
  </si>
  <si>
    <t>Calculated Parameters</t>
  </si>
  <si>
    <t>Inherited</t>
  </si>
  <si>
    <t>Rated torque</t>
  </si>
  <si>
    <r>
      <t>T</t>
    </r>
    <r>
      <rPr>
        <vertAlign val="subscript"/>
        <sz val="11"/>
        <color theme="1"/>
        <rFont val="Garamond"/>
        <family val="1"/>
        <charset val="162"/>
      </rPr>
      <t>r</t>
    </r>
  </si>
  <si>
    <t>Definitions</t>
  </si>
  <si>
    <t>pi</t>
  </si>
  <si>
    <t>Drive output power (module)</t>
  </si>
  <si>
    <r>
      <t>P</t>
    </r>
    <r>
      <rPr>
        <vertAlign val="subscript"/>
        <sz val="11"/>
        <color theme="1"/>
        <rFont val="Garamond"/>
        <family val="1"/>
        <charset val="162"/>
      </rPr>
      <t>drm</t>
    </r>
  </si>
  <si>
    <t>Nm</t>
  </si>
  <si>
    <t>DC Link voltage (module)</t>
  </si>
  <si>
    <r>
      <t>V</t>
    </r>
    <r>
      <rPr>
        <vertAlign val="subscript"/>
        <sz val="11"/>
        <color theme="1"/>
        <rFont val="Garamond"/>
        <family val="1"/>
        <charset val="162"/>
      </rPr>
      <t>dcm</t>
    </r>
  </si>
  <si>
    <t>Phase current (module)</t>
  </si>
  <si>
    <r>
      <t>I</t>
    </r>
    <r>
      <rPr>
        <vertAlign val="subscript"/>
        <sz val="11"/>
        <color theme="1"/>
        <rFont val="Garamond"/>
        <family val="1"/>
        <charset val="162"/>
      </rPr>
      <t>phm</t>
    </r>
  </si>
  <si>
    <r>
      <t>f</t>
    </r>
    <r>
      <rPr>
        <vertAlign val="subscript"/>
        <sz val="11"/>
        <color theme="1"/>
        <rFont val="Garamond"/>
        <family val="1"/>
        <charset val="162"/>
      </rPr>
      <t>r</t>
    </r>
  </si>
  <si>
    <t>Hz</t>
  </si>
  <si>
    <t>Sheer stress</t>
  </si>
  <si>
    <t>σ</t>
  </si>
  <si>
    <t>kPa</t>
  </si>
  <si>
    <r>
      <t>D</t>
    </r>
    <r>
      <rPr>
        <vertAlign val="superscript"/>
        <sz val="11"/>
        <color theme="1"/>
        <rFont val="Garamond"/>
        <family val="1"/>
        <charset val="162"/>
      </rPr>
      <t>2</t>
    </r>
    <r>
      <rPr>
        <sz val="11"/>
        <color theme="1"/>
        <rFont val="Garamond"/>
        <family val="1"/>
        <charset val="162"/>
      </rPr>
      <t>L</t>
    </r>
  </si>
  <si>
    <r>
      <t>m</t>
    </r>
    <r>
      <rPr>
        <vertAlign val="superscript"/>
        <sz val="11"/>
        <color theme="1"/>
        <rFont val="Garamond"/>
        <family val="1"/>
        <charset val="162"/>
      </rPr>
      <t>3</t>
    </r>
  </si>
  <si>
    <t>Aspect ratio</t>
  </si>
  <si>
    <t>L/D</t>
  </si>
  <si>
    <t>Bore diameter</t>
  </si>
  <si>
    <r>
      <t>D</t>
    </r>
    <r>
      <rPr>
        <vertAlign val="subscript"/>
        <sz val="11"/>
        <color theme="1"/>
        <rFont val="Garamond"/>
        <family val="1"/>
        <charset val="162"/>
      </rPr>
      <t>is</t>
    </r>
  </si>
  <si>
    <t>mm</t>
  </si>
  <si>
    <t>Axial length</t>
  </si>
  <si>
    <r>
      <t>L</t>
    </r>
    <r>
      <rPr>
        <vertAlign val="subscript"/>
        <sz val="11"/>
        <color theme="1"/>
        <rFont val="Garamond"/>
        <family val="1"/>
        <charset val="162"/>
      </rPr>
      <t>a</t>
    </r>
  </si>
  <si>
    <t>Outer diameter</t>
  </si>
  <si>
    <r>
      <t>D</t>
    </r>
    <r>
      <rPr>
        <vertAlign val="subscript"/>
        <sz val="11"/>
        <color theme="1"/>
        <rFont val="Garamond"/>
        <family val="1"/>
        <charset val="162"/>
      </rPr>
      <t>os</t>
    </r>
  </si>
  <si>
    <t>Air gap distance</t>
  </si>
  <si>
    <r>
      <t>l</t>
    </r>
    <r>
      <rPr>
        <vertAlign val="subscript"/>
        <sz val="11"/>
        <color theme="1"/>
        <rFont val="Garamond"/>
        <family val="1"/>
        <charset val="162"/>
      </rPr>
      <t>g</t>
    </r>
  </si>
  <si>
    <t>play with this</t>
  </si>
  <si>
    <t>Magnet thickness</t>
  </si>
  <si>
    <r>
      <t>l</t>
    </r>
    <r>
      <rPr>
        <vertAlign val="subscript"/>
        <sz val="11"/>
        <color theme="1"/>
        <rFont val="Garamond"/>
        <family val="1"/>
        <charset val="162"/>
      </rPr>
      <t>m</t>
    </r>
  </si>
  <si>
    <t>pole</t>
  </si>
  <si>
    <t>Do/Di</t>
  </si>
  <si>
    <t>Stator slot pitch</t>
  </si>
  <si>
    <t>??</t>
  </si>
  <si>
    <t>Flux per pole</t>
  </si>
  <si>
    <r>
      <t>τ</t>
    </r>
    <r>
      <rPr>
        <vertAlign val="subscript"/>
        <sz val="11"/>
        <color theme="1"/>
        <rFont val="Garamond"/>
        <family val="1"/>
        <charset val="162"/>
      </rPr>
      <t>s</t>
    </r>
  </si>
  <si>
    <r>
      <t>Φ</t>
    </r>
    <r>
      <rPr>
        <vertAlign val="subscript"/>
        <sz val="11"/>
        <color theme="1"/>
        <rFont val="Garamond"/>
        <family val="1"/>
        <charset val="162"/>
      </rPr>
      <t>pp</t>
    </r>
  </si>
  <si>
    <t>mWb</t>
  </si>
  <si>
    <t>Turns per coil side</t>
  </si>
  <si>
    <t>Layer number</t>
  </si>
  <si>
    <t>layer</t>
  </si>
  <si>
    <r>
      <t>z</t>
    </r>
    <r>
      <rPr>
        <vertAlign val="subscript"/>
        <sz val="11"/>
        <color theme="1"/>
        <rFont val="Garamond"/>
        <family val="1"/>
        <charset val="162"/>
      </rPr>
      <t>Q</t>
    </r>
  </si>
  <si>
    <t>Induced voltage (module-phase)</t>
  </si>
  <si>
    <r>
      <t>E</t>
    </r>
    <r>
      <rPr>
        <vertAlign val="subscript"/>
        <sz val="11"/>
        <color theme="1"/>
        <rFont val="Garamond"/>
        <family val="1"/>
        <charset val="162"/>
      </rPr>
      <t>phm</t>
    </r>
  </si>
  <si>
    <t>Turns per module per phase</t>
  </si>
  <si>
    <r>
      <t>N</t>
    </r>
    <r>
      <rPr>
        <vertAlign val="subscript"/>
        <sz val="11"/>
        <color theme="1"/>
        <rFont val="Garamond"/>
        <family val="1"/>
        <charset val="162"/>
      </rPr>
      <t>phm</t>
    </r>
  </si>
  <si>
    <t>???</t>
  </si>
  <si>
    <t>Motor</t>
  </si>
  <si>
    <t>Drive</t>
  </si>
  <si>
    <t>Inh</t>
  </si>
  <si>
    <t>Copper resistivity</t>
  </si>
  <si>
    <r>
      <rPr>
        <sz val="11"/>
        <color theme="1"/>
        <rFont val="Calibri"/>
        <family val="2"/>
        <charset val="162"/>
      </rPr>
      <t>Ω</t>
    </r>
    <r>
      <rPr>
        <sz val="11"/>
        <color theme="1"/>
        <rFont val="Garamond"/>
        <family val="1"/>
        <charset val="162"/>
      </rPr>
      <t>m</t>
    </r>
  </si>
  <si>
    <t>Copper permeability</t>
  </si>
  <si>
    <r>
      <t>ρ</t>
    </r>
    <r>
      <rPr>
        <vertAlign val="subscript"/>
        <sz val="11"/>
        <color theme="1"/>
        <rFont val="Calibri"/>
        <family val="2"/>
        <charset val="162"/>
      </rPr>
      <t>cu</t>
    </r>
  </si>
  <si>
    <r>
      <t>µ</t>
    </r>
    <r>
      <rPr>
        <vertAlign val="subscript"/>
        <sz val="11"/>
        <color theme="1"/>
        <rFont val="Calibri"/>
        <family val="2"/>
        <charset val="162"/>
      </rPr>
      <t>cu</t>
    </r>
  </si>
  <si>
    <t>H/m</t>
  </si>
  <si>
    <t>Skin depth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</si>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</sst>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Garamond"/>
      <family val="1"/>
      <charset val="162"/>
    </font>
    <font>
      <sz val="11"/>
      <color theme="1"/>
      <name val="Garamond"/>
      <family val="1"/>
      <charset val="162"/>
    </font>
    <font>
      <vertAlign val="subscript"/>
      <sz val="11"/>
      <color theme="1"/>
      <name val="Garamond"/>
      <family val="1"/>
      <charset val="162"/>
    </font>
    <font>
      <vertAlign val="superscript"/>
      <sz val="11"/>
      <color theme="1"/>
      <name val="Garamond"/>
      <family val="1"/>
      <charset val="162"/>
    </font>
    <font>
      <sz val="11"/>
      <color theme="1"/>
      <name val="Calibri"/>
      <family val="2"/>
      <charset val="162"/>
    </font>
    <font>
      <b/>
      <sz val="12"/>
      <color theme="1"/>
      <name val="Garamond"/>
      <family val="1"/>
      <charset val="162"/>
    </font>
    <font>
      <vertAlign val="subscript"/>
      <sz val="11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145" zoomScaleNormal="145" workbookViewId="0">
      <selection activeCell="I10" sqref="I10"/>
    </sheetView>
  </sheetViews>
  <sheetFormatPr defaultRowHeight="15" x14ac:dyDescent="0.25"/>
  <cols>
    <col min="1" max="1" width="27.28515625" style="1" bestFit="1" customWidth="1"/>
    <col min="2" max="2" width="7.5703125" style="2" bestFit="1" customWidth="1"/>
    <col min="3" max="3" width="7.7109375" style="2" bestFit="1" customWidth="1"/>
    <col min="4" max="4" width="7.5703125" style="2" bestFit="1" customWidth="1"/>
    <col min="5" max="5" width="20.5703125" style="1" bestFit="1" customWidth="1"/>
    <col min="6" max="6" width="7.7109375" style="2" bestFit="1" customWidth="1"/>
    <col min="7" max="7" width="8.5703125" style="2" bestFit="1" customWidth="1"/>
    <col min="8" max="8" width="5" style="2" bestFit="1" customWidth="1"/>
    <col min="9" max="9" width="23.140625" style="1" bestFit="1" customWidth="1"/>
    <col min="10" max="10" width="5.7109375" style="1" bestFit="1" customWidth="1"/>
    <col min="11" max="11" width="13.140625" style="1" bestFit="1" customWidth="1"/>
    <col min="12" max="12" width="10.5703125" style="1" bestFit="1" customWidth="1"/>
    <col min="13" max="16384" width="9.140625" style="1"/>
  </cols>
  <sheetData>
    <row r="1" spans="1:11" x14ac:dyDescent="0.25">
      <c r="A1" s="4" t="s">
        <v>55</v>
      </c>
      <c r="B1" s="5" t="s">
        <v>4</v>
      </c>
      <c r="C1" s="5" t="s">
        <v>5</v>
      </c>
      <c r="D1" s="5" t="s">
        <v>6</v>
      </c>
      <c r="E1" s="4" t="s">
        <v>54</v>
      </c>
      <c r="F1" s="5" t="s">
        <v>4</v>
      </c>
      <c r="G1" s="5" t="s">
        <v>5</v>
      </c>
      <c r="H1" s="5" t="s">
        <v>6</v>
      </c>
    </row>
    <row r="2" spans="1:11" ht="18" x14ac:dyDescent="0.35">
      <c r="A2" s="6" t="s">
        <v>8</v>
      </c>
      <c r="B2" s="7" t="s">
        <v>35</v>
      </c>
      <c r="C2" s="7">
        <v>8000</v>
      </c>
      <c r="D2" s="7" t="s">
        <v>7</v>
      </c>
      <c r="E2" s="6" t="s">
        <v>49</v>
      </c>
      <c r="F2" s="7" t="s">
        <v>50</v>
      </c>
      <c r="G2" s="7">
        <v>94</v>
      </c>
      <c r="H2" s="7" t="s">
        <v>51</v>
      </c>
    </row>
    <row r="3" spans="1:11" ht="18" x14ac:dyDescent="0.35">
      <c r="A3" s="6" t="s">
        <v>32</v>
      </c>
      <c r="B3" s="7" t="s">
        <v>36</v>
      </c>
      <c r="C3" s="7">
        <v>540</v>
      </c>
      <c r="D3" s="7" t="s">
        <v>33</v>
      </c>
      <c r="E3" s="6" t="s">
        <v>0</v>
      </c>
      <c r="F3" s="7" t="s">
        <v>52</v>
      </c>
      <c r="G3" s="7">
        <v>0.9</v>
      </c>
      <c r="H3" s="7" t="s">
        <v>15</v>
      </c>
      <c r="I3" s="2"/>
    </row>
    <row r="4" spans="1:11" ht="18" x14ac:dyDescent="0.35">
      <c r="A4" s="6" t="s">
        <v>9</v>
      </c>
      <c r="B4" s="7" t="s">
        <v>13</v>
      </c>
      <c r="C4" s="7">
        <v>4</v>
      </c>
      <c r="D4" s="7" t="s">
        <v>15</v>
      </c>
      <c r="E4" s="6" t="s">
        <v>53</v>
      </c>
      <c r="F4" s="7" t="s">
        <v>56</v>
      </c>
      <c r="G4" s="7">
        <v>98</v>
      </c>
      <c r="H4" s="7" t="s">
        <v>51</v>
      </c>
    </row>
    <row r="5" spans="1:11" ht="18" x14ac:dyDescent="0.35">
      <c r="A5" s="6" t="s">
        <v>10</v>
      </c>
      <c r="B5" s="7" t="s">
        <v>37</v>
      </c>
      <c r="C5" s="7">
        <v>2</v>
      </c>
      <c r="D5" s="7" t="s">
        <v>15</v>
      </c>
      <c r="J5" s="2"/>
      <c r="K5" s="2"/>
    </row>
    <row r="6" spans="1:11" ht="18" x14ac:dyDescent="0.35">
      <c r="A6" s="6" t="s">
        <v>11</v>
      </c>
      <c r="B6" s="7" t="s">
        <v>38</v>
      </c>
      <c r="C6" s="7">
        <v>0.85</v>
      </c>
      <c r="D6" s="7" t="s">
        <v>15</v>
      </c>
      <c r="J6" s="2"/>
      <c r="K6" s="2"/>
    </row>
    <row r="7" spans="1:11" x14ac:dyDescent="0.25">
      <c r="A7" s="6" t="s">
        <v>12</v>
      </c>
      <c r="B7" s="7" t="s">
        <v>14</v>
      </c>
      <c r="C7" s="7">
        <v>3</v>
      </c>
      <c r="D7" s="7" t="s">
        <v>15</v>
      </c>
      <c r="E7" s="29" t="s">
        <v>61</v>
      </c>
      <c r="F7" s="29"/>
      <c r="G7" s="29"/>
      <c r="H7" s="29"/>
      <c r="J7" s="2"/>
      <c r="K7" s="2"/>
    </row>
    <row r="8" spans="1:11" ht="18" x14ac:dyDescent="0.35">
      <c r="A8" s="6" t="s">
        <v>16</v>
      </c>
      <c r="B8" s="7" t="s">
        <v>39</v>
      </c>
      <c r="C8" s="7">
        <v>600</v>
      </c>
      <c r="D8" s="7" t="s">
        <v>17</v>
      </c>
      <c r="E8" s="6"/>
      <c r="F8" s="7" t="s">
        <v>62</v>
      </c>
      <c r="G8" s="8">
        <v>3.1415926500000002</v>
      </c>
      <c r="H8" s="7" t="s">
        <v>15</v>
      </c>
    </row>
    <row r="9" spans="1:11" ht="18" x14ac:dyDescent="0.35">
      <c r="A9" s="6" t="s">
        <v>18</v>
      </c>
      <c r="B9" s="7" t="s">
        <v>19</v>
      </c>
      <c r="C9" s="7">
        <v>2</v>
      </c>
      <c r="D9" s="7" t="s">
        <v>15</v>
      </c>
      <c r="E9" s="6" t="s">
        <v>111</v>
      </c>
      <c r="F9" s="30" t="s">
        <v>114</v>
      </c>
      <c r="G9" s="31">
        <v>1.7E-8</v>
      </c>
      <c r="H9" s="7" t="s">
        <v>112</v>
      </c>
    </row>
    <row r="10" spans="1:11" ht="18" x14ac:dyDescent="0.35">
      <c r="A10" s="6" t="s">
        <v>20</v>
      </c>
      <c r="B10" s="7" t="s">
        <v>40</v>
      </c>
      <c r="C10" s="7">
        <v>0.6</v>
      </c>
      <c r="D10" s="7" t="s">
        <v>15</v>
      </c>
      <c r="E10" s="6" t="s">
        <v>113</v>
      </c>
      <c r="F10" s="30" t="s">
        <v>115</v>
      </c>
      <c r="G10" s="31">
        <v>1.2566289999999999E-6</v>
      </c>
      <c r="H10" s="7" t="s">
        <v>116</v>
      </c>
    </row>
    <row r="11" spans="1:11" ht="18" x14ac:dyDescent="0.35">
      <c r="A11" s="6" t="s">
        <v>21</v>
      </c>
      <c r="B11" s="7" t="s">
        <v>41</v>
      </c>
      <c r="C11" s="7">
        <v>50</v>
      </c>
      <c r="D11" s="7" t="s">
        <v>23</v>
      </c>
      <c r="E11" s="6"/>
      <c r="F11" s="7"/>
      <c r="G11" s="7"/>
      <c r="H11" s="7"/>
    </row>
    <row r="12" spans="1:11" ht="18" x14ac:dyDescent="0.35">
      <c r="A12" s="6" t="s">
        <v>27</v>
      </c>
      <c r="B12" s="7" t="s">
        <v>42</v>
      </c>
      <c r="C12" s="7">
        <v>0.9</v>
      </c>
      <c r="D12" s="7" t="s">
        <v>28</v>
      </c>
      <c r="E12" s="6"/>
      <c r="F12" s="7"/>
      <c r="G12" s="7"/>
      <c r="H12" s="7"/>
    </row>
    <row r="13" spans="1:11" ht="17.25" x14ac:dyDescent="0.25">
      <c r="A13" s="6" t="s">
        <v>29</v>
      </c>
      <c r="B13" s="7" t="s">
        <v>30</v>
      </c>
      <c r="C13" s="7">
        <v>4</v>
      </c>
      <c r="D13" s="7" t="s">
        <v>43</v>
      </c>
      <c r="E13" s="6"/>
      <c r="F13" s="7"/>
      <c r="G13" s="7"/>
      <c r="H13" s="7"/>
    </row>
    <row r="14" spans="1:11" ht="18" x14ac:dyDescent="0.35">
      <c r="A14" s="6" t="s">
        <v>89</v>
      </c>
      <c r="B14" s="7" t="s">
        <v>90</v>
      </c>
      <c r="C14" s="7">
        <v>3</v>
      </c>
      <c r="D14" s="7" t="s">
        <v>81</v>
      </c>
      <c r="E14" s="1" t="s">
        <v>94</v>
      </c>
    </row>
    <row r="15" spans="1:11" x14ac:dyDescent="0.25">
      <c r="A15" s="6" t="s">
        <v>100</v>
      </c>
      <c r="B15" s="7" t="s">
        <v>101</v>
      </c>
      <c r="C15" s="7">
        <v>2</v>
      </c>
      <c r="D15" s="7" t="s">
        <v>15</v>
      </c>
    </row>
    <row r="30" spans="4:8" x14ac:dyDescent="0.25">
      <c r="D30" s="3"/>
      <c r="H30" s="3"/>
    </row>
  </sheetData>
  <mergeCells count="1">
    <mergeCell ref="E7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115" zoomScaleNormal="115" workbookViewId="0">
      <selection activeCell="M11" sqref="M11"/>
    </sheetView>
  </sheetViews>
  <sheetFormatPr defaultRowHeight="15" x14ac:dyDescent="0.25"/>
  <cols>
    <col min="1" max="1" width="28" style="1" bestFit="1" customWidth="1"/>
    <col min="2" max="2" width="7.7109375" style="2" bestFit="1" customWidth="1"/>
    <col min="3" max="3" width="6.42578125" style="2" bestFit="1" customWidth="1"/>
    <col min="4" max="4" width="5.7109375" style="2" bestFit="1" customWidth="1"/>
    <col min="5" max="5" width="11.7109375" bestFit="1" customWidth="1"/>
    <col min="6" max="6" width="26.28515625" bestFit="1" customWidth="1"/>
    <col min="7" max="7" width="7.7109375" bestFit="1" customWidth="1"/>
    <col min="8" max="8" width="6.140625" bestFit="1" customWidth="1"/>
    <col min="9" max="9" width="5" bestFit="1" customWidth="1"/>
    <col min="10" max="10" width="11.7109375" bestFit="1" customWidth="1"/>
    <col min="11" max="11" width="7.140625" bestFit="1" customWidth="1"/>
    <col min="12" max="21" width="4.7109375" bestFit="1" customWidth="1"/>
  </cols>
  <sheetData>
    <row r="1" spans="1:10" ht="18" customHeight="1" x14ac:dyDescent="0.25">
      <c r="A1" s="22" t="s">
        <v>108</v>
      </c>
      <c r="B1" s="23"/>
      <c r="C1" s="23"/>
      <c r="D1" s="23"/>
      <c r="E1" s="24"/>
      <c r="F1" s="21" t="s">
        <v>109</v>
      </c>
      <c r="G1" s="21"/>
      <c r="H1" s="21"/>
      <c r="I1" s="21"/>
      <c r="J1" s="21"/>
    </row>
    <row r="2" spans="1:10" ht="18" customHeight="1" x14ac:dyDescent="0.25">
      <c r="A2" s="4" t="s">
        <v>57</v>
      </c>
      <c r="B2" s="5" t="s">
        <v>4</v>
      </c>
      <c r="C2" s="5" t="s">
        <v>5</v>
      </c>
      <c r="D2" s="5" t="s">
        <v>6</v>
      </c>
      <c r="E2" s="4"/>
      <c r="F2" s="4" t="s">
        <v>57</v>
      </c>
      <c r="G2" s="5" t="s">
        <v>4</v>
      </c>
      <c r="H2" s="5" t="s">
        <v>5</v>
      </c>
      <c r="I2" s="5" t="s">
        <v>6</v>
      </c>
      <c r="J2" s="4"/>
    </row>
    <row r="3" spans="1:10" ht="18" customHeight="1" x14ac:dyDescent="0.35">
      <c r="A3" s="6" t="s">
        <v>2</v>
      </c>
      <c r="B3" s="7" t="s">
        <v>45</v>
      </c>
      <c r="C3" s="7">
        <f>Parameters!C4*Parameters!C7*Parameters!C9</f>
        <v>24</v>
      </c>
      <c r="D3" s="7" t="s">
        <v>15</v>
      </c>
      <c r="E3" s="4"/>
      <c r="F3" s="6" t="s">
        <v>34</v>
      </c>
      <c r="G3" s="7" t="s">
        <v>44</v>
      </c>
      <c r="H3" s="7">
        <f>Parameters!C4/Parameters!C5</f>
        <v>2</v>
      </c>
      <c r="I3" s="7" t="s">
        <v>15</v>
      </c>
      <c r="J3" s="28"/>
    </row>
    <row r="4" spans="1:10" ht="18" customHeight="1" x14ac:dyDescent="0.35">
      <c r="A4" s="6" t="s">
        <v>3</v>
      </c>
      <c r="B4" s="7" t="s">
        <v>24</v>
      </c>
      <c r="C4" s="7">
        <f>Parameters!C9*10</f>
        <v>20</v>
      </c>
      <c r="D4" s="7" t="s">
        <v>15</v>
      </c>
      <c r="E4" s="4"/>
      <c r="F4" s="6" t="s">
        <v>63</v>
      </c>
      <c r="G4" s="7" t="s">
        <v>64</v>
      </c>
      <c r="H4" s="10">
        <f>Parameters!C2/(Parameters!C4*Parameters!G2/100)</f>
        <v>2127.6595744680853</v>
      </c>
      <c r="I4" s="7" t="s">
        <v>7</v>
      </c>
      <c r="J4" s="28"/>
    </row>
    <row r="5" spans="1:10" ht="18" customHeight="1" x14ac:dyDescent="0.35">
      <c r="A5" s="6" t="s">
        <v>31</v>
      </c>
      <c r="B5" s="7" t="s">
        <v>46</v>
      </c>
      <c r="C5" s="7">
        <f>C3/(C4*Parameters!C7)</f>
        <v>0.4</v>
      </c>
      <c r="D5" s="7" t="s">
        <v>15</v>
      </c>
      <c r="E5" s="4"/>
      <c r="F5" s="6" t="s">
        <v>66</v>
      </c>
      <c r="G5" s="7" t="s">
        <v>67</v>
      </c>
      <c r="H5" s="7">
        <f>Parameters!C3/Parameters!C5</f>
        <v>270</v>
      </c>
      <c r="I5" s="7" t="s">
        <v>33</v>
      </c>
      <c r="J5" s="28"/>
    </row>
    <row r="6" spans="1:10" ht="18" customHeight="1" x14ac:dyDescent="0.35">
      <c r="A6" s="6" t="s">
        <v>1</v>
      </c>
      <c r="B6" s="7" t="s">
        <v>47</v>
      </c>
      <c r="C6" s="7">
        <v>0.93300000000000005</v>
      </c>
      <c r="D6" s="7" t="s">
        <v>15</v>
      </c>
      <c r="E6" s="16" t="s">
        <v>110</v>
      </c>
      <c r="F6" s="6" t="s">
        <v>26</v>
      </c>
      <c r="G6" s="7" t="s">
        <v>48</v>
      </c>
      <c r="H6" s="8">
        <f>0.612*Parameters!C6*H5/SQRT(3)</f>
        <v>81.091154708759703</v>
      </c>
      <c r="I6" s="7" t="s">
        <v>33</v>
      </c>
      <c r="J6" s="27"/>
    </row>
    <row r="7" spans="1:10" ht="18" customHeight="1" x14ac:dyDescent="0.35">
      <c r="A7" s="6" t="s">
        <v>72</v>
      </c>
      <c r="B7" s="7" t="s">
        <v>73</v>
      </c>
      <c r="C7" s="7">
        <f>Parameters!C11*Parameters!C12</f>
        <v>45</v>
      </c>
      <c r="D7" s="7" t="s">
        <v>74</v>
      </c>
      <c r="E7" s="4"/>
      <c r="F7" s="6" t="s">
        <v>68</v>
      </c>
      <c r="G7" s="7" t="s">
        <v>69</v>
      </c>
      <c r="H7" s="8">
        <f>H4/(Parameters!G3*'General Calculations'!H6*3)</f>
        <v>9.7177314523144265</v>
      </c>
      <c r="I7" s="7" t="s">
        <v>22</v>
      </c>
      <c r="J7" s="28"/>
    </row>
    <row r="8" spans="1:10" ht="18" customHeight="1" x14ac:dyDescent="0.35">
      <c r="A8" s="6" t="s">
        <v>59</v>
      </c>
      <c r="B8" s="7" t="s">
        <v>60</v>
      </c>
      <c r="C8" s="8">
        <f>Parameters!C2/(Parameters!C8*2*Parameters!G8/60)</f>
        <v>127.32395461900511</v>
      </c>
      <c r="D8" s="7" t="s">
        <v>65</v>
      </c>
      <c r="E8" s="4"/>
      <c r="F8" s="6" t="s">
        <v>25</v>
      </c>
      <c r="G8" s="7" t="s">
        <v>70</v>
      </c>
      <c r="H8" s="7">
        <f>Parameters!C8*'General Calculations'!C4/120</f>
        <v>100</v>
      </c>
      <c r="I8" s="7" t="s">
        <v>71</v>
      </c>
      <c r="J8" s="28"/>
    </row>
    <row r="9" spans="1:10" ht="18" customHeight="1" x14ac:dyDescent="0.25">
      <c r="A9" s="6" t="s">
        <v>75</v>
      </c>
      <c r="B9" s="7" t="s">
        <v>75</v>
      </c>
      <c r="C9" s="9">
        <f>2*C8/(C7*1000*Parameters!G8)</f>
        <v>1.8012654910913857E-3</v>
      </c>
      <c r="D9" s="7" t="s">
        <v>76</v>
      </c>
      <c r="E9" s="4"/>
      <c r="F9" s="25"/>
      <c r="G9" s="25"/>
      <c r="H9" s="25"/>
      <c r="I9" s="25"/>
      <c r="J9" s="28"/>
    </row>
    <row r="10" spans="1:10" ht="18" customHeight="1" x14ac:dyDescent="0.25">
      <c r="A10" s="6" t="s">
        <v>77</v>
      </c>
      <c r="B10" s="7" t="s">
        <v>78</v>
      </c>
      <c r="C10" s="7">
        <v>0.3</v>
      </c>
      <c r="D10" s="7" t="s">
        <v>15</v>
      </c>
      <c r="E10" s="16" t="s">
        <v>88</v>
      </c>
      <c r="F10" s="25"/>
      <c r="G10" s="25"/>
      <c r="H10" s="25"/>
      <c r="I10" s="25"/>
      <c r="J10" s="27"/>
    </row>
    <row r="11" spans="1:10" ht="18" customHeight="1" x14ac:dyDescent="0.35">
      <c r="A11" s="18" t="s">
        <v>79</v>
      </c>
      <c r="B11" s="19" t="s">
        <v>80</v>
      </c>
      <c r="C11" s="20">
        <f>1000*(C9/C10)^(1/3)</f>
        <v>181.7546335652992</v>
      </c>
      <c r="D11" s="19" t="s">
        <v>81</v>
      </c>
      <c r="E11" s="6"/>
      <c r="F11" s="25"/>
      <c r="G11" s="25"/>
      <c r="H11" s="25"/>
      <c r="I11" s="25"/>
      <c r="J11" s="26"/>
    </row>
    <row r="12" spans="1:10" ht="18" customHeight="1" x14ac:dyDescent="0.35">
      <c r="A12" s="6" t="s">
        <v>82</v>
      </c>
      <c r="B12" s="7" t="s">
        <v>83</v>
      </c>
      <c r="C12" s="10">
        <f>C11*C10</f>
        <v>54.526390069589759</v>
      </c>
      <c r="D12" s="7" t="s">
        <v>81</v>
      </c>
      <c r="E12" s="26"/>
      <c r="F12" s="6"/>
      <c r="G12" s="6"/>
      <c r="H12" s="6"/>
      <c r="I12" s="6"/>
      <c r="J12" s="26"/>
    </row>
    <row r="13" spans="1:10" ht="18" customHeight="1" x14ac:dyDescent="0.25">
      <c r="A13" s="6" t="s">
        <v>92</v>
      </c>
      <c r="B13" s="7" t="s">
        <v>92</v>
      </c>
      <c r="C13" s="8">
        <v>1.4</v>
      </c>
      <c r="D13" s="7" t="s">
        <v>15</v>
      </c>
      <c r="E13" s="16" t="s">
        <v>88</v>
      </c>
      <c r="F13" s="6"/>
      <c r="G13" s="6"/>
      <c r="H13" s="6"/>
      <c r="I13" s="6"/>
      <c r="J13" s="27"/>
    </row>
    <row r="14" spans="1:10" ht="18" customHeight="1" x14ac:dyDescent="0.35">
      <c r="A14" s="6" t="s">
        <v>84</v>
      </c>
      <c r="B14" s="7" t="s">
        <v>85</v>
      </c>
      <c r="C14" s="10">
        <f>C13*C11</f>
        <v>254.45648699141887</v>
      </c>
      <c r="D14" s="7" t="s">
        <v>81</v>
      </c>
      <c r="E14" s="6"/>
      <c r="F14" s="6"/>
      <c r="G14" s="6"/>
      <c r="H14" s="6"/>
      <c r="I14" s="6"/>
      <c r="J14" s="26"/>
    </row>
    <row r="15" spans="1:10" ht="18" customHeight="1" x14ac:dyDescent="0.35">
      <c r="A15" s="6" t="s">
        <v>86</v>
      </c>
      <c r="B15" s="7" t="s">
        <v>87</v>
      </c>
      <c r="C15" s="7">
        <f>ROUND(((0.18+0.006*(Parameters!C2)^0.4)*1.6),1)</f>
        <v>0.6</v>
      </c>
      <c r="D15" s="7" t="s">
        <v>81</v>
      </c>
      <c r="E15" s="27"/>
      <c r="F15" s="6"/>
      <c r="G15" s="6"/>
      <c r="H15" s="6"/>
      <c r="I15" s="6"/>
      <c r="J15" s="27"/>
    </row>
    <row r="16" spans="1:10" ht="18" customHeight="1" x14ac:dyDescent="0.35">
      <c r="A16" s="6" t="s">
        <v>93</v>
      </c>
      <c r="B16" s="7" t="s">
        <v>96</v>
      </c>
      <c r="C16" s="8">
        <f>Parameters!G8*C11/'General Calculations'!C3</f>
        <v>23.791625871341139</v>
      </c>
      <c r="D16" s="7" t="s">
        <v>81</v>
      </c>
      <c r="E16" s="6"/>
      <c r="F16" s="6"/>
      <c r="G16" s="6"/>
      <c r="H16" s="6"/>
      <c r="I16" s="6"/>
      <c r="J16" s="26"/>
    </row>
    <row r="17" spans="1:10" ht="18" customHeight="1" x14ac:dyDescent="0.35">
      <c r="A17" s="6" t="s">
        <v>95</v>
      </c>
      <c r="B17" s="7" t="s">
        <v>97</v>
      </c>
      <c r="C17" s="15">
        <f>0.001*2*C11*C12*Parameters!C12/'General Calculations'!C4</f>
        <v>0.891938164206317</v>
      </c>
      <c r="D17" s="7" t="s">
        <v>98</v>
      </c>
      <c r="E17" s="6"/>
      <c r="F17" s="6"/>
      <c r="G17" s="6"/>
      <c r="H17" s="6"/>
      <c r="I17" s="6"/>
      <c r="J17" s="26"/>
    </row>
    <row r="18" spans="1:10" ht="18" customHeight="1" x14ac:dyDescent="0.35">
      <c r="A18" s="6" t="s">
        <v>99</v>
      </c>
      <c r="B18" s="7" t="s">
        <v>102</v>
      </c>
      <c r="C18" s="7">
        <v>100</v>
      </c>
      <c r="D18" s="7" t="s">
        <v>15</v>
      </c>
      <c r="E18" s="6"/>
      <c r="F18" s="6"/>
      <c r="G18" s="6"/>
      <c r="H18" s="6"/>
      <c r="I18" s="6"/>
      <c r="J18" s="6"/>
    </row>
    <row r="19" spans="1:10" ht="18" customHeight="1" x14ac:dyDescent="0.35">
      <c r="A19" s="6" t="s">
        <v>105</v>
      </c>
      <c r="B19" s="7" t="s">
        <v>106</v>
      </c>
      <c r="C19" s="7">
        <f>C18*Parameters!C9*Parameters!C15/2</f>
        <v>200</v>
      </c>
      <c r="D19" s="7" t="s">
        <v>15</v>
      </c>
      <c r="E19" s="6"/>
      <c r="F19" s="6"/>
      <c r="G19" s="6"/>
      <c r="H19" s="6"/>
      <c r="I19" s="6"/>
      <c r="J19" s="6"/>
    </row>
    <row r="20" spans="1:10" ht="18" customHeight="1" x14ac:dyDescent="0.35">
      <c r="A20" s="6" t="s">
        <v>103</v>
      </c>
      <c r="B20" s="7" t="s">
        <v>104</v>
      </c>
      <c r="C20" s="8">
        <f>4.44*C19*H8*C17*C6/1000</f>
        <v>73.897433679759047</v>
      </c>
      <c r="D20" s="7" t="s">
        <v>33</v>
      </c>
      <c r="E20" s="6"/>
      <c r="F20" s="6"/>
      <c r="G20" s="6"/>
      <c r="H20" s="6"/>
      <c r="I20" s="6"/>
      <c r="J20" s="6"/>
    </row>
    <row r="21" spans="1:10" ht="18" customHeight="1" x14ac:dyDescent="0.25">
      <c r="A21" s="6" t="s">
        <v>117</v>
      </c>
      <c r="B21" s="30" t="s">
        <v>118</v>
      </c>
      <c r="C21" s="8">
        <f>1000*SQRT(2*Parameters!G9/(2*Parameters!G8*H8*Parameters!G10))</f>
        <v>6.562147464226471</v>
      </c>
      <c r="D21" s="7" t="s">
        <v>81</v>
      </c>
      <c r="E21" s="6"/>
      <c r="F21" s="6"/>
      <c r="G21" s="6"/>
      <c r="H21" s="6"/>
      <c r="I21" s="6"/>
      <c r="J21" s="6"/>
    </row>
    <row r="22" spans="1:10" ht="18" customHeight="1" x14ac:dyDescent="0.25">
      <c r="A22" s="6"/>
      <c r="B22" s="7"/>
      <c r="C22" s="7"/>
      <c r="D22" s="7"/>
      <c r="E22" s="6"/>
      <c r="F22" s="6"/>
      <c r="G22" s="6"/>
      <c r="H22" s="6"/>
      <c r="I22" s="6"/>
      <c r="J22" s="6"/>
    </row>
    <row r="23" spans="1:10" ht="18" customHeight="1" x14ac:dyDescent="0.25">
      <c r="A23" s="6"/>
      <c r="B23" s="7"/>
      <c r="C23" s="7"/>
      <c r="D23" s="7"/>
      <c r="E23" s="6"/>
      <c r="F23" s="6"/>
      <c r="G23" s="6"/>
      <c r="H23" s="6"/>
      <c r="I23" s="6"/>
      <c r="J23" s="6"/>
    </row>
    <row r="31" spans="1:10" x14ac:dyDescent="0.25">
      <c r="D31" s="3"/>
    </row>
  </sheetData>
  <mergeCells count="2">
    <mergeCell ref="A1:E1"/>
    <mergeCell ref="F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145" zoomScaleNormal="145" workbookViewId="0">
      <selection activeCell="E12" sqref="E12"/>
    </sheetView>
  </sheetViews>
  <sheetFormatPr defaultRowHeight="15" x14ac:dyDescent="0.25"/>
  <cols>
    <col min="1" max="1" width="28" style="1" bestFit="1" customWidth="1"/>
    <col min="2" max="2" width="7.7109375" style="2" bestFit="1" customWidth="1"/>
    <col min="3" max="3" width="7.42578125" style="2" bestFit="1" customWidth="1"/>
    <col min="4" max="4" width="5.7109375" style="2" bestFit="1" customWidth="1"/>
    <col min="5" max="5" width="11.7109375" bestFit="1" customWidth="1"/>
    <col min="7" max="7" width="7.140625" bestFit="1" customWidth="1"/>
    <col min="8" max="17" width="4.7109375" bestFit="1" customWidth="1"/>
  </cols>
  <sheetData>
    <row r="1" spans="1:18" x14ac:dyDescent="0.25">
      <c r="A1" s="4" t="s">
        <v>57</v>
      </c>
      <c r="B1" s="5" t="s">
        <v>4</v>
      </c>
      <c r="C1" s="5" t="s">
        <v>5</v>
      </c>
      <c r="D1" s="5" t="s">
        <v>6</v>
      </c>
    </row>
    <row r="2" spans="1:18" ht="18" x14ac:dyDescent="0.35">
      <c r="A2" s="6" t="s">
        <v>34</v>
      </c>
      <c r="B2" s="7" t="s">
        <v>44</v>
      </c>
      <c r="C2" s="7">
        <f>Parameters!C4/Parameters!C5</f>
        <v>2</v>
      </c>
      <c r="D2" s="7" t="s">
        <v>15</v>
      </c>
    </row>
    <row r="3" spans="1:18" ht="18" x14ac:dyDescent="0.35">
      <c r="A3" s="6" t="s">
        <v>2</v>
      </c>
      <c r="B3" s="7" t="s">
        <v>45</v>
      </c>
      <c r="C3" s="7">
        <f>Parameters!C4*Parameters!C7*Parameters!C9</f>
        <v>24</v>
      </c>
      <c r="D3" s="7" t="s">
        <v>15</v>
      </c>
    </row>
    <row r="4" spans="1:18" x14ac:dyDescent="0.25">
      <c r="A4" s="6" t="s">
        <v>3</v>
      </c>
      <c r="B4" s="7" t="s">
        <v>24</v>
      </c>
      <c r="C4" s="7">
        <f>Parameters!C9*10</f>
        <v>20</v>
      </c>
      <c r="D4" s="7" t="s">
        <v>15</v>
      </c>
    </row>
    <row r="5" spans="1:18" ht="18" x14ac:dyDescent="0.35">
      <c r="A5" s="6" t="s">
        <v>31</v>
      </c>
      <c r="B5" s="7" t="s">
        <v>46</v>
      </c>
      <c r="C5" s="7">
        <f>C3/(C4*Parameters!C7)</f>
        <v>0.4</v>
      </c>
      <c r="D5" s="7" t="s">
        <v>15</v>
      </c>
      <c r="G5" s="12" t="s">
        <v>91</v>
      </c>
      <c r="H5" s="12">
        <v>2</v>
      </c>
      <c r="I5" s="12">
        <v>4</v>
      </c>
      <c r="J5" s="12">
        <v>6</v>
      </c>
      <c r="K5" s="12">
        <v>8</v>
      </c>
      <c r="L5" s="12">
        <v>10</v>
      </c>
      <c r="M5" s="12">
        <v>12</v>
      </c>
      <c r="N5" s="12">
        <v>14</v>
      </c>
      <c r="O5" s="12">
        <v>16</v>
      </c>
      <c r="P5" s="12">
        <v>18</v>
      </c>
      <c r="Q5" s="12">
        <v>20</v>
      </c>
    </row>
    <row r="6" spans="1:18" ht="18" x14ac:dyDescent="0.35">
      <c r="A6" s="6" t="s">
        <v>1</v>
      </c>
      <c r="B6" s="7" t="s">
        <v>47</v>
      </c>
      <c r="C6" s="7">
        <v>0.93300000000000005</v>
      </c>
      <c r="D6" s="7" t="s">
        <v>15</v>
      </c>
      <c r="E6" s="16" t="s">
        <v>58</v>
      </c>
      <c r="G6" s="13" t="s">
        <v>92</v>
      </c>
      <c r="H6" s="14">
        <v>2</v>
      </c>
      <c r="I6" s="14">
        <v>1.88</v>
      </c>
      <c r="J6" s="14">
        <v>1.78</v>
      </c>
      <c r="K6" s="14">
        <v>1.66</v>
      </c>
      <c r="L6" s="14">
        <v>1.54</v>
      </c>
      <c r="M6" s="14">
        <v>1.43</v>
      </c>
      <c r="N6" s="14"/>
      <c r="O6" s="14"/>
      <c r="P6" s="14"/>
      <c r="Q6" s="14"/>
    </row>
    <row r="7" spans="1:18" ht="18" x14ac:dyDescent="0.35">
      <c r="A7" s="6" t="s">
        <v>59</v>
      </c>
      <c r="B7" s="7" t="s">
        <v>60</v>
      </c>
      <c r="C7" s="8">
        <f>Parameters!C2/(Parameters!C8*2*Parameters!G8/60)</f>
        <v>127.32395461900511</v>
      </c>
      <c r="D7" s="7" t="s">
        <v>65</v>
      </c>
      <c r="G7" s="13" t="s">
        <v>92</v>
      </c>
      <c r="H7" s="14">
        <f>2-((H5)/2-1)*0.1</f>
        <v>2</v>
      </c>
      <c r="I7" s="14">
        <f>2-((I5)/2-1)*0.115</f>
        <v>1.885</v>
      </c>
      <c r="J7" s="14">
        <f t="shared" ref="J7:M7" si="0">2-((J5)/2-1)*0.115</f>
        <v>1.77</v>
      </c>
      <c r="K7" s="14">
        <f t="shared" si="0"/>
        <v>1.655</v>
      </c>
      <c r="L7" s="14">
        <f t="shared" si="0"/>
        <v>1.54</v>
      </c>
      <c r="M7" s="14">
        <f t="shared" si="0"/>
        <v>1.4249999999999998</v>
      </c>
      <c r="N7" s="14">
        <f>2-((N5)/2-1)*0.11</f>
        <v>1.3399999999999999</v>
      </c>
      <c r="O7" s="14">
        <f t="shared" ref="O7:Q7" si="1">2-((O5)/2-1)*0.11</f>
        <v>1.23</v>
      </c>
      <c r="P7" s="14">
        <f t="shared" si="1"/>
        <v>1.1200000000000001</v>
      </c>
      <c r="Q7" s="14">
        <f t="shared" si="1"/>
        <v>1.01</v>
      </c>
      <c r="R7" t="s">
        <v>107</v>
      </c>
    </row>
    <row r="8" spans="1:18" ht="18" x14ac:dyDescent="0.35">
      <c r="A8" s="6" t="s">
        <v>63</v>
      </c>
      <c r="B8" s="7" t="s">
        <v>64</v>
      </c>
      <c r="C8" s="8">
        <f>Parameters!C2/(Parameters!C4*Parameters!G2/100)</f>
        <v>2127.6595744680853</v>
      </c>
      <c r="D8" s="7" t="s">
        <v>7</v>
      </c>
    </row>
    <row r="9" spans="1:18" ht="18" x14ac:dyDescent="0.35">
      <c r="A9" s="6" t="s">
        <v>66</v>
      </c>
      <c r="B9" s="7" t="s">
        <v>67</v>
      </c>
      <c r="C9" s="7">
        <f>Parameters!C3/Parameters!C5</f>
        <v>270</v>
      </c>
      <c r="D9" s="7" t="s">
        <v>33</v>
      </c>
    </row>
    <row r="10" spans="1:18" ht="18" x14ac:dyDescent="0.35">
      <c r="A10" s="6" t="s">
        <v>26</v>
      </c>
      <c r="B10" s="7" t="s">
        <v>48</v>
      </c>
      <c r="C10" s="8">
        <f>0.612*Parameters!C6*C9/SQRT(3)</f>
        <v>81.091154708759703</v>
      </c>
      <c r="D10" s="7" t="s">
        <v>33</v>
      </c>
    </row>
    <row r="11" spans="1:18" ht="18" x14ac:dyDescent="0.35">
      <c r="A11" s="6" t="s">
        <v>68</v>
      </c>
      <c r="B11" s="7" t="s">
        <v>69</v>
      </c>
      <c r="C11" s="8">
        <f>C8/(Parameters!G3*'Calculations-old'!C10*3)</f>
        <v>9.7177314523144265</v>
      </c>
      <c r="D11" s="7" t="s">
        <v>22</v>
      </c>
    </row>
    <row r="12" spans="1:18" ht="18" x14ac:dyDescent="0.35">
      <c r="A12" s="6" t="s">
        <v>25</v>
      </c>
      <c r="B12" s="7" t="s">
        <v>70</v>
      </c>
      <c r="C12" s="7">
        <f>Parameters!C8*'Calculations-old'!C4/120</f>
        <v>100</v>
      </c>
      <c r="D12" s="7" t="s">
        <v>71</v>
      </c>
    </row>
    <row r="13" spans="1:18" x14ac:dyDescent="0.25">
      <c r="A13" s="6" t="s">
        <v>72</v>
      </c>
      <c r="B13" s="7" t="s">
        <v>73</v>
      </c>
      <c r="C13" s="7">
        <f>Parameters!C11*Parameters!C12</f>
        <v>45</v>
      </c>
      <c r="D13" s="7" t="s">
        <v>74</v>
      </c>
    </row>
    <row r="14" spans="1:18" ht="17.25" x14ac:dyDescent="0.25">
      <c r="A14" s="6" t="s">
        <v>75</v>
      </c>
      <c r="B14" s="7" t="s">
        <v>75</v>
      </c>
      <c r="C14" s="9">
        <f>2*C7/(C13*1000*Parameters!G8)</f>
        <v>1.8012654910913857E-3</v>
      </c>
      <c r="D14" s="7" t="s">
        <v>76</v>
      </c>
      <c r="J14">
        <f>0.155^2*150</f>
        <v>3.6037500000000002</v>
      </c>
      <c r="K14">
        <v>155</v>
      </c>
    </row>
    <row r="15" spans="1:18" x14ac:dyDescent="0.25">
      <c r="A15" s="6" t="s">
        <v>77</v>
      </c>
      <c r="B15" s="7" t="s">
        <v>78</v>
      </c>
      <c r="C15" s="7">
        <v>0.3</v>
      </c>
      <c r="D15" s="7" t="s">
        <v>15</v>
      </c>
      <c r="E15" s="16" t="s">
        <v>88</v>
      </c>
      <c r="K15">
        <v>150</v>
      </c>
    </row>
    <row r="16" spans="1:18" ht="18" x14ac:dyDescent="0.35">
      <c r="A16" s="6" t="s">
        <v>79</v>
      </c>
      <c r="B16" s="7" t="s">
        <v>80</v>
      </c>
      <c r="C16" s="10">
        <f>1000*(C14/C15)^(1/3)</f>
        <v>181.7546335652992</v>
      </c>
      <c r="D16" s="7" t="s">
        <v>81</v>
      </c>
    </row>
    <row r="17" spans="1:5" ht="18" x14ac:dyDescent="0.35">
      <c r="A17" s="6" t="s">
        <v>82</v>
      </c>
      <c r="B17" s="7" t="s">
        <v>83</v>
      </c>
      <c r="C17" s="10">
        <f>C16*C15</f>
        <v>54.526390069589759</v>
      </c>
      <c r="D17" s="7" t="s">
        <v>81</v>
      </c>
      <c r="E17" s="11"/>
    </row>
    <row r="18" spans="1:5" x14ac:dyDescent="0.25">
      <c r="A18" s="6" t="s">
        <v>92</v>
      </c>
      <c r="B18" s="7" t="s">
        <v>92</v>
      </c>
      <c r="C18" s="8">
        <v>1.4</v>
      </c>
      <c r="D18" s="7" t="s">
        <v>15</v>
      </c>
      <c r="E18" s="16" t="s">
        <v>88</v>
      </c>
    </row>
    <row r="19" spans="1:5" ht="18" customHeight="1" x14ac:dyDescent="0.35">
      <c r="A19" s="6" t="s">
        <v>84</v>
      </c>
      <c r="B19" s="7" t="s">
        <v>85</v>
      </c>
      <c r="C19" s="10">
        <f>C18*C16</f>
        <v>254.45648699141887</v>
      </c>
      <c r="D19" s="7" t="s">
        <v>81</v>
      </c>
    </row>
    <row r="20" spans="1:5" ht="18" customHeight="1" x14ac:dyDescent="0.35">
      <c r="A20" s="6" t="s">
        <v>86</v>
      </c>
      <c r="B20" s="7" t="s">
        <v>87</v>
      </c>
      <c r="C20" s="7">
        <f>ROUND(((0.18+0.006*(Parameters!C2)^0.4)*1.6),1)</f>
        <v>0.6</v>
      </c>
      <c r="D20" s="7" t="s">
        <v>81</v>
      </c>
      <c r="E20" s="17"/>
    </row>
    <row r="21" spans="1:5" ht="18" customHeight="1" x14ac:dyDescent="0.35">
      <c r="A21" s="6" t="s">
        <v>93</v>
      </c>
      <c r="B21" s="7" t="s">
        <v>96</v>
      </c>
      <c r="C21" s="8">
        <f>Parameters!G8*'Calculations-old'!C16/'Calculations-old'!C3</f>
        <v>23.791625871341139</v>
      </c>
      <c r="D21" s="7" t="s">
        <v>81</v>
      </c>
    </row>
    <row r="22" spans="1:5" ht="18" customHeight="1" x14ac:dyDescent="0.35">
      <c r="A22" s="6" t="s">
        <v>95</v>
      </c>
      <c r="B22" s="7" t="s">
        <v>97</v>
      </c>
      <c r="C22" s="15">
        <f>0.001*2*C16*C17*Parameters!C12/'Calculations-old'!C4</f>
        <v>0.891938164206317</v>
      </c>
      <c r="D22" s="7" t="s">
        <v>98</v>
      </c>
    </row>
    <row r="23" spans="1:5" ht="18" customHeight="1" x14ac:dyDescent="0.35">
      <c r="A23" s="6" t="s">
        <v>99</v>
      </c>
      <c r="B23" s="7" t="s">
        <v>102</v>
      </c>
      <c r="C23" s="7">
        <v>100</v>
      </c>
      <c r="D23" s="7" t="s">
        <v>15</v>
      </c>
    </row>
    <row r="24" spans="1:5" ht="18" customHeight="1" x14ac:dyDescent="0.35">
      <c r="A24" s="6" t="s">
        <v>105</v>
      </c>
      <c r="B24" s="7" t="s">
        <v>106</v>
      </c>
      <c r="C24" s="7">
        <f>C23*Parameters!C9*Parameters!C15/2</f>
        <v>200</v>
      </c>
      <c r="D24" s="7" t="s">
        <v>15</v>
      </c>
    </row>
    <row r="25" spans="1:5" ht="18" customHeight="1" x14ac:dyDescent="0.35">
      <c r="A25" s="6" t="s">
        <v>103</v>
      </c>
      <c r="B25" s="7" t="s">
        <v>104</v>
      </c>
      <c r="C25" s="8">
        <f>4.44*C24*C12*C22*C6/1000</f>
        <v>73.897433679759047</v>
      </c>
      <c r="D25" s="7" t="s">
        <v>33</v>
      </c>
    </row>
    <row r="26" spans="1:5" ht="18" customHeight="1" x14ac:dyDescent="0.25">
      <c r="A26" s="6"/>
      <c r="B26" s="7"/>
      <c r="C26" s="7"/>
      <c r="D26" s="7"/>
    </row>
    <row r="27" spans="1:5" ht="18" customHeight="1" x14ac:dyDescent="0.25">
      <c r="A27" s="6"/>
      <c r="B27" s="7"/>
      <c r="C27" s="7"/>
      <c r="D27" s="7"/>
    </row>
    <row r="28" spans="1:5" ht="18" customHeight="1" x14ac:dyDescent="0.25">
      <c r="A28" s="6"/>
      <c r="B28" s="7"/>
      <c r="C28" s="7"/>
      <c r="D28" s="7"/>
    </row>
    <row r="36" spans="4:4" x14ac:dyDescent="0.25">
      <c r="D36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45" zoomScaleNormal="145" workbookViewId="0">
      <selection activeCell="B7" sqref="B7"/>
    </sheetView>
  </sheetViews>
  <sheetFormatPr defaultRowHeight="15" x14ac:dyDescent="0.25"/>
  <cols>
    <col min="1" max="1" width="26.140625" bestFit="1" customWidth="1"/>
  </cols>
  <sheetData>
    <row r="1" spans="1:12" x14ac:dyDescent="0.25">
      <c r="A1" s="12" t="s">
        <v>91</v>
      </c>
      <c r="B1" s="12">
        <v>2</v>
      </c>
      <c r="C1" s="12">
        <v>4</v>
      </c>
      <c r="D1" s="12">
        <v>6</v>
      </c>
      <c r="E1" s="12">
        <v>8</v>
      </c>
      <c r="F1" s="12">
        <v>10</v>
      </c>
      <c r="G1" s="12">
        <v>12</v>
      </c>
      <c r="H1" s="12">
        <v>14</v>
      </c>
      <c r="I1" s="12">
        <v>16</v>
      </c>
      <c r="J1" s="12">
        <v>18</v>
      </c>
      <c r="K1" s="12">
        <v>20</v>
      </c>
    </row>
    <row r="2" spans="1:12" x14ac:dyDescent="0.25">
      <c r="A2" s="13" t="s">
        <v>92</v>
      </c>
      <c r="B2" s="14">
        <v>2</v>
      </c>
      <c r="C2" s="14">
        <v>1.88</v>
      </c>
      <c r="D2" s="14">
        <v>1.78</v>
      </c>
      <c r="E2" s="14">
        <v>1.66</v>
      </c>
      <c r="F2" s="14">
        <v>1.54</v>
      </c>
      <c r="G2" s="14">
        <v>1.43</v>
      </c>
      <c r="H2" s="14"/>
      <c r="I2" s="14"/>
      <c r="J2" s="14"/>
      <c r="K2" s="14"/>
    </row>
    <row r="3" spans="1:12" x14ac:dyDescent="0.25">
      <c r="A3" s="13" t="s">
        <v>92</v>
      </c>
      <c r="B3" s="14">
        <f>2-((B1)/2-1)*0.1</f>
        <v>2</v>
      </c>
      <c r="C3" s="14">
        <f>2-((C1)/2-1)*0.115</f>
        <v>1.885</v>
      </c>
      <c r="D3" s="14">
        <f>2-((D1)/2-1)*0.115</f>
        <v>1.77</v>
      </c>
      <c r="E3" s="14">
        <f>2-((E1)/2-1)*0.115</f>
        <v>1.655</v>
      </c>
      <c r="F3" s="14">
        <f>2-((F1)/2-1)*0.115</f>
        <v>1.54</v>
      </c>
      <c r="G3" s="14">
        <f>2-((G1)/2-1)*0.115</f>
        <v>1.4249999999999998</v>
      </c>
      <c r="H3" s="14">
        <f>2-((H1)/2-1)*0.11</f>
        <v>1.3399999999999999</v>
      </c>
      <c r="I3" s="14">
        <f>2-((I1)/2-1)*0.11</f>
        <v>1.23</v>
      </c>
      <c r="J3" s="14">
        <f>2-((J1)/2-1)*0.11</f>
        <v>1.1200000000000001</v>
      </c>
      <c r="K3" s="14">
        <f>2-((K1)/2-1)*0.11</f>
        <v>1.01</v>
      </c>
      <c r="L3" t="s">
        <v>107</v>
      </c>
    </row>
    <row r="4" spans="1:12" x14ac:dyDescent="0.25">
      <c r="A4" s="1"/>
      <c r="B4" s="2"/>
      <c r="C4" s="3"/>
    </row>
    <row r="5" spans="1:12" x14ac:dyDescent="0.25">
      <c r="A5" s="1"/>
      <c r="B5" s="2"/>
      <c r="C5" s="2"/>
    </row>
    <row r="6" spans="1:12" x14ac:dyDescent="0.25">
      <c r="A6" s="1"/>
      <c r="B6" s="2"/>
      <c r="C6" s="2"/>
    </row>
    <row r="7" spans="1:12" x14ac:dyDescent="0.25">
      <c r="A7" s="1"/>
      <c r="B7" s="2"/>
      <c r="C7" s="2"/>
    </row>
    <row r="8" spans="1:12" x14ac:dyDescent="0.25">
      <c r="A8" s="1"/>
      <c r="B8" s="2"/>
      <c r="C8" s="2"/>
    </row>
    <row r="9" spans="1:12" x14ac:dyDescent="0.25">
      <c r="A9" s="1"/>
      <c r="B9" s="2"/>
      <c r="C9" s="2"/>
    </row>
    <row r="10" spans="1:12" x14ac:dyDescent="0.25">
      <c r="A10" s="1"/>
      <c r="B10" s="2"/>
      <c r="C10" s="2"/>
    </row>
    <row r="11" spans="1:12" x14ac:dyDescent="0.25">
      <c r="A11" s="1"/>
      <c r="B11" s="2"/>
      <c r="C11" s="2"/>
    </row>
    <row r="12" spans="1:12" x14ac:dyDescent="0.25">
      <c r="A12" s="1"/>
      <c r="B12" s="2"/>
      <c r="C12" s="2"/>
    </row>
    <row r="13" spans="1:12" x14ac:dyDescent="0.25">
      <c r="A13" s="1"/>
      <c r="B13" s="2"/>
      <c r="C13" s="2"/>
    </row>
    <row r="14" spans="1:12" x14ac:dyDescent="0.25">
      <c r="A14" s="1"/>
      <c r="B14" s="2"/>
      <c r="C14" s="2"/>
    </row>
    <row r="15" spans="1:12" x14ac:dyDescent="0.25">
      <c r="A15" s="1"/>
      <c r="B15" s="2"/>
      <c r="C15" s="2"/>
    </row>
    <row r="16" spans="1:12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General Calculations</vt:lpstr>
      <vt:lpstr>Calculations-old</vt:lpstr>
      <vt:lpstr>Burdadursun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2017-10-11T08:37:46Z</dcterms:created>
  <dcterms:modified xsi:type="dcterms:W3CDTF">2017-10-12T12:15:27Z</dcterms:modified>
</cp:coreProperties>
</file>