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Design\"/>
    </mc:Choice>
  </mc:AlternateContent>
  <bookViews>
    <workbookView xWindow="0" yWindow="0" windowWidth="27480" windowHeight="12915" activeTab="1"/>
  </bookViews>
  <sheets>
    <sheet name="Parameters" sheetId="1" r:id="rId1"/>
    <sheet name="General Calculations" sheetId="4" r:id="rId2"/>
    <sheet name="Calculations-old" sheetId="3" r:id="rId3"/>
    <sheet name="Burdadursun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4" l="1"/>
  <c r="M29" i="4"/>
  <c r="M31" i="4"/>
  <c r="H11" i="1"/>
  <c r="R18" i="4"/>
  <c r="C21" i="4"/>
  <c r="H7" i="4"/>
  <c r="U12" i="4"/>
  <c r="T12" i="4"/>
  <c r="S12" i="4"/>
  <c r="R11" i="4"/>
  <c r="S11" i="4" s="1"/>
  <c r="S10" i="4"/>
  <c r="R9" i="4"/>
  <c r="S9" i="4" s="1"/>
  <c r="S8" i="4"/>
  <c r="R8" i="4"/>
  <c r="S7" i="4"/>
  <c r="S4" i="4"/>
  <c r="S6" i="4"/>
  <c r="S5" i="4"/>
  <c r="T6" i="4"/>
  <c r="T5" i="4"/>
  <c r="U5" i="4" s="1"/>
  <c r="S3" i="4"/>
  <c r="U6" i="4" l="1"/>
  <c r="H14" i="4"/>
  <c r="K3" i="2"/>
  <c r="J3" i="2"/>
  <c r="I3" i="2"/>
  <c r="H3" i="2"/>
  <c r="G3" i="2"/>
  <c r="F3" i="2"/>
  <c r="E3" i="2"/>
  <c r="D3" i="2"/>
  <c r="C3" i="2"/>
  <c r="B3" i="2"/>
  <c r="C7" i="4"/>
  <c r="T8" i="4" s="1"/>
  <c r="U8" i="4" s="1"/>
  <c r="C14" i="4" l="1"/>
  <c r="C6" i="4"/>
  <c r="C8" i="4" s="1"/>
  <c r="C20" i="4" s="1"/>
  <c r="M5" i="4"/>
  <c r="M6" i="4" s="1"/>
  <c r="M4" i="4"/>
  <c r="C4" i="4"/>
  <c r="M24" i="4" s="1"/>
  <c r="C3" i="4"/>
  <c r="M3" i="4"/>
  <c r="J14" i="3"/>
  <c r="C24" i="3"/>
  <c r="C20" i="3"/>
  <c r="O7" i="3"/>
  <c r="P7" i="3"/>
  <c r="Q7" i="3"/>
  <c r="N7" i="3"/>
  <c r="I7" i="3"/>
  <c r="J7" i="3"/>
  <c r="K7" i="3"/>
  <c r="L7" i="3"/>
  <c r="M7" i="3"/>
  <c r="H7" i="3"/>
  <c r="M27" i="4" l="1"/>
  <c r="M28" i="4" s="1"/>
  <c r="M26" i="4"/>
  <c r="M25" i="4"/>
  <c r="M8" i="4"/>
  <c r="H3" i="4" s="1"/>
  <c r="H12" i="4"/>
  <c r="H15" i="4" s="1"/>
  <c r="M7" i="4"/>
  <c r="T3" i="4" s="1"/>
  <c r="U3" i="4" s="1"/>
  <c r="C15" i="4"/>
  <c r="M17" i="4" s="1"/>
  <c r="C13" i="4"/>
  <c r="H18" i="4"/>
  <c r="C5" i="4"/>
  <c r="C13" i="3"/>
  <c r="C9" i="3"/>
  <c r="C10" i="3" s="1"/>
  <c r="C8" i="3"/>
  <c r="C7" i="3"/>
  <c r="C14" i="3" s="1"/>
  <c r="C16" i="3" s="1"/>
  <c r="C4" i="3"/>
  <c r="C12" i="3" s="1"/>
  <c r="C3" i="3"/>
  <c r="C2" i="3"/>
  <c r="T4" i="4" l="1"/>
  <c r="U4" i="4" s="1"/>
  <c r="H19" i="4"/>
  <c r="T11" i="4" s="1"/>
  <c r="U11" i="4" s="1"/>
  <c r="H4" i="4"/>
  <c r="M14" i="4"/>
  <c r="C16" i="4" s="1"/>
  <c r="C5" i="3"/>
  <c r="C11" i="3"/>
  <c r="M16" i="4" l="1"/>
  <c r="T10" i="4"/>
  <c r="U10" i="4" s="1"/>
  <c r="H20" i="4"/>
  <c r="C21" i="3"/>
  <c r="C19" i="3"/>
  <c r="C17" i="3"/>
  <c r="C22" i="3" s="1"/>
  <c r="C25" i="3" s="1"/>
  <c r="M20" i="4" l="1"/>
  <c r="M21" i="4" s="1"/>
  <c r="T9" i="4" s="1"/>
  <c r="U9" i="4" s="1"/>
  <c r="H22" i="4"/>
  <c r="T7" i="4" s="1"/>
  <c r="U7" i="4" s="1"/>
  <c r="H23" i="4" l="1"/>
</calcChain>
</file>

<file path=xl/comments1.xml><?xml version="1.0" encoding="utf-8"?>
<comments xmlns="http://schemas.openxmlformats.org/spreadsheetml/2006/main">
  <authors>
    <author>mesutto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AWG#13</t>
        </r>
      </text>
    </comment>
  </commentList>
</comments>
</file>

<file path=xl/sharedStrings.xml><?xml version="1.0" encoding="utf-8"?>
<sst xmlns="http://schemas.openxmlformats.org/spreadsheetml/2006/main" count="402" uniqueCount="219">
  <si>
    <t>Power factor</t>
  </si>
  <si>
    <t>Winding factor</t>
  </si>
  <si>
    <t>Number of slots</t>
  </si>
  <si>
    <t>Number of poles</t>
  </si>
  <si>
    <t>Symbol</t>
  </si>
  <si>
    <t>Value</t>
  </si>
  <si>
    <t>Unit</t>
  </si>
  <si>
    <t>W</t>
  </si>
  <si>
    <t>Total output power</t>
  </si>
  <si>
    <t xml:space="preserve">Number of modules </t>
  </si>
  <si>
    <t xml:space="preserve">Series connected modules </t>
  </si>
  <si>
    <t xml:space="preserve">Modulation index </t>
  </si>
  <si>
    <t xml:space="preserve">Number of phases </t>
  </si>
  <si>
    <t>n</t>
  </si>
  <si>
    <t>m</t>
  </si>
  <si>
    <t>-</t>
  </si>
  <si>
    <t>Synchronous speed</t>
  </si>
  <si>
    <t>rpm</t>
  </si>
  <si>
    <t>Slots per phase per module</t>
  </si>
  <si>
    <t>w</t>
  </si>
  <si>
    <t>Slot fill factor</t>
  </si>
  <si>
    <t>Electrical loading</t>
  </si>
  <si>
    <t>A</t>
  </si>
  <si>
    <t>kA/m</t>
  </si>
  <si>
    <t>p</t>
  </si>
  <si>
    <t>Applied frequency</t>
  </si>
  <si>
    <t>Phase voltage (module)</t>
  </si>
  <si>
    <t>Magnetic loading</t>
  </si>
  <si>
    <t>T</t>
  </si>
  <si>
    <t>Current density</t>
  </si>
  <si>
    <t>J</t>
  </si>
  <si>
    <t>Slot per pole per phase</t>
  </si>
  <si>
    <t>DC Link voltage</t>
  </si>
  <si>
    <t>V</t>
  </si>
  <si>
    <t>Parallel connected modules</t>
  </si>
  <si>
    <r>
      <t>P</t>
    </r>
    <r>
      <rPr>
        <vertAlign val="subscript"/>
        <sz val="11"/>
        <color theme="1"/>
        <rFont val="Garamond"/>
        <family val="1"/>
        <charset val="162"/>
      </rPr>
      <t>out</t>
    </r>
  </si>
  <si>
    <r>
      <t>V</t>
    </r>
    <r>
      <rPr>
        <vertAlign val="subscript"/>
        <sz val="11"/>
        <color theme="1"/>
        <rFont val="Garamond"/>
        <family val="1"/>
        <charset val="162"/>
      </rPr>
      <t>dc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</si>
  <si>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</si>
  <si>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m</t>
    </r>
    <r>
      <rPr>
        <vertAlign val="subscript"/>
        <sz val="11"/>
        <color theme="1"/>
        <rFont val="Garamond"/>
        <family val="1"/>
        <charset val="162"/>
      </rPr>
      <t>a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</si>
  <si>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</si>
  <si>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cu</t>
    </r>
  </si>
  <si>
    <r>
      <t>A</t>
    </r>
    <r>
      <rPr>
        <vertAlign val="subscript"/>
        <sz val="11"/>
        <color theme="1"/>
        <rFont val="Garamond"/>
        <family val="1"/>
        <charset val="162"/>
      </rPr>
      <t>rms</t>
    </r>
  </si>
  <si>
    <r>
      <t>B</t>
    </r>
    <r>
      <rPr>
        <vertAlign val="subscript"/>
        <sz val="11"/>
        <color theme="1"/>
        <rFont val="Garamond"/>
        <family val="1"/>
        <charset val="162"/>
      </rPr>
      <t>p</t>
    </r>
  </si>
  <si>
    <r>
      <t>A/mm</t>
    </r>
    <r>
      <rPr>
        <vertAlign val="superscript"/>
        <sz val="11"/>
        <color theme="1"/>
        <rFont val="Garamond"/>
        <family val="1"/>
        <charset val="162"/>
      </rPr>
      <t>2</t>
    </r>
  </si>
  <si>
    <r>
      <t>n</t>
    </r>
    <r>
      <rPr>
        <vertAlign val="subscript"/>
        <sz val="11"/>
        <color theme="1"/>
        <rFont val="Garamond"/>
        <family val="1"/>
        <charset val="162"/>
      </rPr>
      <t>p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</si>
  <si>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</si>
  <si>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</si>
  <si>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w</t>
    </r>
  </si>
  <si>
    <r>
      <t>V</t>
    </r>
    <r>
      <rPr>
        <vertAlign val="subscript"/>
        <sz val="11"/>
        <color theme="1"/>
        <rFont val="Garamond"/>
        <family val="1"/>
        <charset val="162"/>
      </rPr>
      <t>phm</t>
    </r>
  </si>
  <si>
    <t>Motor efficiency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</si>
  <si>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m</t>
    </r>
  </si>
  <si>
    <t>%</t>
  </si>
  <si>
    <t>pf</t>
  </si>
  <si>
    <t>Drive efficiency</t>
  </si>
  <si>
    <t>Expected Parameters</t>
  </si>
  <si>
    <t>Selected Parameters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</si>
  <si>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d</t>
    </r>
  </si>
  <si>
    <t>Calculated Parameters</t>
  </si>
  <si>
    <t>Inherited</t>
  </si>
  <si>
    <t>Rated torque</t>
  </si>
  <si>
    <r>
      <t>T</t>
    </r>
    <r>
      <rPr>
        <vertAlign val="subscript"/>
        <sz val="11"/>
        <color theme="1"/>
        <rFont val="Garamond"/>
        <family val="1"/>
        <charset val="162"/>
      </rPr>
      <t>r</t>
    </r>
  </si>
  <si>
    <t>Definitions</t>
  </si>
  <si>
    <t>pi</t>
  </si>
  <si>
    <t>Drive output power (module)</t>
  </si>
  <si>
    <r>
      <t>P</t>
    </r>
    <r>
      <rPr>
        <vertAlign val="subscript"/>
        <sz val="11"/>
        <color theme="1"/>
        <rFont val="Garamond"/>
        <family val="1"/>
        <charset val="162"/>
      </rPr>
      <t>drm</t>
    </r>
  </si>
  <si>
    <t>Nm</t>
  </si>
  <si>
    <t>DC Link voltage (module)</t>
  </si>
  <si>
    <r>
      <t>V</t>
    </r>
    <r>
      <rPr>
        <vertAlign val="subscript"/>
        <sz val="11"/>
        <color theme="1"/>
        <rFont val="Garamond"/>
        <family val="1"/>
        <charset val="162"/>
      </rPr>
      <t>dcm</t>
    </r>
  </si>
  <si>
    <t>Phase current (module)</t>
  </si>
  <si>
    <r>
      <t>I</t>
    </r>
    <r>
      <rPr>
        <vertAlign val="subscript"/>
        <sz val="11"/>
        <color theme="1"/>
        <rFont val="Garamond"/>
        <family val="1"/>
        <charset val="162"/>
      </rPr>
      <t>phm</t>
    </r>
  </si>
  <si>
    <r>
      <t>f</t>
    </r>
    <r>
      <rPr>
        <vertAlign val="subscript"/>
        <sz val="11"/>
        <color theme="1"/>
        <rFont val="Garamond"/>
        <family val="1"/>
        <charset val="162"/>
      </rPr>
      <t>r</t>
    </r>
  </si>
  <si>
    <t>Hz</t>
  </si>
  <si>
    <t>Sheer stress</t>
  </si>
  <si>
    <t>σ</t>
  </si>
  <si>
    <t>kPa</t>
  </si>
  <si>
    <r>
      <t>D</t>
    </r>
    <r>
      <rPr>
        <vertAlign val="superscript"/>
        <sz val="11"/>
        <color theme="1"/>
        <rFont val="Garamond"/>
        <family val="1"/>
        <charset val="162"/>
      </rPr>
      <t>2</t>
    </r>
    <r>
      <rPr>
        <sz val="11"/>
        <color theme="1"/>
        <rFont val="Garamond"/>
        <family val="1"/>
        <charset val="162"/>
      </rPr>
      <t>L</t>
    </r>
  </si>
  <si>
    <r>
      <t>m</t>
    </r>
    <r>
      <rPr>
        <vertAlign val="superscript"/>
        <sz val="11"/>
        <color theme="1"/>
        <rFont val="Garamond"/>
        <family val="1"/>
        <charset val="162"/>
      </rPr>
      <t>3</t>
    </r>
  </si>
  <si>
    <t>Aspect ratio</t>
  </si>
  <si>
    <t>L/D</t>
  </si>
  <si>
    <t>Bore diameter</t>
  </si>
  <si>
    <r>
      <t>D</t>
    </r>
    <r>
      <rPr>
        <vertAlign val="subscript"/>
        <sz val="11"/>
        <color theme="1"/>
        <rFont val="Garamond"/>
        <family val="1"/>
        <charset val="162"/>
      </rPr>
      <t>is</t>
    </r>
  </si>
  <si>
    <t>mm</t>
  </si>
  <si>
    <t>Axial length</t>
  </si>
  <si>
    <r>
      <t>L</t>
    </r>
    <r>
      <rPr>
        <vertAlign val="subscript"/>
        <sz val="11"/>
        <color theme="1"/>
        <rFont val="Garamond"/>
        <family val="1"/>
        <charset val="162"/>
      </rPr>
      <t>a</t>
    </r>
  </si>
  <si>
    <t>Outer diameter</t>
  </si>
  <si>
    <r>
      <t>D</t>
    </r>
    <r>
      <rPr>
        <vertAlign val="subscript"/>
        <sz val="11"/>
        <color theme="1"/>
        <rFont val="Garamond"/>
        <family val="1"/>
        <charset val="162"/>
      </rPr>
      <t>os</t>
    </r>
  </si>
  <si>
    <t>Air gap distance</t>
  </si>
  <si>
    <r>
      <t>l</t>
    </r>
    <r>
      <rPr>
        <vertAlign val="subscript"/>
        <sz val="11"/>
        <color theme="1"/>
        <rFont val="Garamond"/>
        <family val="1"/>
        <charset val="162"/>
      </rPr>
      <t>g</t>
    </r>
  </si>
  <si>
    <t>play with this</t>
  </si>
  <si>
    <t>Magnet thickness</t>
  </si>
  <si>
    <r>
      <t>l</t>
    </r>
    <r>
      <rPr>
        <vertAlign val="subscript"/>
        <sz val="11"/>
        <color theme="1"/>
        <rFont val="Garamond"/>
        <family val="1"/>
        <charset val="162"/>
      </rPr>
      <t>m</t>
    </r>
  </si>
  <si>
    <t>pole</t>
  </si>
  <si>
    <t>Do/Di</t>
  </si>
  <si>
    <t>Stator slot pitch</t>
  </si>
  <si>
    <t>Flux per pole</t>
  </si>
  <si>
    <r>
      <t>τ</t>
    </r>
    <r>
      <rPr>
        <vertAlign val="subscript"/>
        <sz val="11"/>
        <color theme="1"/>
        <rFont val="Garamond"/>
        <family val="1"/>
        <charset val="162"/>
      </rPr>
      <t>s</t>
    </r>
  </si>
  <si>
    <r>
      <t>Φ</t>
    </r>
    <r>
      <rPr>
        <vertAlign val="subscript"/>
        <sz val="11"/>
        <color theme="1"/>
        <rFont val="Garamond"/>
        <family val="1"/>
        <charset val="162"/>
      </rPr>
      <t>pp</t>
    </r>
  </si>
  <si>
    <t>mWb</t>
  </si>
  <si>
    <t>Turns per coil side</t>
  </si>
  <si>
    <t>Layer number</t>
  </si>
  <si>
    <t>layer</t>
  </si>
  <si>
    <r>
      <t>z</t>
    </r>
    <r>
      <rPr>
        <vertAlign val="subscript"/>
        <sz val="11"/>
        <color theme="1"/>
        <rFont val="Garamond"/>
        <family val="1"/>
        <charset val="162"/>
      </rPr>
      <t>Q</t>
    </r>
  </si>
  <si>
    <t>Induced voltage (module-phase)</t>
  </si>
  <si>
    <r>
      <t>E</t>
    </r>
    <r>
      <rPr>
        <vertAlign val="subscript"/>
        <sz val="11"/>
        <color theme="1"/>
        <rFont val="Garamond"/>
        <family val="1"/>
        <charset val="162"/>
      </rPr>
      <t>phm</t>
    </r>
  </si>
  <si>
    <t>Turns per module per phase</t>
  </si>
  <si>
    <r>
      <t>N</t>
    </r>
    <r>
      <rPr>
        <vertAlign val="subscript"/>
        <sz val="11"/>
        <color theme="1"/>
        <rFont val="Garamond"/>
        <family val="1"/>
        <charset val="162"/>
      </rPr>
      <t>phm</t>
    </r>
  </si>
  <si>
    <t>???</t>
  </si>
  <si>
    <t>Motor</t>
  </si>
  <si>
    <t>Drive</t>
  </si>
  <si>
    <t>Copper resistivity</t>
  </si>
  <si>
    <r>
      <rPr>
        <sz val="11"/>
        <color theme="1"/>
        <rFont val="Calibri"/>
        <family val="2"/>
        <charset val="162"/>
      </rPr>
      <t>Ω</t>
    </r>
    <r>
      <rPr>
        <sz val="11"/>
        <color theme="1"/>
        <rFont val="Garamond"/>
        <family val="1"/>
        <charset val="162"/>
      </rPr>
      <t>m</t>
    </r>
  </si>
  <si>
    <t>Copper permeability</t>
  </si>
  <si>
    <r>
      <t>ρ</t>
    </r>
    <r>
      <rPr>
        <vertAlign val="subscript"/>
        <sz val="11"/>
        <color theme="1"/>
        <rFont val="Calibri"/>
        <family val="2"/>
        <charset val="162"/>
      </rPr>
      <t>cu</t>
    </r>
  </si>
  <si>
    <r>
      <t>µ</t>
    </r>
    <r>
      <rPr>
        <vertAlign val="subscript"/>
        <sz val="11"/>
        <color theme="1"/>
        <rFont val="Calibri"/>
        <family val="2"/>
        <charset val="162"/>
      </rPr>
      <t>cu</t>
    </r>
  </si>
  <si>
    <t>H/m</t>
  </si>
  <si>
    <t>Skin depth</t>
  </si>
  <si>
    <t>δ</t>
  </si>
  <si>
    <t>Required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</si>
  <si>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</t>
    </r>
  </si>
  <si>
    <t>Selected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</si>
  <si>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cu-req</t>
    </r>
  </si>
  <si>
    <r>
      <t>R</t>
    </r>
    <r>
      <rPr>
        <vertAlign val="subscript"/>
        <sz val="11"/>
        <color theme="1"/>
        <rFont val="Garamond"/>
        <family val="1"/>
        <charset val="162"/>
      </rPr>
      <t>sp</t>
    </r>
  </si>
  <si>
    <t>Copper area per slot</t>
  </si>
  <si>
    <r>
      <t>A</t>
    </r>
    <r>
      <rPr>
        <vertAlign val="subscript"/>
        <sz val="11"/>
        <color theme="1"/>
        <rFont val="Garamond"/>
        <family val="1"/>
        <charset val="162"/>
      </rPr>
      <t>cus</t>
    </r>
  </si>
  <si>
    <r>
      <t>mm</t>
    </r>
    <r>
      <rPr>
        <vertAlign val="superscript"/>
        <sz val="11"/>
        <color theme="1"/>
        <rFont val="Garamond"/>
        <family val="1"/>
        <charset val="162"/>
      </rPr>
      <t>2</t>
    </r>
  </si>
  <si>
    <t>Winding</t>
  </si>
  <si>
    <t>Slot</t>
  </si>
  <si>
    <t>Ω/km</t>
  </si>
  <si>
    <t>Φpp</t>
  </si>
  <si>
    <t>Induced voltage</t>
  </si>
  <si>
    <r>
      <t>h</t>
    </r>
    <r>
      <rPr>
        <vertAlign val="subscript"/>
        <sz val="11"/>
        <color theme="1"/>
        <rFont val="Garamond"/>
        <family val="1"/>
        <charset val="162"/>
      </rPr>
      <t>s2</t>
    </r>
  </si>
  <si>
    <t>Slot height - 2</t>
  </si>
  <si>
    <t>Slot height - 1</t>
  </si>
  <si>
    <t>Slot height - 0</t>
  </si>
  <si>
    <r>
      <t>h</t>
    </r>
    <r>
      <rPr>
        <vertAlign val="subscript"/>
        <sz val="11"/>
        <color theme="1"/>
        <rFont val="Garamond"/>
        <family val="1"/>
        <charset val="162"/>
      </rPr>
      <t>s1</t>
    </r>
  </si>
  <si>
    <r>
      <t>h</t>
    </r>
    <r>
      <rPr>
        <vertAlign val="subscript"/>
        <sz val="11"/>
        <color theme="1"/>
        <rFont val="Garamond"/>
        <family val="1"/>
        <charset val="162"/>
      </rPr>
      <t>s0</t>
    </r>
  </si>
  <si>
    <t>Back core height</t>
  </si>
  <si>
    <r>
      <t>h</t>
    </r>
    <r>
      <rPr>
        <vertAlign val="subscript"/>
        <sz val="11"/>
        <color theme="1"/>
        <rFont val="Garamond"/>
        <family val="1"/>
        <charset val="162"/>
      </rPr>
      <t>bc</t>
    </r>
  </si>
  <si>
    <t>Slot width - 0</t>
  </si>
  <si>
    <r>
      <t>b</t>
    </r>
    <r>
      <rPr>
        <vertAlign val="subscript"/>
        <sz val="11"/>
        <color theme="1"/>
        <rFont val="Garamond"/>
        <family val="1"/>
        <charset val="162"/>
      </rPr>
      <t>s2</t>
    </r>
  </si>
  <si>
    <t>Slot width - 2</t>
  </si>
  <si>
    <t>Slot width - 1</t>
  </si>
  <si>
    <r>
      <t>b</t>
    </r>
    <r>
      <rPr>
        <vertAlign val="subscript"/>
        <sz val="11"/>
        <color theme="1"/>
        <rFont val="Garamond"/>
        <family val="1"/>
        <charset val="162"/>
      </rPr>
      <t>s1</t>
    </r>
  </si>
  <si>
    <r>
      <t>b</t>
    </r>
    <r>
      <rPr>
        <vertAlign val="subscript"/>
        <sz val="11"/>
        <color theme="1"/>
        <rFont val="Garamond"/>
        <family val="1"/>
        <charset val="162"/>
      </rPr>
      <t>s0</t>
    </r>
  </si>
  <si>
    <t>Induced voltage (module-ph)</t>
  </si>
  <si>
    <t>Wire specific resistance</t>
  </si>
  <si>
    <t>Tooth width</t>
  </si>
  <si>
    <t>Smooth edge</t>
  </si>
  <si>
    <r>
      <t>R</t>
    </r>
    <r>
      <rPr>
        <vertAlign val="subscript"/>
        <sz val="11"/>
        <color theme="1"/>
        <rFont val="Garamond"/>
        <family val="1"/>
        <charset val="162"/>
      </rPr>
      <t>s</t>
    </r>
  </si>
  <si>
    <r>
      <t>b</t>
    </r>
    <r>
      <rPr>
        <vertAlign val="subscript"/>
        <sz val="11"/>
        <color theme="1"/>
        <rFont val="Garamond"/>
        <family val="1"/>
        <charset val="162"/>
      </rPr>
      <t>t</t>
    </r>
  </si>
  <si>
    <t>Stator slot end pitch</t>
  </si>
  <si>
    <r>
      <t>τ</t>
    </r>
    <r>
      <rPr>
        <vertAlign val="subscript"/>
        <sz val="11"/>
        <color theme="1"/>
        <rFont val="Garamond"/>
        <family val="1"/>
        <charset val="162"/>
      </rPr>
      <t>se</t>
    </r>
  </si>
  <si>
    <t>Slot area</t>
  </si>
  <si>
    <r>
      <t>A</t>
    </r>
    <r>
      <rPr>
        <vertAlign val="subscript"/>
        <sz val="11"/>
        <color theme="1"/>
        <rFont val="Garamond"/>
        <family val="1"/>
        <charset val="162"/>
      </rPr>
      <t>s</t>
    </r>
  </si>
  <si>
    <t>kcu</t>
  </si>
  <si>
    <t>Magnet embrace</t>
  </si>
  <si>
    <r>
      <t>e</t>
    </r>
    <r>
      <rPr>
        <vertAlign val="subscript"/>
        <sz val="11"/>
        <color theme="1"/>
        <rFont val="Garamond"/>
        <family val="1"/>
        <charset val="162"/>
      </rPr>
      <t>m</t>
    </r>
  </si>
  <si>
    <t>not used</t>
  </si>
  <si>
    <t>Maxwell</t>
  </si>
  <si>
    <t>Quantity</t>
  </si>
  <si>
    <t>Result</t>
  </si>
  <si>
    <t>Scaled</t>
  </si>
  <si>
    <t>Error (%)</t>
  </si>
  <si>
    <t>Elect. Loading</t>
  </si>
  <si>
    <t>Current Density</t>
  </si>
  <si>
    <t>Loss</t>
  </si>
  <si>
    <t>Copper length</t>
  </si>
  <si>
    <r>
      <t>L</t>
    </r>
    <r>
      <rPr>
        <vertAlign val="subscript"/>
        <sz val="11"/>
        <color theme="1"/>
        <rFont val="Garamond"/>
        <family val="1"/>
        <charset val="162"/>
      </rPr>
      <t>cu</t>
    </r>
  </si>
  <si>
    <t>Phase resistance</t>
  </si>
  <si>
    <r>
      <t>R</t>
    </r>
    <r>
      <rPr>
        <vertAlign val="subscript"/>
        <sz val="11"/>
        <color theme="1"/>
        <rFont val="Garamond"/>
        <family val="1"/>
        <charset val="162"/>
      </rPr>
      <t>ph</t>
    </r>
  </si>
  <si>
    <t>mΩ</t>
  </si>
  <si>
    <r>
      <t>P</t>
    </r>
    <r>
      <rPr>
        <vertAlign val="subscript"/>
        <sz val="11"/>
        <color theme="1"/>
        <rFont val="Garamond"/>
        <family val="1"/>
        <charset val="162"/>
      </rPr>
      <t>cu-ph</t>
    </r>
  </si>
  <si>
    <t>Total loss</t>
  </si>
  <si>
    <t>Efficiency</t>
  </si>
  <si>
    <t>Analytic</t>
  </si>
  <si>
    <t>Copper loss</t>
  </si>
  <si>
    <t>Line current (m-p)</t>
  </si>
  <si>
    <t>Ind voltage (m-p)</t>
  </si>
  <si>
    <t>Arms</t>
  </si>
  <si>
    <t>Vrms</t>
  </si>
  <si>
    <t>Torque</t>
  </si>
  <si>
    <t>Fill factor</t>
  </si>
  <si>
    <t>pwt</t>
  </si>
  <si>
    <t>inh</t>
  </si>
  <si>
    <t>Core loss</t>
  </si>
  <si>
    <t>Copper loss/module/phase</t>
  </si>
  <si>
    <r>
      <t>P</t>
    </r>
    <r>
      <rPr>
        <vertAlign val="subscript"/>
        <sz val="11"/>
        <color theme="1"/>
        <rFont val="Garamond"/>
        <family val="1"/>
        <charset val="162"/>
      </rPr>
      <t>c</t>
    </r>
  </si>
  <si>
    <r>
      <t>P</t>
    </r>
    <r>
      <rPr>
        <vertAlign val="subscript"/>
        <sz val="11"/>
        <color theme="1"/>
        <rFont val="Garamond"/>
        <family val="1"/>
        <charset val="162"/>
      </rPr>
      <t>loss</t>
    </r>
  </si>
  <si>
    <t>Half turn length</t>
  </si>
  <si>
    <t>Resistance</t>
  </si>
  <si>
    <t>Magnet</t>
  </si>
  <si>
    <t>Air gap effective pole area</t>
  </si>
  <si>
    <t>Magnet effective pole area</t>
  </si>
  <si>
    <t>Magnet relative permeability</t>
  </si>
  <si>
    <t>Air permeability</t>
  </si>
  <si>
    <r>
      <t>µ</t>
    </r>
    <r>
      <rPr>
        <vertAlign val="subscript"/>
        <sz val="11"/>
        <color theme="1"/>
        <rFont val="Calibri"/>
        <family val="2"/>
        <charset val="162"/>
      </rPr>
      <t>0</t>
    </r>
  </si>
  <si>
    <t>Magnet permeability</t>
  </si>
  <si>
    <r>
      <t>A</t>
    </r>
    <r>
      <rPr>
        <vertAlign val="subscript"/>
        <sz val="11"/>
        <color theme="1"/>
        <rFont val="Garamond"/>
        <family val="1"/>
        <charset val="162"/>
      </rPr>
      <t>g</t>
    </r>
  </si>
  <si>
    <r>
      <t>A</t>
    </r>
    <r>
      <rPr>
        <vertAlign val="subscript"/>
        <sz val="11"/>
        <color theme="1"/>
        <rFont val="Garamond"/>
        <family val="1"/>
        <charset val="162"/>
      </rPr>
      <t>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</si>
  <si>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</si>
  <si>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rec</t>
    </r>
  </si>
  <si>
    <r>
      <t>η</t>
    </r>
    <r>
      <rPr>
        <vertAlign val="subscript"/>
        <sz val="11"/>
        <color theme="1"/>
        <rFont val="Calibri Light"/>
        <family val="2"/>
        <charset val="162"/>
        <scheme val="major"/>
      </rPr>
      <t>m</t>
    </r>
  </si>
  <si>
    <t>Magnet pole angle</t>
  </si>
  <si>
    <r>
      <t>θ</t>
    </r>
    <r>
      <rPr>
        <vertAlign val="subscript"/>
        <sz val="11"/>
        <color theme="1"/>
        <rFont val="Garamond"/>
        <family val="1"/>
        <charset val="162"/>
      </rPr>
      <t>m</t>
    </r>
  </si>
  <si>
    <t>rad</t>
  </si>
  <si>
    <t>deg</t>
  </si>
  <si>
    <r>
      <t>cm</t>
    </r>
    <r>
      <rPr>
        <vertAlign val="superscript"/>
        <sz val="11"/>
        <color theme="1"/>
        <rFont val="Garamond"/>
        <family val="1"/>
        <charset val="162"/>
      </rPr>
      <t>2</t>
    </r>
  </si>
  <si>
    <t>Flux concentration coefficient</t>
  </si>
  <si>
    <r>
      <t>C</t>
    </r>
    <r>
      <rPr>
        <vertAlign val="subscript"/>
        <sz val="11"/>
        <color theme="1"/>
        <rFont val="Calibri"/>
        <family val="2"/>
        <charset val="162"/>
      </rPr>
      <t>Φ</t>
    </r>
  </si>
  <si>
    <t>Permeance Coefficient</t>
  </si>
  <si>
    <t>PC</t>
  </si>
  <si>
    <t>Remanent flux density</t>
  </si>
  <si>
    <r>
      <t>B</t>
    </r>
    <r>
      <rPr>
        <vertAlign val="subscript"/>
        <sz val="11"/>
        <color theme="1"/>
        <rFont val="Garamond"/>
        <family val="1"/>
        <charset val="162"/>
      </rPr>
      <t>r</t>
    </r>
  </si>
  <si>
    <t>Air gep flux density</t>
  </si>
  <si>
    <r>
      <t>B</t>
    </r>
    <r>
      <rPr>
        <vertAlign val="subscript"/>
        <sz val="11"/>
        <color theme="1"/>
        <rFont val="Garamond"/>
        <family val="1"/>
        <charset val="162"/>
      </rPr>
      <t>g</t>
    </r>
  </si>
  <si>
    <r>
      <t>k</t>
    </r>
    <r>
      <rPr>
        <vertAlign val="subscript"/>
        <sz val="11"/>
        <color theme="1"/>
        <rFont val="Garamond"/>
        <family val="1"/>
        <charset val="162"/>
      </rPr>
      <t>c</t>
    </r>
  </si>
  <si>
    <r>
      <t>β</t>
    </r>
    <r>
      <rPr>
        <vertAlign val="subscript"/>
        <sz val="11"/>
        <color theme="1"/>
        <rFont val="Garamond"/>
        <family val="1"/>
        <charset val="162"/>
      </rPr>
      <t>r1</t>
    </r>
  </si>
  <si>
    <t>Magnet leakage coefficient</t>
  </si>
  <si>
    <t>Carter's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</si>
</sst>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Garamond"/>
      <family val="1"/>
      <charset val="162"/>
    </font>
    <font>
      <sz val="11"/>
      <color theme="1"/>
      <name val="Garamond"/>
      <family val="1"/>
      <charset val="162"/>
    </font>
    <font>
      <vertAlign val="subscript"/>
      <sz val="11"/>
      <color theme="1"/>
      <name val="Garamond"/>
      <family val="1"/>
      <charset val="162"/>
    </font>
    <font>
      <vertAlign val="superscript"/>
      <sz val="11"/>
      <color theme="1"/>
      <name val="Garamond"/>
      <family val="1"/>
      <charset val="162"/>
    </font>
    <font>
      <sz val="11"/>
      <color theme="1"/>
      <name val="Calibri"/>
      <family val="2"/>
      <charset val="162"/>
    </font>
    <font>
      <vertAlign val="subscript"/>
      <sz val="11"/>
      <color theme="1"/>
      <name val="Calibri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1"/>
      <color theme="1"/>
      <name val="Calibri Light"/>
      <family val="2"/>
      <charset val="162"/>
      <scheme val="major"/>
    </font>
    <font>
      <vertAlign val="subscript"/>
      <sz val="11"/>
      <color theme="1"/>
      <name val="Calibri Light"/>
      <family val="2"/>
      <charset val="16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0"/>
  <sheetViews>
    <sheetView zoomScale="115" zoomScaleNormal="115" workbookViewId="0">
      <selection activeCell="H23" sqref="H23"/>
    </sheetView>
  </sheetViews>
  <sheetFormatPr defaultRowHeight="15" x14ac:dyDescent="0.25"/>
  <cols>
    <col min="1" max="1" width="23.85546875" style="1" bestFit="1" customWidth="1"/>
    <col min="2" max="2" width="7.7109375" style="2" bestFit="1" customWidth="1"/>
    <col min="3" max="3" width="6.140625" style="2" bestFit="1" customWidth="1"/>
    <col min="4" max="4" width="7.7109375" style="2" bestFit="1" customWidth="1"/>
    <col min="5" max="5" width="8.140625" style="2" bestFit="1" customWidth="1"/>
    <col min="6" max="6" width="20.5703125" style="1" bestFit="1" customWidth="1"/>
    <col min="7" max="7" width="7.7109375" style="2" bestFit="1" customWidth="1"/>
    <col min="8" max="8" width="8.5703125" style="2" bestFit="1" customWidth="1"/>
    <col min="9" max="9" width="5" style="2" bestFit="1" customWidth="1"/>
    <col min="10" max="10" width="23.140625" style="1" bestFit="1" customWidth="1"/>
    <col min="11" max="11" width="5.7109375" style="1" bestFit="1" customWidth="1"/>
    <col min="12" max="12" width="13.140625" style="1" bestFit="1" customWidth="1"/>
    <col min="13" max="13" width="10.5703125" style="1" bestFit="1" customWidth="1"/>
    <col min="14" max="16384" width="9.140625" style="1"/>
  </cols>
  <sheetData>
    <row r="1" spans="1:12" x14ac:dyDescent="0.25">
      <c r="A1" s="4" t="s">
        <v>55</v>
      </c>
      <c r="B1" s="5" t="s">
        <v>4</v>
      </c>
      <c r="C1" s="5" t="s">
        <v>5</v>
      </c>
      <c r="D1" s="5" t="s">
        <v>6</v>
      </c>
      <c r="E1" s="5"/>
      <c r="F1" s="4" t="s">
        <v>54</v>
      </c>
      <c r="G1" s="5" t="s">
        <v>4</v>
      </c>
      <c r="H1" s="5" t="s">
        <v>5</v>
      </c>
      <c r="I1" s="5" t="s">
        <v>6</v>
      </c>
    </row>
    <row r="2" spans="1:12" ht="18" x14ac:dyDescent="0.35">
      <c r="A2" s="6" t="s">
        <v>8</v>
      </c>
      <c r="B2" s="7" t="s">
        <v>35</v>
      </c>
      <c r="C2" s="7">
        <v>8000</v>
      </c>
      <c r="D2" s="7" t="s">
        <v>7</v>
      </c>
      <c r="E2" s="7"/>
      <c r="F2" s="6" t="s">
        <v>49</v>
      </c>
      <c r="G2" s="7" t="s">
        <v>50</v>
      </c>
      <c r="H2" s="7">
        <v>94</v>
      </c>
      <c r="I2" s="7" t="s">
        <v>51</v>
      </c>
    </row>
    <row r="3" spans="1:12" ht="18" x14ac:dyDescent="0.35">
      <c r="A3" s="6" t="s">
        <v>32</v>
      </c>
      <c r="B3" s="7" t="s">
        <v>36</v>
      </c>
      <c r="C3" s="7">
        <v>540</v>
      </c>
      <c r="D3" s="7" t="s">
        <v>33</v>
      </c>
      <c r="E3" s="7"/>
      <c r="F3" s="6" t="s">
        <v>0</v>
      </c>
      <c r="G3" s="7" t="s">
        <v>52</v>
      </c>
      <c r="H3" s="7">
        <v>0.9</v>
      </c>
      <c r="I3" s="7" t="s">
        <v>15</v>
      </c>
      <c r="J3" s="2"/>
    </row>
    <row r="4" spans="1:12" ht="18" x14ac:dyDescent="0.35">
      <c r="A4" s="6" t="s">
        <v>9</v>
      </c>
      <c r="B4" s="7" t="s">
        <v>13</v>
      </c>
      <c r="C4" s="7">
        <v>4</v>
      </c>
      <c r="D4" s="7" t="s">
        <v>15</v>
      </c>
      <c r="E4" s="7"/>
      <c r="F4" s="6" t="s">
        <v>53</v>
      </c>
      <c r="G4" s="7" t="s">
        <v>56</v>
      </c>
      <c r="H4" s="7">
        <v>98</v>
      </c>
      <c r="I4" s="7" t="s">
        <v>51</v>
      </c>
    </row>
    <row r="5" spans="1:12" ht="18" x14ac:dyDescent="0.35">
      <c r="A5" s="6" t="s">
        <v>10</v>
      </c>
      <c r="B5" s="7" t="s">
        <v>37</v>
      </c>
      <c r="C5" s="7">
        <v>2</v>
      </c>
      <c r="D5" s="7" t="s">
        <v>15</v>
      </c>
      <c r="E5" s="7"/>
      <c r="F5" s="6"/>
      <c r="G5" s="7"/>
      <c r="H5" s="7"/>
      <c r="I5" s="7"/>
      <c r="K5" s="2"/>
      <c r="L5" s="2"/>
    </row>
    <row r="6" spans="1:12" ht="18" x14ac:dyDescent="0.35">
      <c r="A6" s="6" t="s">
        <v>11</v>
      </c>
      <c r="B6" s="7" t="s">
        <v>38</v>
      </c>
      <c r="C6" s="7">
        <v>0.85</v>
      </c>
      <c r="D6" s="7" t="s">
        <v>15</v>
      </c>
      <c r="E6" s="7"/>
      <c r="F6" s="6"/>
      <c r="G6" s="7"/>
      <c r="H6" s="7"/>
      <c r="I6" s="7"/>
      <c r="K6" s="2"/>
      <c r="L6" s="2"/>
    </row>
    <row r="7" spans="1:12" x14ac:dyDescent="0.25">
      <c r="A7" s="6" t="s">
        <v>12</v>
      </c>
      <c r="B7" s="7" t="s">
        <v>14</v>
      </c>
      <c r="C7" s="7">
        <v>3</v>
      </c>
      <c r="D7" s="7" t="s">
        <v>15</v>
      </c>
      <c r="E7" s="7"/>
      <c r="F7" s="25" t="s">
        <v>61</v>
      </c>
      <c r="G7" s="25"/>
      <c r="H7" s="25"/>
      <c r="I7" s="25"/>
      <c r="K7" s="2"/>
      <c r="L7" s="2"/>
    </row>
    <row r="8" spans="1:12" ht="18" x14ac:dyDescent="0.35">
      <c r="A8" s="6" t="s">
        <v>16</v>
      </c>
      <c r="B8" s="7" t="s">
        <v>39</v>
      </c>
      <c r="C8" s="7">
        <v>600</v>
      </c>
      <c r="D8" s="7" t="s">
        <v>17</v>
      </c>
      <c r="E8" s="7"/>
      <c r="F8" s="6"/>
      <c r="G8" s="7" t="s">
        <v>62</v>
      </c>
      <c r="H8" s="8">
        <v>3.1415926500000002</v>
      </c>
      <c r="I8" s="7" t="s">
        <v>15</v>
      </c>
    </row>
    <row r="9" spans="1:12" ht="18" x14ac:dyDescent="0.35">
      <c r="A9" s="6" t="s">
        <v>18</v>
      </c>
      <c r="B9" s="7" t="s">
        <v>19</v>
      </c>
      <c r="C9" s="7">
        <v>2</v>
      </c>
      <c r="D9" s="7" t="s">
        <v>15</v>
      </c>
      <c r="E9" s="7"/>
      <c r="F9" s="6" t="s">
        <v>109</v>
      </c>
      <c r="G9" s="18" t="s">
        <v>112</v>
      </c>
      <c r="H9" s="19">
        <v>1.7E-8</v>
      </c>
      <c r="I9" s="7" t="s">
        <v>110</v>
      </c>
    </row>
    <row r="10" spans="1:12" ht="18" x14ac:dyDescent="0.35">
      <c r="A10" s="6" t="s">
        <v>20</v>
      </c>
      <c r="B10" s="7" t="s">
        <v>40</v>
      </c>
      <c r="C10" s="7">
        <v>0.6</v>
      </c>
      <c r="D10" s="7" t="s">
        <v>15</v>
      </c>
      <c r="E10" s="7"/>
      <c r="F10" s="6" t="s">
        <v>111</v>
      </c>
      <c r="G10" s="18" t="s">
        <v>113</v>
      </c>
      <c r="H10" s="19">
        <v>1.2566289999999999E-6</v>
      </c>
      <c r="I10" s="7" t="s">
        <v>114</v>
      </c>
    </row>
    <row r="11" spans="1:12" ht="18" x14ac:dyDescent="0.35">
      <c r="A11" s="6" t="s">
        <v>21</v>
      </c>
      <c r="B11" s="7" t="s">
        <v>41</v>
      </c>
      <c r="C11" s="7">
        <v>50</v>
      </c>
      <c r="D11" s="7" t="s">
        <v>23</v>
      </c>
      <c r="E11" s="7"/>
      <c r="F11" s="6" t="s">
        <v>194</v>
      </c>
      <c r="G11" s="18" t="s">
        <v>195</v>
      </c>
      <c r="H11" s="19">
        <f>4*H8*0.0000001</f>
        <v>1.2566370599999999E-6</v>
      </c>
      <c r="I11" s="7" t="s">
        <v>114</v>
      </c>
    </row>
    <row r="12" spans="1:12" ht="18" x14ac:dyDescent="0.35">
      <c r="A12" s="6" t="s">
        <v>27</v>
      </c>
      <c r="B12" s="7" t="s">
        <v>42</v>
      </c>
      <c r="C12" s="7">
        <v>0.9</v>
      </c>
      <c r="D12" s="7" t="s">
        <v>28</v>
      </c>
      <c r="E12" s="7"/>
      <c r="F12" s="6"/>
      <c r="G12" s="7"/>
      <c r="H12" s="7"/>
      <c r="I12" s="7"/>
    </row>
    <row r="13" spans="1:12" ht="17.25" x14ac:dyDescent="0.25">
      <c r="A13" s="6" t="s">
        <v>29</v>
      </c>
      <c r="B13" s="7" t="s">
        <v>30</v>
      </c>
      <c r="C13" s="7">
        <v>4</v>
      </c>
      <c r="D13" s="7" t="s">
        <v>43</v>
      </c>
      <c r="E13" s="7"/>
      <c r="F13" s="6"/>
      <c r="G13" s="7"/>
      <c r="H13" s="7"/>
      <c r="I13" s="7"/>
    </row>
    <row r="14" spans="1:12" ht="18" x14ac:dyDescent="0.35">
      <c r="A14" s="6" t="s">
        <v>89</v>
      </c>
      <c r="B14" s="7" t="s">
        <v>90</v>
      </c>
      <c r="C14" s="7">
        <v>3.5</v>
      </c>
      <c r="D14" s="7" t="s">
        <v>81</v>
      </c>
      <c r="E14" s="16" t="s">
        <v>157</v>
      </c>
      <c r="F14" s="6"/>
      <c r="G14" s="7"/>
      <c r="H14" s="7"/>
      <c r="I14" s="7"/>
    </row>
    <row r="15" spans="1:12" x14ac:dyDescent="0.25">
      <c r="A15" s="6" t="s">
        <v>99</v>
      </c>
      <c r="B15" s="7" t="s">
        <v>100</v>
      </c>
      <c r="C15" s="7">
        <v>2</v>
      </c>
      <c r="D15" s="7" t="s">
        <v>15</v>
      </c>
      <c r="E15" s="7"/>
      <c r="F15" s="6"/>
      <c r="G15" s="7"/>
      <c r="H15" s="7"/>
      <c r="I15" s="7"/>
    </row>
    <row r="16" spans="1:12" ht="18" x14ac:dyDescent="0.35">
      <c r="A16" s="6" t="s">
        <v>155</v>
      </c>
      <c r="B16" s="7" t="s">
        <v>156</v>
      </c>
      <c r="C16" s="7">
        <v>0.7</v>
      </c>
      <c r="D16" s="7" t="s">
        <v>15</v>
      </c>
      <c r="E16" s="16" t="s">
        <v>157</v>
      </c>
      <c r="F16" s="6"/>
      <c r="G16" s="7"/>
      <c r="H16" s="7"/>
      <c r="I16" s="7"/>
    </row>
    <row r="30" spans="4:9" x14ac:dyDescent="0.25">
      <c r="D30" s="3"/>
      <c r="E30" s="3"/>
      <c r="I30" s="3"/>
    </row>
  </sheetData>
  <mergeCells count="1">
    <mergeCell ref="F7:I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34"/>
  <sheetViews>
    <sheetView tabSelected="1" topLeftCell="A7" zoomScale="130" zoomScaleNormal="130" workbookViewId="0">
      <selection activeCell="M33" sqref="M33"/>
    </sheetView>
  </sheetViews>
  <sheetFormatPr defaultRowHeight="15" x14ac:dyDescent="0.25"/>
  <cols>
    <col min="1" max="1" width="21.5703125" style="32" bestFit="1" customWidth="1"/>
    <col min="2" max="2" width="7.7109375" style="51" bestFit="1" customWidth="1"/>
    <col min="3" max="3" width="6.42578125" style="51" bestFit="1" customWidth="1"/>
    <col min="4" max="4" width="5" style="51" bestFit="1" customWidth="1"/>
    <col min="5" max="5" width="4.28515625" style="32" bestFit="1" customWidth="1"/>
    <col min="6" max="6" width="25.5703125" style="32" bestFit="1" customWidth="1"/>
    <col min="7" max="7" width="7.7109375" style="32" bestFit="1" customWidth="1"/>
    <col min="8" max="9" width="6.42578125" style="32" bestFit="1" customWidth="1"/>
    <col min="10" max="10" width="4.28515625" style="32" bestFit="1" customWidth="1"/>
    <col min="11" max="11" width="26.28515625" style="32" bestFit="1" customWidth="1"/>
    <col min="12" max="12" width="7.7109375" style="32" bestFit="1" customWidth="1"/>
    <col min="13" max="13" width="10" style="32" bestFit="1" customWidth="1"/>
    <col min="14" max="14" width="5.140625" style="32" bestFit="1" customWidth="1"/>
    <col min="15" max="15" width="4.28515625" style="32" bestFit="1" customWidth="1"/>
    <col min="16" max="16" width="16.28515625" style="32" bestFit="1" customWidth="1"/>
    <col min="17" max="17" width="7.42578125" style="32" bestFit="1" customWidth="1"/>
    <col min="18" max="19" width="7" style="32" bestFit="1" customWidth="1"/>
    <col min="20" max="20" width="8.42578125" style="32" bestFit="1" customWidth="1"/>
    <col min="21" max="21" width="9.7109375" style="32" bestFit="1" customWidth="1"/>
    <col min="22" max="22" width="7.42578125" style="32" bestFit="1" customWidth="1"/>
    <col min="23" max="29" width="4.7109375" style="32" bestFit="1" customWidth="1"/>
    <col min="30" max="16384" width="9.140625" style="32"/>
  </cols>
  <sheetData>
    <row r="1" spans="1:22" ht="15" customHeight="1" x14ac:dyDescent="0.25">
      <c r="A1" s="27" t="s">
        <v>107</v>
      </c>
      <c r="B1" s="27"/>
      <c r="C1" s="27"/>
      <c r="D1" s="27"/>
      <c r="E1" s="27"/>
      <c r="F1" s="27" t="s">
        <v>125</v>
      </c>
      <c r="G1" s="27"/>
      <c r="H1" s="27"/>
      <c r="I1" s="27"/>
      <c r="J1" s="27"/>
      <c r="K1" s="27" t="s">
        <v>108</v>
      </c>
      <c r="L1" s="27"/>
      <c r="M1" s="27"/>
      <c r="N1" s="27"/>
      <c r="O1" s="27"/>
      <c r="P1" s="28" t="s">
        <v>158</v>
      </c>
      <c r="Q1" s="29"/>
      <c r="R1" s="29"/>
      <c r="S1" s="29"/>
      <c r="T1" s="29"/>
      <c r="U1" s="30"/>
      <c r="V1" s="31"/>
    </row>
    <row r="2" spans="1:22" ht="15" customHeight="1" x14ac:dyDescent="0.25">
      <c r="A2" s="31" t="s">
        <v>57</v>
      </c>
      <c r="B2" s="33" t="s">
        <v>4</v>
      </c>
      <c r="C2" s="33" t="s">
        <v>5</v>
      </c>
      <c r="D2" s="33" t="s">
        <v>6</v>
      </c>
      <c r="E2" s="31"/>
      <c r="F2" s="31" t="s">
        <v>57</v>
      </c>
      <c r="G2" s="33" t="s">
        <v>4</v>
      </c>
      <c r="H2" s="33" t="s">
        <v>5</v>
      </c>
      <c r="I2" s="33" t="s">
        <v>6</v>
      </c>
      <c r="J2" s="31"/>
      <c r="K2" s="31" t="s">
        <v>57</v>
      </c>
      <c r="L2" s="33" t="s">
        <v>4</v>
      </c>
      <c r="M2" s="33" t="s">
        <v>5</v>
      </c>
      <c r="N2" s="33" t="s">
        <v>6</v>
      </c>
      <c r="O2" s="31"/>
      <c r="P2" s="34" t="s">
        <v>159</v>
      </c>
      <c r="Q2" s="34" t="s">
        <v>6</v>
      </c>
      <c r="R2" s="34" t="s">
        <v>160</v>
      </c>
      <c r="S2" s="34" t="s">
        <v>161</v>
      </c>
      <c r="T2" s="34" t="s">
        <v>174</v>
      </c>
      <c r="U2" s="34" t="s">
        <v>162</v>
      </c>
      <c r="V2" s="21"/>
    </row>
    <row r="3" spans="1:22" ht="15" customHeight="1" x14ac:dyDescent="0.25">
      <c r="A3" s="35" t="s">
        <v>2</v>
      </c>
      <c r="B3" s="21" t="s">
        <v>45</v>
      </c>
      <c r="C3" s="21">
        <f>Parameters!C4*Parameters!C7*Parameters!C9</f>
        <v>24</v>
      </c>
      <c r="D3" s="21" t="s">
        <v>15</v>
      </c>
      <c r="E3" s="31"/>
      <c r="F3" s="36" t="s">
        <v>115</v>
      </c>
      <c r="G3" s="21" t="s">
        <v>116</v>
      </c>
      <c r="H3" s="24">
        <f>1000*SQRT(2*Parameters!H9/(2*Parameters!H8*M8*Parameters!H10))</f>
        <v>6.562147464226471</v>
      </c>
      <c r="I3" s="21" t="s">
        <v>81</v>
      </c>
      <c r="J3" s="35"/>
      <c r="K3" s="35" t="s">
        <v>34</v>
      </c>
      <c r="L3" s="21" t="s">
        <v>44</v>
      </c>
      <c r="M3" s="21">
        <f>Parameters!C4/Parameters!C5</f>
        <v>2</v>
      </c>
      <c r="N3" s="21" t="s">
        <v>15</v>
      </c>
      <c r="O3" s="37"/>
      <c r="P3" s="38" t="s">
        <v>176</v>
      </c>
      <c r="Q3" s="23" t="s">
        <v>178</v>
      </c>
      <c r="R3" s="24">
        <v>15</v>
      </c>
      <c r="S3" s="24">
        <f>R3</f>
        <v>15</v>
      </c>
      <c r="T3" s="24">
        <f>M7</f>
        <v>9.7177314523144265</v>
      </c>
      <c r="U3" s="24">
        <f>100*ABS(S3-T3)/T3</f>
        <v>54.357012988124097</v>
      </c>
      <c r="V3" s="21"/>
    </row>
    <row r="4" spans="1:22" ht="15" customHeight="1" x14ac:dyDescent="0.25">
      <c r="A4" s="35" t="s">
        <v>3</v>
      </c>
      <c r="B4" s="21" t="s">
        <v>24</v>
      </c>
      <c r="C4" s="21">
        <f>Parameters!C9*10</f>
        <v>20</v>
      </c>
      <c r="D4" s="21" t="s">
        <v>15</v>
      </c>
      <c r="E4" s="31"/>
      <c r="F4" s="36" t="s">
        <v>117</v>
      </c>
      <c r="G4" s="21" t="s">
        <v>120</v>
      </c>
      <c r="H4" s="24">
        <f>SQRT(4*M7/(Parameters!H8*Parameters!C13))</f>
        <v>1.7587637692667544</v>
      </c>
      <c r="I4" s="21" t="s">
        <v>81</v>
      </c>
      <c r="J4" s="21"/>
      <c r="K4" s="35" t="s">
        <v>63</v>
      </c>
      <c r="L4" s="21" t="s">
        <v>64</v>
      </c>
      <c r="M4" s="39">
        <f>Parameters!C2/(Parameters!C4*Parameters!H2/100)</f>
        <v>2127.6595744680853</v>
      </c>
      <c r="N4" s="21" t="s">
        <v>7</v>
      </c>
      <c r="O4" s="37"/>
      <c r="P4" s="38" t="s">
        <v>177</v>
      </c>
      <c r="Q4" s="23" t="s">
        <v>179</v>
      </c>
      <c r="R4" s="24">
        <v>557</v>
      </c>
      <c r="S4" s="24">
        <f>R4/(4*SQRT(2)*SQRT(3))</f>
        <v>56.848574447092922</v>
      </c>
      <c r="T4" s="24">
        <f>H15</f>
        <v>67.108824000000027</v>
      </c>
      <c r="U4" s="24">
        <f t="shared" ref="U4:U12" si="0">100*ABS(S4-T4)/T4</f>
        <v>15.288972360634871</v>
      </c>
      <c r="V4" s="22"/>
    </row>
    <row r="5" spans="1:22" ht="15" customHeight="1" x14ac:dyDescent="0.25">
      <c r="A5" s="35" t="s">
        <v>31</v>
      </c>
      <c r="B5" s="21" t="s">
        <v>46</v>
      </c>
      <c r="C5" s="21">
        <f>C3/(C4*Parameters!C7)</f>
        <v>0.4</v>
      </c>
      <c r="D5" s="21" t="s">
        <v>15</v>
      </c>
      <c r="E5" s="31"/>
      <c r="F5" s="36" t="s">
        <v>119</v>
      </c>
      <c r="G5" s="21" t="s">
        <v>118</v>
      </c>
      <c r="H5" s="24">
        <v>1.8288</v>
      </c>
      <c r="I5" s="21" t="s">
        <v>81</v>
      </c>
      <c r="J5" s="26" t="s">
        <v>182</v>
      </c>
      <c r="K5" s="35" t="s">
        <v>66</v>
      </c>
      <c r="L5" s="21" t="s">
        <v>67</v>
      </c>
      <c r="M5" s="21">
        <f>Parameters!C3/Parameters!C5</f>
        <v>270</v>
      </c>
      <c r="N5" s="21" t="s">
        <v>33</v>
      </c>
      <c r="O5" s="37"/>
      <c r="P5" s="36" t="s">
        <v>163</v>
      </c>
      <c r="Q5" s="21" t="s">
        <v>23</v>
      </c>
      <c r="R5" s="24">
        <v>62.21</v>
      </c>
      <c r="S5" s="24">
        <f>R5</f>
        <v>62.21</v>
      </c>
      <c r="T5" s="24">
        <f>Parameters!C11</f>
        <v>50</v>
      </c>
      <c r="U5" s="24">
        <f t="shared" si="0"/>
        <v>24.42</v>
      </c>
      <c r="V5" s="21"/>
    </row>
    <row r="6" spans="1:22" ht="15" customHeight="1" x14ac:dyDescent="0.25">
      <c r="A6" s="35" t="s">
        <v>72</v>
      </c>
      <c r="B6" s="21" t="s">
        <v>73</v>
      </c>
      <c r="C6" s="21">
        <f>Parameters!C11*Parameters!C12</f>
        <v>45</v>
      </c>
      <c r="D6" s="21" t="s">
        <v>74</v>
      </c>
      <c r="E6" s="31"/>
      <c r="F6" s="36" t="s">
        <v>145</v>
      </c>
      <c r="G6" s="21" t="s">
        <v>121</v>
      </c>
      <c r="H6" s="24">
        <v>6.5698400000000001</v>
      </c>
      <c r="I6" s="21" t="s">
        <v>127</v>
      </c>
      <c r="J6" s="26"/>
      <c r="K6" s="35" t="s">
        <v>26</v>
      </c>
      <c r="L6" s="21" t="s">
        <v>48</v>
      </c>
      <c r="M6" s="24">
        <f>0.612*Parameters!C6*M5/SQRT(3)</f>
        <v>81.091154708759703</v>
      </c>
      <c r="N6" s="21" t="s">
        <v>33</v>
      </c>
      <c r="O6" s="22"/>
      <c r="P6" s="36" t="s">
        <v>164</v>
      </c>
      <c r="Q6" s="21" t="s">
        <v>43</v>
      </c>
      <c r="R6" s="24">
        <v>4.75</v>
      </c>
      <c r="S6" s="24">
        <f>R6</f>
        <v>4.75</v>
      </c>
      <c r="T6" s="24">
        <f>Parameters!C13</f>
        <v>4</v>
      </c>
      <c r="U6" s="24">
        <f t="shared" si="0"/>
        <v>18.75</v>
      </c>
      <c r="V6" s="21"/>
    </row>
    <row r="7" spans="1:22" ht="15" customHeight="1" x14ac:dyDescent="0.25">
      <c r="A7" s="35" t="s">
        <v>59</v>
      </c>
      <c r="B7" s="21" t="s">
        <v>60</v>
      </c>
      <c r="C7" s="24">
        <f>Parameters!C2/(Parameters!C8*2*Parameters!H8/60)</f>
        <v>127.32395461900511</v>
      </c>
      <c r="D7" s="21" t="s">
        <v>65</v>
      </c>
      <c r="E7" s="31"/>
      <c r="F7" s="36" t="s">
        <v>122</v>
      </c>
      <c r="G7" s="21" t="s">
        <v>123</v>
      </c>
      <c r="H7" s="24">
        <f>Parameters!C15*H13*Parameters!H8*(H5/2)^2*1.25</f>
        <v>197.00786764799284</v>
      </c>
      <c r="I7" s="21" t="s">
        <v>124</v>
      </c>
      <c r="J7" s="21"/>
      <c r="K7" s="35" t="s">
        <v>68</v>
      </c>
      <c r="L7" s="21" t="s">
        <v>69</v>
      </c>
      <c r="M7" s="24">
        <f>M4/(Parameters!H3*'General Calculations'!M6*3)</f>
        <v>9.7177314523144265</v>
      </c>
      <c r="N7" s="21" t="s">
        <v>22</v>
      </c>
      <c r="O7" s="37"/>
      <c r="P7" s="36" t="s">
        <v>175</v>
      </c>
      <c r="Q7" s="21" t="s">
        <v>7</v>
      </c>
      <c r="R7" s="24">
        <v>351.3</v>
      </c>
      <c r="S7" s="24">
        <f>R7</f>
        <v>351.3</v>
      </c>
      <c r="T7" s="24">
        <f>H22</f>
        <v>178.68046222001527</v>
      </c>
      <c r="U7" s="24">
        <f t="shared" si="0"/>
        <v>96.607953457962566</v>
      </c>
      <c r="V7" s="21"/>
    </row>
    <row r="8" spans="1:22" ht="15" customHeight="1" x14ac:dyDescent="0.25">
      <c r="A8" s="35" t="s">
        <v>75</v>
      </c>
      <c r="B8" s="21" t="s">
        <v>75</v>
      </c>
      <c r="C8" s="40">
        <f>2*C7/(C6*1000*Parameters!H8)</f>
        <v>1.8012654910913857E-3</v>
      </c>
      <c r="D8" s="21" t="s">
        <v>76</v>
      </c>
      <c r="E8" s="31"/>
      <c r="F8" s="36"/>
      <c r="G8" s="21"/>
      <c r="H8" s="21"/>
      <c r="I8" s="21"/>
      <c r="J8" s="41"/>
      <c r="K8" s="35" t="s">
        <v>25</v>
      </c>
      <c r="L8" s="21" t="s">
        <v>70</v>
      </c>
      <c r="M8" s="21">
        <f>Parameters!C8*'General Calculations'!C4/120</f>
        <v>100</v>
      </c>
      <c r="N8" s="21" t="s">
        <v>71</v>
      </c>
      <c r="O8" s="37"/>
      <c r="P8" s="36" t="s">
        <v>180</v>
      </c>
      <c r="Q8" s="21" t="s">
        <v>65</v>
      </c>
      <c r="R8" s="24">
        <f>21</f>
        <v>21</v>
      </c>
      <c r="S8" s="24">
        <f>R8</f>
        <v>21</v>
      </c>
      <c r="T8" s="24">
        <f>C7</f>
        <v>127.32395461900511</v>
      </c>
      <c r="U8" s="24">
        <f t="shared" si="0"/>
        <v>83.506638587500007</v>
      </c>
      <c r="V8" s="21"/>
    </row>
    <row r="9" spans="1:22" ht="15" customHeight="1" x14ac:dyDescent="0.25">
      <c r="A9" s="35" t="s">
        <v>77</v>
      </c>
      <c r="B9" s="21" t="s">
        <v>78</v>
      </c>
      <c r="C9" s="21">
        <v>0.5</v>
      </c>
      <c r="D9" s="21" t="s">
        <v>15</v>
      </c>
      <c r="E9" s="20" t="s">
        <v>182</v>
      </c>
      <c r="F9" s="36"/>
      <c r="G9" s="21"/>
      <c r="H9" s="21"/>
      <c r="I9" s="21"/>
      <c r="J9" s="41"/>
      <c r="K9" s="35"/>
      <c r="L9" s="35"/>
      <c r="M9" s="35"/>
      <c r="N9" s="35"/>
      <c r="O9" s="37"/>
      <c r="P9" s="36" t="s">
        <v>181</v>
      </c>
      <c r="Q9" s="21" t="s">
        <v>15</v>
      </c>
      <c r="R9" s="24">
        <f>1.26</f>
        <v>1.26</v>
      </c>
      <c r="S9" s="24">
        <f>R9</f>
        <v>1.26</v>
      </c>
      <c r="T9" s="24">
        <f>M21</f>
        <v>0.5195961563928515</v>
      </c>
      <c r="U9" s="24">
        <f t="shared" si="0"/>
        <v>142.49602012978534</v>
      </c>
      <c r="V9" s="21"/>
    </row>
    <row r="10" spans="1:22" ht="15" customHeight="1" x14ac:dyDescent="0.25">
      <c r="A10" s="35" t="s">
        <v>79</v>
      </c>
      <c r="B10" s="21" t="s">
        <v>80</v>
      </c>
      <c r="C10" s="39">
        <v>200</v>
      </c>
      <c r="D10" s="21" t="s">
        <v>81</v>
      </c>
      <c r="E10" s="35"/>
      <c r="F10" s="27" t="s">
        <v>129</v>
      </c>
      <c r="G10" s="27"/>
      <c r="H10" s="27"/>
      <c r="I10" s="27"/>
      <c r="J10" s="27"/>
      <c r="K10" s="27" t="s">
        <v>126</v>
      </c>
      <c r="L10" s="27"/>
      <c r="M10" s="27"/>
      <c r="N10" s="27"/>
      <c r="O10" s="27"/>
      <c r="P10" s="38" t="s">
        <v>188</v>
      </c>
      <c r="Q10" s="23" t="s">
        <v>81</v>
      </c>
      <c r="R10" s="42">
        <v>105.62</v>
      </c>
      <c r="S10" s="24">
        <f>R10</f>
        <v>105.62</v>
      </c>
      <c r="T10" s="24">
        <f>C11+C16</f>
        <v>184.42661945624999</v>
      </c>
      <c r="U10" s="24">
        <f t="shared" si="0"/>
        <v>42.730609978428106</v>
      </c>
    </row>
    <row r="11" spans="1:22" ht="15" customHeight="1" x14ac:dyDescent="0.25">
      <c r="A11" s="35" t="s">
        <v>82</v>
      </c>
      <c r="B11" s="21" t="s">
        <v>83</v>
      </c>
      <c r="C11" s="39">
        <v>150</v>
      </c>
      <c r="D11" s="21" t="s">
        <v>81</v>
      </c>
      <c r="E11" s="43"/>
      <c r="F11" s="36" t="s">
        <v>1</v>
      </c>
      <c r="G11" s="21" t="s">
        <v>47</v>
      </c>
      <c r="H11" s="21">
        <v>0.93300000000000005</v>
      </c>
      <c r="I11" s="21" t="s">
        <v>15</v>
      </c>
      <c r="J11" s="20" t="s">
        <v>183</v>
      </c>
      <c r="K11" s="36" t="s">
        <v>131</v>
      </c>
      <c r="L11" s="21" t="s">
        <v>130</v>
      </c>
      <c r="M11" s="21">
        <v>17</v>
      </c>
      <c r="N11" s="21" t="s">
        <v>81</v>
      </c>
      <c r="O11" s="26" t="s">
        <v>182</v>
      </c>
      <c r="P11" s="38" t="s">
        <v>189</v>
      </c>
      <c r="Q11" s="21" t="s">
        <v>170</v>
      </c>
      <c r="R11" s="42">
        <f>0.6986*1000</f>
        <v>698.6</v>
      </c>
      <c r="S11" s="42">
        <f>R11/4</f>
        <v>174.65</v>
      </c>
      <c r="T11" s="24">
        <f>H19</f>
        <v>157.67616000000001</v>
      </c>
      <c r="U11" s="24">
        <f t="shared" si="0"/>
        <v>10.765000872674724</v>
      </c>
    </row>
    <row r="12" spans="1:22" ht="15" customHeight="1" x14ac:dyDescent="0.25">
      <c r="A12" s="35" t="s">
        <v>92</v>
      </c>
      <c r="B12" s="21" t="s">
        <v>92</v>
      </c>
      <c r="C12" s="24">
        <v>1.4</v>
      </c>
      <c r="D12" s="21" t="s">
        <v>15</v>
      </c>
      <c r="E12" s="20" t="s">
        <v>182</v>
      </c>
      <c r="F12" s="36" t="s">
        <v>94</v>
      </c>
      <c r="G12" s="21" t="s">
        <v>128</v>
      </c>
      <c r="H12" s="44">
        <f>0.001*2*C10*C11*Parameters!C12/C4</f>
        <v>2.7</v>
      </c>
      <c r="I12" s="21" t="s">
        <v>97</v>
      </c>
      <c r="J12" s="22"/>
      <c r="K12" s="36" t="s">
        <v>132</v>
      </c>
      <c r="L12" s="21" t="s">
        <v>134</v>
      </c>
      <c r="M12" s="21">
        <v>2</v>
      </c>
      <c r="N12" s="21" t="s">
        <v>81</v>
      </c>
      <c r="O12" s="26"/>
      <c r="P12" s="23" t="s">
        <v>1</v>
      </c>
      <c r="Q12" s="23" t="s">
        <v>15</v>
      </c>
      <c r="R12" s="44">
        <v>0.93300000000000005</v>
      </c>
      <c r="S12" s="44">
        <f>R12</f>
        <v>0.93300000000000005</v>
      </c>
      <c r="T12" s="44">
        <f>H11</f>
        <v>0.93300000000000005</v>
      </c>
      <c r="U12" s="24">
        <f t="shared" si="0"/>
        <v>0</v>
      </c>
    </row>
    <row r="13" spans="1:22" ht="15" customHeight="1" x14ac:dyDescent="0.25">
      <c r="A13" s="35" t="s">
        <v>84</v>
      </c>
      <c r="B13" s="21" t="s">
        <v>85</v>
      </c>
      <c r="C13" s="39">
        <f>C12*C10</f>
        <v>280</v>
      </c>
      <c r="D13" s="21" t="s">
        <v>81</v>
      </c>
      <c r="E13" s="35"/>
      <c r="F13" s="35" t="s">
        <v>98</v>
      </c>
      <c r="G13" s="21" t="s">
        <v>101</v>
      </c>
      <c r="H13" s="21">
        <v>30</v>
      </c>
      <c r="I13" s="21" t="s">
        <v>15</v>
      </c>
      <c r="J13" s="20" t="s">
        <v>182</v>
      </c>
      <c r="K13" s="36" t="s">
        <v>133</v>
      </c>
      <c r="L13" s="21" t="s">
        <v>135</v>
      </c>
      <c r="M13" s="21">
        <v>2</v>
      </c>
      <c r="N13" s="21" t="s">
        <v>81</v>
      </c>
      <c r="O13" s="26"/>
      <c r="R13" s="45"/>
      <c r="S13" s="45"/>
      <c r="T13" s="45"/>
      <c r="U13" s="45"/>
    </row>
    <row r="14" spans="1:22" ht="15" customHeight="1" x14ac:dyDescent="0.25">
      <c r="A14" s="35" t="s">
        <v>86</v>
      </c>
      <c r="B14" s="21" t="s">
        <v>87</v>
      </c>
      <c r="C14" s="21">
        <f>ROUND(((0.18+0.006*(Parameters!C2)^0.4)*1.6),1)</f>
        <v>0.6</v>
      </c>
      <c r="D14" s="21" t="s">
        <v>81</v>
      </c>
      <c r="E14" s="22"/>
      <c r="F14" s="35" t="s">
        <v>104</v>
      </c>
      <c r="G14" s="21" t="s">
        <v>105</v>
      </c>
      <c r="H14" s="21">
        <f>H13*Parameters!C9*Parameters!C15/2</f>
        <v>60</v>
      </c>
      <c r="I14" s="21" t="s">
        <v>15</v>
      </c>
      <c r="J14" s="22"/>
      <c r="K14" s="36" t="s">
        <v>136</v>
      </c>
      <c r="L14" s="21" t="s">
        <v>137</v>
      </c>
      <c r="M14" s="24">
        <f>C13/2-C10/2-M11-M12-M13-M19</f>
        <v>17</v>
      </c>
      <c r="N14" s="21" t="s">
        <v>81</v>
      </c>
      <c r="O14" s="22"/>
      <c r="R14" s="45"/>
      <c r="S14" s="45"/>
      <c r="T14" s="45"/>
      <c r="U14" s="45"/>
    </row>
    <row r="15" spans="1:22" ht="15" customHeight="1" x14ac:dyDescent="0.25">
      <c r="A15" s="35" t="s">
        <v>93</v>
      </c>
      <c r="B15" s="21" t="s">
        <v>95</v>
      </c>
      <c r="C15" s="24">
        <f>Parameters!H8*C10/'General Calculations'!C3</f>
        <v>26.179938750000002</v>
      </c>
      <c r="D15" s="21" t="s">
        <v>81</v>
      </c>
      <c r="E15" s="35"/>
      <c r="F15" s="35" t="s">
        <v>144</v>
      </c>
      <c r="G15" s="21" t="s">
        <v>103</v>
      </c>
      <c r="H15" s="24">
        <f>4.44*H12*M8*H14*H11/1000</f>
        <v>67.108824000000027</v>
      </c>
      <c r="I15" s="21" t="s">
        <v>33</v>
      </c>
      <c r="J15" s="43"/>
      <c r="K15" s="38" t="s">
        <v>146</v>
      </c>
      <c r="L15" s="21" t="s">
        <v>149</v>
      </c>
      <c r="M15" s="23">
        <v>8</v>
      </c>
      <c r="N15" s="23" t="s">
        <v>81</v>
      </c>
      <c r="O15" s="20" t="s">
        <v>182</v>
      </c>
      <c r="R15" s="45"/>
      <c r="S15" s="45"/>
      <c r="T15" s="45"/>
      <c r="U15" s="45"/>
    </row>
    <row r="16" spans="1:22" ht="15" customHeight="1" x14ac:dyDescent="0.25">
      <c r="A16" s="35" t="s">
        <v>150</v>
      </c>
      <c r="B16" s="21" t="s">
        <v>151</v>
      </c>
      <c r="C16" s="24">
        <f>Parameters!H8*(C13-M14)/'General Calculations'!C3</f>
        <v>34.426619456250002</v>
      </c>
      <c r="D16" s="21" t="s">
        <v>81</v>
      </c>
      <c r="E16" s="35"/>
      <c r="F16" s="35"/>
      <c r="G16" s="35"/>
      <c r="H16" s="35"/>
      <c r="I16" s="35"/>
      <c r="J16" s="35"/>
      <c r="K16" s="36" t="s">
        <v>140</v>
      </c>
      <c r="L16" s="21" t="s">
        <v>139</v>
      </c>
      <c r="M16" s="24">
        <f>C16-M15</f>
        <v>26.426619456250002</v>
      </c>
      <c r="N16" s="21" t="s">
        <v>81</v>
      </c>
      <c r="O16" s="22"/>
      <c r="R16" s="45"/>
      <c r="S16" s="45"/>
      <c r="T16" s="45"/>
      <c r="U16" s="45"/>
    </row>
    <row r="17" spans="1:21" ht="15" customHeight="1" x14ac:dyDescent="0.25">
      <c r="A17" s="35"/>
      <c r="B17" s="21"/>
      <c r="C17" s="44"/>
      <c r="D17" s="21"/>
      <c r="E17" s="35"/>
      <c r="F17" s="27" t="s">
        <v>165</v>
      </c>
      <c r="G17" s="27"/>
      <c r="H17" s="27"/>
      <c r="I17" s="27"/>
      <c r="J17" s="27"/>
      <c r="K17" s="36" t="s">
        <v>141</v>
      </c>
      <c r="L17" s="21" t="s">
        <v>142</v>
      </c>
      <c r="M17" s="24">
        <f>C15-M15</f>
        <v>18.179938750000002</v>
      </c>
      <c r="N17" s="21" t="s">
        <v>81</v>
      </c>
      <c r="O17" s="22"/>
      <c r="R17" s="45"/>
      <c r="S17" s="45"/>
      <c r="T17" s="45"/>
      <c r="U17" s="45"/>
    </row>
    <row r="18" spans="1:21" ht="15" customHeight="1" x14ac:dyDescent="0.25">
      <c r="A18" s="46"/>
      <c r="B18" s="47"/>
      <c r="C18" s="47"/>
      <c r="D18" s="47"/>
      <c r="E18" s="46"/>
      <c r="F18" s="35" t="s">
        <v>166</v>
      </c>
      <c r="G18" s="21" t="s">
        <v>167</v>
      </c>
      <c r="H18" s="24">
        <f>2*Parameters!C9*C11*1.2</f>
        <v>720</v>
      </c>
      <c r="I18" s="21" t="s">
        <v>81</v>
      </c>
      <c r="J18" s="48"/>
      <c r="K18" s="36" t="s">
        <v>138</v>
      </c>
      <c r="L18" s="21" t="s">
        <v>143</v>
      </c>
      <c r="M18" s="21">
        <v>2.5</v>
      </c>
      <c r="N18" s="21" t="s">
        <v>81</v>
      </c>
      <c r="O18" s="21"/>
      <c r="R18" s="45">
        <f>80*4*SQRT(3)</f>
        <v>554.25625842204067</v>
      </c>
      <c r="S18" s="45"/>
      <c r="T18" s="45"/>
      <c r="U18" s="45"/>
    </row>
    <row r="19" spans="1:21" ht="15" customHeight="1" x14ac:dyDescent="0.25">
      <c r="A19" s="46"/>
      <c r="B19" s="47"/>
      <c r="C19" s="47"/>
      <c r="D19" s="47"/>
      <c r="E19" s="46"/>
      <c r="F19" s="35" t="s">
        <v>168</v>
      </c>
      <c r="G19" s="21" t="s">
        <v>169</v>
      </c>
      <c r="H19" s="24">
        <f>H18*H6/(H13)</f>
        <v>157.67616000000001</v>
      </c>
      <c r="I19" s="21" t="s">
        <v>170</v>
      </c>
      <c r="J19" s="21"/>
      <c r="K19" s="49" t="s">
        <v>147</v>
      </c>
      <c r="L19" s="21" t="s">
        <v>148</v>
      </c>
      <c r="M19" s="21">
        <v>2</v>
      </c>
      <c r="N19" s="21" t="s">
        <v>81</v>
      </c>
      <c r="O19" s="20" t="s">
        <v>182</v>
      </c>
      <c r="R19" s="45"/>
      <c r="S19" s="45"/>
      <c r="T19" s="45"/>
      <c r="U19" s="45"/>
    </row>
    <row r="20" spans="1:21" ht="15" customHeight="1" x14ac:dyDescent="0.25">
      <c r="A20" s="35" t="s">
        <v>79</v>
      </c>
      <c r="B20" s="21" t="s">
        <v>80</v>
      </c>
      <c r="C20" s="39">
        <f>1000*(C8/C9)^(1/3)</f>
        <v>153.29779501892307</v>
      </c>
      <c r="D20" s="21" t="s">
        <v>81</v>
      </c>
      <c r="E20" s="46"/>
      <c r="F20" s="35" t="s">
        <v>185</v>
      </c>
      <c r="G20" s="21" t="s">
        <v>171</v>
      </c>
      <c r="H20" s="21">
        <f>M7^2*H19/1000</f>
        <v>14.890038518334606</v>
      </c>
      <c r="I20" s="21" t="s">
        <v>7</v>
      </c>
      <c r="J20" s="21"/>
      <c r="K20" s="49" t="s">
        <v>152</v>
      </c>
      <c r="L20" s="21" t="s">
        <v>153</v>
      </c>
      <c r="M20" s="24">
        <f>(M16+M17)*M11/2</f>
        <v>379.15574475312502</v>
      </c>
      <c r="N20" s="21" t="s">
        <v>124</v>
      </c>
      <c r="O20" s="21"/>
      <c r="R20" s="45"/>
      <c r="S20" s="45"/>
      <c r="T20" s="45"/>
      <c r="U20" s="45"/>
    </row>
    <row r="21" spans="1:21" ht="15" customHeight="1" x14ac:dyDescent="0.25">
      <c r="A21" s="35" t="s">
        <v>82</v>
      </c>
      <c r="B21" s="21" t="s">
        <v>83</v>
      </c>
      <c r="C21" s="39">
        <f>C10*C9</f>
        <v>100</v>
      </c>
      <c r="D21" s="21" t="s">
        <v>81</v>
      </c>
      <c r="E21" s="46"/>
      <c r="F21" s="35" t="s">
        <v>184</v>
      </c>
      <c r="G21" s="21" t="s">
        <v>186</v>
      </c>
      <c r="H21" s="21">
        <v>0</v>
      </c>
      <c r="I21" s="21" t="s">
        <v>7</v>
      </c>
      <c r="J21" s="21"/>
      <c r="K21" s="50" t="s">
        <v>20</v>
      </c>
      <c r="L21" s="23" t="s">
        <v>154</v>
      </c>
      <c r="M21" s="24">
        <f>H7/M20</f>
        <v>0.5195961563928515</v>
      </c>
      <c r="N21" s="23" t="s">
        <v>15</v>
      </c>
      <c r="O21" s="21"/>
      <c r="R21" s="45"/>
      <c r="S21" s="45"/>
      <c r="T21" s="45"/>
      <c r="U21" s="45"/>
    </row>
    <row r="22" spans="1:21" ht="15" customHeight="1" x14ac:dyDescent="0.25">
      <c r="A22" s="46"/>
      <c r="B22" s="47"/>
      <c r="C22" s="47"/>
      <c r="D22" s="47"/>
      <c r="E22" s="46"/>
      <c r="F22" s="35" t="s">
        <v>172</v>
      </c>
      <c r="G22" s="21" t="s">
        <v>187</v>
      </c>
      <c r="H22" s="21">
        <f>H20*Parameters!C4*Parameters!C7+H21</f>
        <v>178.68046222001527</v>
      </c>
      <c r="I22" s="21" t="s">
        <v>7</v>
      </c>
      <c r="J22" s="21"/>
    </row>
    <row r="23" spans="1:21" ht="15" customHeight="1" x14ac:dyDescent="0.25">
      <c r="F23" s="52" t="s">
        <v>173</v>
      </c>
      <c r="G23" s="53" t="s">
        <v>201</v>
      </c>
      <c r="H23" s="21">
        <f>Parameters!C2/(Parameters!C2+'General Calculations'!H22)*100</f>
        <v>97.815289849684206</v>
      </c>
      <c r="I23" s="21" t="s">
        <v>15</v>
      </c>
      <c r="J23" s="54"/>
      <c r="K23" s="27" t="s">
        <v>190</v>
      </c>
      <c r="L23" s="27"/>
      <c r="M23" s="27"/>
      <c r="N23" s="27"/>
      <c r="O23" s="27"/>
    </row>
    <row r="24" spans="1:21" ht="15" customHeight="1" x14ac:dyDescent="0.25">
      <c r="F24" s="52"/>
      <c r="G24" s="53"/>
      <c r="H24" s="21"/>
      <c r="I24" s="21"/>
      <c r="J24" s="54"/>
      <c r="K24" s="36" t="s">
        <v>202</v>
      </c>
      <c r="L24" s="21" t="s">
        <v>203</v>
      </c>
      <c r="M24" s="44">
        <f>2*Parameters!H8*Parameters!C16/'General Calculations'!C4</f>
        <v>0.2199114855</v>
      </c>
      <c r="N24" s="21" t="s">
        <v>204</v>
      </c>
      <c r="O24" s="21"/>
    </row>
    <row r="25" spans="1:21" ht="15" customHeight="1" x14ac:dyDescent="0.25">
      <c r="F25" s="52"/>
      <c r="G25" s="53"/>
      <c r="H25" s="21"/>
      <c r="I25" s="21"/>
      <c r="J25" s="54"/>
      <c r="K25" s="36" t="s">
        <v>202</v>
      </c>
      <c r="L25" s="21" t="s">
        <v>203</v>
      </c>
      <c r="M25" s="21">
        <f>M24*180/Parameters!H8</f>
        <v>12.6</v>
      </c>
      <c r="N25" s="21" t="s">
        <v>205</v>
      </c>
      <c r="O25" s="21"/>
    </row>
    <row r="26" spans="1:21" ht="15" customHeight="1" x14ac:dyDescent="0.25">
      <c r="F26" s="52"/>
      <c r="G26" s="53"/>
      <c r="H26" s="21"/>
      <c r="I26" s="21"/>
      <c r="J26" s="54"/>
      <c r="K26" s="36" t="s">
        <v>191</v>
      </c>
      <c r="L26" s="21" t="s">
        <v>197</v>
      </c>
      <c r="M26" s="24">
        <f>(M24*(C10/2-C14/2)+2*C14)*(C11+2*C14)/100</f>
        <v>34.965264757777192</v>
      </c>
      <c r="N26" s="21" t="s">
        <v>206</v>
      </c>
      <c r="O26" s="33"/>
    </row>
    <row r="27" spans="1:21" ht="15" customHeight="1" x14ac:dyDescent="0.25">
      <c r="F27" s="35"/>
      <c r="G27" s="21"/>
      <c r="H27" s="21"/>
      <c r="I27" s="21"/>
      <c r="J27" s="54"/>
      <c r="K27" s="36" t="s">
        <v>192</v>
      </c>
      <c r="L27" s="21" t="s">
        <v>198</v>
      </c>
      <c r="M27" s="24">
        <f>(M24*(C10/2-C14/2-Parameters!C14/2)+2*C14)*(C11)/100</f>
        <v>34.110495007087501</v>
      </c>
      <c r="N27" s="21" t="s">
        <v>206</v>
      </c>
      <c r="O27" s="21"/>
    </row>
    <row r="28" spans="1:21" ht="18" customHeight="1" x14ac:dyDescent="0.25">
      <c r="K28" s="36" t="s">
        <v>207</v>
      </c>
      <c r="L28" s="21" t="s">
        <v>208</v>
      </c>
      <c r="M28" s="24">
        <f>M27/M26</f>
        <v>0.97555374579282805</v>
      </c>
      <c r="N28" s="21" t="s">
        <v>15</v>
      </c>
      <c r="O28" s="21"/>
    </row>
    <row r="29" spans="1:21" ht="18" customHeight="1" x14ac:dyDescent="0.25">
      <c r="F29" s="36" t="s">
        <v>218</v>
      </c>
      <c r="G29" s="21" t="s">
        <v>215</v>
      </c>
      <c r="H29" s="21">
        <v>1.1000000000000001</v>
      </c>
      <c r="I29" s="21" t="s">
        <v>15</v>
      </c>
      <c r="J29" s="51"/>
      <c r="K29" s="36" t="s">
        <v>209</v>
      </c>
      <c r="L29" s="21" t="s">
        <v>210</v>
      </c>
      <c r="M29" s="24">
        <f>M27*C14/(M26*Parameters!C14)</f>
        <v>0.16723778499305625</v>
      </c>
      <c r="N29" s="21" t="s">
        <v>15</v>
      </c>
      <c r="O29" s="21"/>
    </row>
    <row r="30" spans="1:21" ht="18" customHeight="1" x14ac:dyDescent="0.25">
      <c r="F30" s="36" t="s">
        <v>217</v>
      </c>
      <c r="G30" s="21" t="s">
        <v>216</v>
      </c>
      <c r="H30" s="21">
        <v>0.15</v>
      </c>
      <c r="I30" s="21" t="s">
        <v>15</v>
      </c>
      <c r="J30" s="51"/>
      <c r="K30" s="36" t="s">
        <v>193</v>
      </c>
      <c r="L30" s="21" t="s">
        <v>199</v>
      </c>
      <c r="M30" s="21">
        <v>1000</v>
      </c>
      <c r="N30" s="21" t="s">
        <v>15</v>
      </c>
      <c r="O30" s="20" t="s">
        <v>182</v>
      </c>
    </row>
    <row r="31" spans="1:21" ht="18" customHeight="1" x14ac:dyDescent="0.25">
      <c r="F31" s="36"/>
      <c r="G31" s="21"/>
      <c r="H31" s="21"/>
      <c r="I31" s="21"/>
      <c r="J31" s="51"/>
      <c r="K31" s="36" t="s">
        <v>196</v>
      </c>
      <c r="L31" s="21" t="s">
        <v>200</v>
      </c>
      <c r="M31" s="55">
        <f>M30*Parameters!H11</f>
        <v>1.2566370599999999E-3</v>
      </c>
      <c r="N31" s="21" t="s">
        <v>114</v>
      </c>
      <c r="O31" s="21"/>
    </row>
    <row r="32" spans="1:21" ht="18" x14ac:dyDescent="0.25">
      <c r="F32" s="36"/>
      <c r="G32" s="21"/>
      <c r="H32" s="21"/>
      <c r="I32" s="21"/>
      <c r="J32" s="51"/>
      <c r="K32" s="35" t="s">
        <v>211</v>
      </c>
      <c r="L32" s="21" t="s">
        <v>212</v>
      </c>
      <c r="M32" s="24">
        <v>1</v>
      </c>
      <c r="N32" s="21" t="s">
        <v>28</v>
      </c>
      <c r="O32" s="20" t="s">
        <v>182</v>
      </c>
    </row>
    <row r="33" spans="6:15" ht="18" x14ac:dyDescent="0.25">
      <c r="F33" s="36"/>
      <c r="G33" s="21"/>
      <c r="H33" s="21"/>
      <c r="I33" s="21"/>
      <c r="J33" s="51"/>
      <c r="K33" s="35" t="s">
        <v>213</v>
      </c>
      <c r="L33" s="21" t="s">
        <v>214</v>
      </c>
      <c r="M33" s="24">
        <f>M28/(1+M30*M29*H29*(1+H30))</f>
        <v>4.5896360150966195E-3</v>
      </c>
      <c r="N33" s="21" t="s">
        <v>28</v>
      </c>
      <c r="O33" s="21"/>
    </row>
    <row r="34" spans="6:15" x14ac:dyDescent="0.25">
      <c r="F34" s="35"/>
      <c r="G34" s="35"/>
      <c r="H34" s="35"/>
      <c r="I34" s="35"/>
    </row>
  </sheetData>
  <mergeCells count="10">
    <mergeCell ref="K23:O23"/>
    <mergeCell ref="F17:J17"/>
    <mergeCell ref="A1:E1"/>
    <mergeCell ref="K1:O1"/>
    <mergeCell ref="J5:J6"/>
    <mergeCell ref="F1:J1"/>
    <mergeCell ref="F10:J10"/>
    <mergeCell ref="K10:O10"/>
    <mergeCell ref="O11:O13"/>
    <mergeCell ref="P1:U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6"/>
  <sheetViews>
    <sheetView zoomScale="145" zoomScaleNormal="145" workbookViewId="0">
      <selection activeCell="E12" sqref="E12"/>
    </sheetView>
  </sheetViews>
  <sheetFormatPr defaultRowHeight="15" x14ac:dyDescent="0.25"/>
  <cols>
    <col min="1" max="1" width="28" style="1" bestFit="1" customWidth="1"/>
    <col min="2" max="2" width="7.7109375" style="2" bestFit="1" customWidth="1"/>
    <col min="3" max="3" width="7.42578125" style="2" bestFit="1" customWidth="1"/>
    <col min="4" max="4" width="5.7109375" style="2" bestFit="1" customWidth="1"/>
    <col min="5" max="5" width="11.7109375" bestFit="1" customWidth="1"/>
    <col min="7" max="7" width="7.140625" bestFit="1" customWidth="1"/>
    <col min="8" max="17" width="4.7109375" bestFit="1" customWidth="1"/>
  </cols>
  <sheetData>
    <row r="1" spans="1:18" x14ac:dyDescent="0.25">
      <c r="A1" s="4" t="s">
        <v>57</v>
      </c>
      <c r="B1" s="5" t="s">
        <v>4</v>
      </c>
      <c r="C1" s="5" t="s">
        <v>5</v>
      </c>
      <c r="D1" s="5" t="s">
        <v>6</v>
      </c>
    </row>
    <row r="2" spans="1:18" ht="18" x14ac:dyDescent="0.35">
      <c r="A2" s="6" t="s">
        <v>34</v>
      </c>
      <c r="B2" s="7" t="s">
        <v>44</v>
      </c>
      <c r="C2" s="7">
        <f>Parameters!C4/Parameters!C5</f>
        <v>2</v>
      </c>
      <c r="D2" s="7" t="s">
        <v>15</v>
      </c>
    </row>
    <row r="3" spans="1:18" ht="18" x14ac:dyDescent="0.35">
      <c r="A3" s="6" t="s">
        <v>2</v>
      </c>
      <c r="B3" s="7" t="s">
        <v>45</v>
      </c>
      <c r="C3" s="7">
        <f>Parameters!C4*Parameters!C7*Parameters!C9</f>
        <v>24</v>
      </c>
      <c r="D3" s="7" t="s">
        <v>15</v>
      </c>
    </row>
    <row r="4" spans="1:18" x14ac:dyDescent="0.25">
      <c r="A4" s="6" t="s">
        <v>3</v>
      </c>
      <c r="B4" s="7" t="s">
        <v>24</v>
      </c>
      <c r="C4" s="7">
        <f>Parameters!C9*10</f>
        <v>20</v>
      </c>
      <c r="D4" s="7" t="s">
        <v>15</v>
      </c>
    </row>
    <row r="5" spans="1:18" ht="18" x14ac:dyDescent="0.35">
      <c r="A5" s="6" t="s">
        <v>31</v>
      </c>
      <c r="B5" s="7" t="s">
        <v>46</v>
      </c>
      <c r="C5" s="7">
        <f>C3/(C4*Parameters!C7)</f>
        <v>0.4</v>
      </c>
      <c r="D5" s="7" t="s">
        <v>15</v>
      </c>
      <c r="G5" s="12" t="s">
        <v>91</v>
      </c>
      <c r="H5" s="12">
        <v>2</v>
      </c>
      <c r="I5" s="12">
        <v>4</v>
      </c>
      <c r="J5" s="12">
        <v>6</v>
      </c>
      <c r="K5" s="12">
        <v>8</v>
      </c>
      <c r="L5" s="12">
        <v>10</v>
      </c>
      <c r="M5" s="12">
        <v>12</v>
      </c>
      <c r="N5" s="12">
        <v>14</v>
      </c>
      <c r="O5" s="12">
        <v>16</v>
      </c>
      <c r="P5" s="12">
        <v>18</v>
      </c>
      <c r="Q5" s="12">
        <v>20</v>
      </c>
    </row>
    <row r="6" spans="1:18" ht="18" x14ac:dyDescent="0.35">
      <c r="A6" s="6" t="s">
        <v>1</v>
      </c>
      <c r="B6" s="7" t="s">
        <v>47</v>
      </c>
      <c r="C6" s="7">
        <v>0.93300000000000005</v>
      </c>
      <c r="D6" s="7" t="s">
        <v>15</v>
      </c>
      <c r="E6" s="16" t="s">
        <v>58</v>
      </c>
      <c r="G6" s="13" t="s">
        <v>92</v>
      </c>
      <c r="H6" s="14">
        <v>2</v>
      </c>
      <c r="I6" s="14">
        <v>1.88</v>
      </c>
      <c r="J6" s="14">
        <v>1.78</v>
      </c>
      <c r="K6" s="14">
        <v>1.66</v>
      </c>
      <c r="L6" s="14">
        <v>1.54</v>
      </c>
      <c r="M6" s="14">
        <v>1.43</v>
      </c>
      <c r="N6" s="14"/>
      <c r="O6" s="14"/>
      <c r="P6" s="14"/>
      <c r="Q6" s="14"/>
    </row>
    <row r="7" spans="1:18" ht="18" x14ac:dyDescent="0.35">
      <c r="A7" s="6" t="s">
        <v>59</v>
      </c>
      <c r="B7" s="7" t="s">
        <v>60</v>
      </c>
      <c r="C7" s="8">
        <f>Parameters!C2/(Parameters!C8*2*Parameters!H8/60)</f>
        <v>127.32395461900511</v>
      </c>
      <c r="D7" s="7" t="s">
        <v>65</v>
      </c>
      <c r="G7" s="13" t="s">
        <v>92</v>
      </c>
      <c r="H7" s="14">
        <f>2-((H5)/2-1)*0.1</f>
        <v>2</v>
      </c>
      <c r="I7" s="14">
        <f>2-((I5)/2-1)*0.115</f>
        <v>1.885</v>
      </c>
      <c r="J7" s="14">
        <f t="shared" ref="J7:M7" si="0">2-((J5)/2-1)*0.115</f>
        <v>1.77</v>
      </c>
      <c r="K7" s="14">
        <f t="shared" si="0"/>
        <v>1.655</v>
      </c>
      <c r="L7" s="14">
        <f t="shared" si="0"/>
        <v>1.54</v>
      </c>
      <c r="M7" s="14">
        <f t="shared" si="0"/>
        <v>1.4249999999999998</v>
      </c>
      <c r="N7" s="14">
        <f>2-((N5)/2-1)*0.11</f>
        <v>1.3399999999999999</v>
      </c>
      <c r="O7" s="14">
        <f t="shared" ref="O7:Q7" si="1">2-((O5)/2-1)*0.11</f>
        <v>1.23</v>
      </c>
      <c r="P7" s="14">
        <f t="shared" si="1"/>
        <v>1.1200000000000001</v>
      </c>
      <c r="Q7" s="14">
        <f t="shared" si="1"/>
        <v>1.01</v>
      </c>
      <c r="R7" t="s">
        <v>106</v>
      </c>
    </row>
    <row r="8" spans="1:18" ht="18" x14ac:dyDescent="0.35">
      <c r="A8" s="6" t="s">
        <v>63</v>
      </c>
      <c r="B8" s="7" t="s">
        <v>64</v>
      </c>
      <c r="C8" s="8">
        <f>Parameters!C2/(Parameters!C4*Parameters!H2/100)</f>
        <v>2127.6595744680853</v>
      </c>
      <c r="D8" s="7" t="s">
        <v>7</v>
      </c>
    </row>
    <row r="9" spans="1:18" ht="18" x14ac:dyDescent="0.35">
      <c r="A9" s="6" t="s">
        <v>66</v>
      </c>
      <c r="B9" s="7" t="s">
        <v>67</v>
      </c>
      <c r="C9" s="7">
        <f>Parameters!C3/Parameters!C5</f>
        <v>270</v>
      </c>
      <c r="D9" s="7" t="s">
        <v>33</v>
      </c>
    </row>
    <row r="10" spans="1:18" ht="18" x14ac:dyDescent="0.35">
      <c r="A10" s="6" t="s">
        <v>26</v>
      </c>
      <c r="B10" s="7" t="s">
        <v>48</v>
      </c>
      <c r="C10" s="8">
        <f>0.612*Parameters!C6*C9/SQRT(3)</f>
        <v>81.091154708759703</v>
      </c>
      <c r="D10" s="7" t="s">
        <v>33</v>
      </c>
    </row>
    <row r="11" spans="1:18" ht="18" x14ac:dyDescent="0.35">
      <c r="A11" s="6" t="s">
        <v>68</v>
      </c>
      <c r="B11" s="7" t="s">
        <v>69</v>
      </c>
      <c r="C11" s="8">
        <f>C8/(Parameters!H3*'Calculations-old'!C10*3)</f>
        <v>9.7177314523144265</v>
      </c>
      <c r="D11" s="7" t="s">
        <v>22</v>
      </c>
    </row>
    <row r="12" spans="1:18" ht="18" x14ac:dyDescent="0.35">
      <c r="A12" s="6" t="s">
        <v>25</v>
      </c>
      <c r="B12" s="7" t="s">
        <v>70</v>
      </c>
      <c r="C12" s="7">
        <f>Parameters!C8*'Calculations-old'!C4/120</f>
        <v>100</v>
      </c>
      <c r="D12" s="7" t="s">
        <v>71</v>
      </c>
    </row>
    <row r="13" spans="1:18" x14ac:dyDescent="0.25">
      <c r="A13" s="6" t="s">
        <v>72</v>
      </c>
      <c r="B13" s="7" t="s">
        <v>73</v>
      </c>
      <c r="C13" s="7">
        <f>Parameters!C11*Parameters!C12</f>
        <v>45</v>
      </c>
      <c r="D13" s="7" t="s">
        <v>74</v>
      </c>
    </row>
    <row r="14" spans="1:18" ht="17.25" x14ac:dyDescent="0.25">
      <c r="A14" s="6" t="s">
        <v>75</v>
      </c>
      <c r="B14" s="7" t="s">
        <v>75</v>
      </c>
      <c r="C14" s="9">
        <f>2*C7/(C13*1000*Parameters!H8)</f>
        <v>1.8012654910913857E-3</v>
      </c>
      <c r="D14" s="7" t="s">
        <v>76</v>
      </c>
      <c r="J14">
        <f>0.155^2*150</f>
        <v>3.6037500000000002</v>
      </c>
      <c r="K14">
        <v>155</v>
      </c>
    </row>
    <row r="15" spans="1:18" x14ac:dyDescent="0.25">
      <c r="A15" s="6" t="s">
        <v>77</v>
      </c>
      <c r="B15" s="7" t="s">
        <v>78</v>
      </c>
      <c r="C15" s="7">
        <v>0.3</v>
      </c>
      <c r="D15" s="7" t="s">
        <v>15</v>
      </c>
      <c r="E15" s="16" t="s">
        <v>88</v>
      </c>
      <c r="K15">
        <v>150</v>
      </c>
    </row>
    <row r="16" spans="1:18" ht="18" x14ac:dyDescent="0.35">
      <c r="A16" s="6" t="s">
        <v>79</v>
      </c>
      <c r="B16" s="7" t="s">
        <v>80</v>
      </c>
      <c r="C16" s="10">
        <f>1000*(C14/C15)^(1/3)</f>
        <v>181.7546335652992</v>
      </c>
      <c r="D16" s="7" t="s">
        <v>81</v>
      </c>
    </row>
    <row r="17" spans="1:5" ht="18" x14ac:dyDescent="0.35">
      <c r="A17" s="6" t="s">
        <v>82</v>
      </c>
      <c r="B17" s="7" t="s">
        <v>83</v>
      </c>
      <c r="C17" s="10">
        <f>C16*C15</f>
        <v>54.526390069589759</v>
      </c>
      <c r="D17" s="7" t="s">
        <v>81</v>
      </c>
      <c r="E17" s="11"/>
    </row>
    <row r="18" spans="1:5" x14ac:dyDescent="0.25">
      <c r="A18" s="6" t="s">
        <v>92</v>
      </c>
      <c r="B18" s="7" t="s">
        <v>92</v>
      </c>
      <c r="C18" s="8">
        <v>1.4</v>
      </c>
      <c r="D18" s="7" t="s">
        <v>15</v>
      </c>
      <c r="E18" s="16" t="s">
        <v>88</v>
      </c>
    </row>
    <row r="19" spans="1:5" ht="18" customHeight="1" x14ac:dyDescent="0.35">
      <c r="A19" s="6" t="s">
        <v>84</v>
      </c>
      <c r="B19" s="7" t="s">
        <v>85</v>
      </c>
      <c r="C19" s="10">
        <f>C18*C16</f>
        <v>254.45648699141887</v>
      </c>
      <c r="D19" s="7" t="s">
        <v>81</v>
      </c>
    </row>
    <row r="20" spans="1:5" ht="18" customHeight="1" x14ac:dyDescent="0.35">
      <c r="A20" s="6" t="s">
        <v>86</v>
      </c>
      <c r="B20" s="7" t="s">
        <v>87</v>
      </c>
      <c r="C20" s="7">
        <f>ROUND(((0.18+0.006*(Parameters!C2)^0.4)*1.6),1)</f>
        <v>0.6</v>
      </c>
      <c r="D20" s="7" t="s">
        <v>81</v>
      </c>
      <c r="E20" s="17"/>
    </row>
    <row r="21" spans="1:5" ht="18" customHeight="1" x14ac:dyDescent="0.35">
      <c r="A21" s="6" t="s">
        <v>93</v>
      </c>
      <c r="B21" s="7" t="s">
        <v>95</v>
      </c>
      <c r="C21" s="8">
        <f>Parameters!H8*'Calculations-old'!C16/'Calculations-old'!C3</f>
        <v>23.791625871341139</v>
      </c>
      <c r="D21" s="7" t="s">
        <v>81</v>
      </c>
    </row>
    <row r="22" spans="1:5" ht="18" customHeight="1" x14ac:dyDescent="0.35">
      <c r="A22" s="6" t="s">
        <v>94</v>
      </c>
      <c r="B22" s="7" t="s">
        <v>96</v>
      </c>
      <c r="C22" s="15">
        <f>0.001*2*C16*C17*Parameters!C12/'Calculations-old'!C4</f>
        <v>0.891938164206317</v>
      </c>
      <c r="D22" s="7" t="s">
        <v>97</v>
      </c>
    </row>
    <row r="23" spans="1:5" ht="18" customHeight="1" x14ac:dyDescent="0.35">
      <c r="A23" s="6" t="s">
        <v>98</v>
      </c>
      <c r="B23" s="7" t="s">
        <v>101</v>
      </c>
      <c r="C23" s="7">
        <v>100</v>
      </c>
      <c r="D23" s="7" t="s">
        <v>15</v>
      </c>
    </row>
    <row r="24" spans="1:5" ht="18" customHeight="1" x14ac:dyDescent="0.35">
      <c r="A24" s="6" t="s">
        <v>104</v>
      </c>
      <c r="B24" s="7" t="s">
        <v>105</v>
      </c>
      <c r="C24" s="7">
        <f>C23*Parameters!C9*Parameters!C15/2</f>
        <v>200</v>
      </c>
      <c r="D24" s="7" t="s">
        <v>15</v>
      </c>
    </row>
    <row r="25" spans="1:5" ht="18" customHeight="1" x14ac:dyDescent="0.35">
      <c r="A25" s="6" t="s">
        <v>102</v>
      </c>
      <c r="B25" s="7" t="s">
        <v>103</v>
      </c>
      <c r="C25" s="8">
        <f>4.44*C24*C12*C22*C6/1000</f>
        <v>73.897433679759047</v>
      </c>
      <c r="D25" s="7" t="s">
        <v>33</v>
      </c>
    </row>
    <row r="26" spans="1:5" ht="18" customHeight="1" x14ac:dyDescent="0.25">
      <c r="A26" s="6"/>
      <c r="B26" s="7"/>
      <c r="C26" s="7"/>
      <c r="D26" s="7"/>
    </row>
    <row r="27" spans="1:5" ht="18" customHeight="1" x14ac:dyDescent="0.25">
      <c r="A27" s="6"/>
      <c r="B27" s="7"/>
      <c r="C27" s="7"/>
      <c r="D27" s="7"/>
    </row>
    <row r="28" spans="1:5" ht="18" customHeight="1" x14ac:dyDescent="0.25">
      <c r="A28" s="6"/>
      <c r="B28" s="7"/>
      <c r="C28" s="7"/>
      <c r="D28" s="7"/>
    </row>
    <row r="36" spans="4:4" x14ac:dyDescent="0.25">
      <c r="D36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8"/>
  <sheetViews>
    <sheetView zoomScale="145" zoomScaleNormal="145" workbookViewId="0">
      <selection activeCell="B7" sqref="B7"/>
    </sheetView>
  </sheetViews>
  <sheetFormatPr defaultRowHeight="15" x14ac:dyDescent="0.25"/>
  <cols>
    <col min="1" max="1" width="26.140625" bestFit="1" customWidth="1"/>
  </cols>
  <sheetData>
    <row r="1" spans="1:12" x14ac:dyDescent="0.25">
      <c r="A1" s="12" t="s">
        <v>91</v>
      </c>
      <c r="B1" s="12">
        <v>2</v>
      </c>
      <c r="C1" s="12">
        <v>4</v>
      </c>
      <c r="D1" s="12">
        <v>6</v>
      </c>
      <c r="E1" s="12">
        <v>8</v>
      </c>
      <c r="F1" s="12">
        <v>10</v>
      </c>
      <c r="G1" s="12">
        <v>12</v>
      </c>
      <c r="H1" s="12">
        <v>14</v>
      </c>
      <c r="I1" s="12">
        <v>16</v>
      </c>
      <c r="J1" s="12">
        <v>18</v>
      </c>
      <c r="K1" s="12">
        <v>20</v>
      </c>
    </row>
    <row r="2" spans="1:12" x14ac:dyDescent="0.25">
      <c r="A2" s="13" t="s">
        <v>92</v>
      </c>
      <c r="B2" s="14">
        <v>2</v>
      </c>
      <c r="C2" s="14">
        <v>1.88</v>
      </c>
      <c r="D2" s="14">
        <v>1.78</v>
      </c>
      <c r="E2" s="14">
        <v>1.66</v>
      </c>
      <c r="F2" s="14">
        <v>1.54</v>
      </c>
      <c r="G2" s="14">
        <v>1.43</v>
      </c>
      <c r="H2" s="14"/>
      <c r="I2" s="14"/>
      <c r="J2" s="14"/>
      <c r="K2" s="14"/>
    </row>
    <row r="3" spans="1:12" x14ac:dyDescent="0.25">
      <c r="A3" s="13" t="s">
        <v>92</v>
      </c>
      <c r="B3" s="14">
        <f>2-((B1)/2-1)*0.1</f>
        <v>2</v>
      </c>
      <c r="C3" s="14">
        <f>2-((C1)/2-1)*0.115</f>
        <v>1.885</v>
      </c>
      <c r="D3" s="14">
        <f>2-((D1)/2-1)*0.115</f>
        <v>1.77</v>
      </c>
      <c r="E3" s="14">
        <f>2-((E1)/2-1)*0.115</f>
        <v>1.655</v>
      </c>
      <c r="F3" s="14">
        <f>2-((F1)/2-1)*0.115</f>
        <v>1.54</v>
      </c>
      <c r="G3" s="14">
        <f>2-((G1)/2-1)*0.115</f>
        <v>1.4249999999999998</v>
      </c>
      <c r="H3" s="14">
        <f>2-((H1)/2-1)*0.11</f>
        <v>1.3399999999999999</v>
      </c>
      <c r="I3" s="14">
        <f>2-((I1)/2-1)*0.11</f>
        <v>1.23</v>
      </c>
      <c r="J3" s="14">
        <f>2-((J1)/2-1)*0.11</f>
        <v>1.1200000000000001</v>
      </c>
      <c r="K3" s="14">
        <f>2-((K1)/2-1)*0.11</f>
        <v>1.01</v>
      </c>
      <c r="L3" t="s">
        <v>106</v>
      </c>
    </row>
    <row r="4" spans="1:12" x14ac:dyDescent="0.25">
      <c r="A4" s="1"/>
      <c r="B4" s="2"/>
      <c r="C4" s="3"/>
    </row>
    <row r="5" spans="1:12" x14ac:dyDescent="0.25">
      <c r="A5" s="1"/>
      <c r="B5" s="2"/>
      <c r="C5" s="2"/>
    </row>
    <row r="6" spans="1:12" x14ac:dyDescent="0.25">
      <c r="A6" s="1"/>
      <c r="B6" s="2"/>
      <c r="C6" s="2"/>
    </row>
    <row r="7" spans="1:12" x14ac:dyDescent="0.25">
      <c r="A7" s="1"/>
      <c r="B7" s="2"/>
      <c r="C7" s="2"/>
    </row>
    <row r="8" spans="1:12" x14ac:dyDescent="0.25">
      <c r="A8" s="1"/>
      <c r="B8" s="2"/>
      <c r="C8" s="2"/>
    </row>
    <row r="9" spans="1:12" x14ac:dyDescent="0.25">
      <c r="A9" s="1"/>
      <c r="B9" s="2"/>
      <c r="C9" s="2"/>
    </row>
    <row r="10" spans="1:12" x14ac:dyDescent="0.25">
      <c r="A10" s="1"/>
      <c r="B10" s="2"/>
      <c r="C10" s="2"/>
    </row>
    <row r="11" spans="1:12" x14ac:dyDescent="0.25">
      <c r="A11" s="1"/>
      <c r="B11" s="2"/>
      <c r="C11" s="2"/>
    </row>
    <row r="12" spans="1:12" x14ac:dyDescent="0.25">
      <c r="A12" s="1"/>
      <c r="B12" s="2"/>
      <c r="C12" s="2"/>
    </row>
    <row r="13" spans="1:12" x14ac:dyDescent="0.25">
      <c r="A13" s="1"/>
      <c r="B13" s="2"/>
      <c r="C13" s="2"/>
    </row>
    <row r="14" spans="1:12" x14ac:dyDescent="0.25">
      <c r="A14" s="1"/>
      <c r="B14" s="2"/>
      <c r="C14" s="2"/>
    </row>
    <row r="15" spans="1:12" x14ac:dyDescent="0.25">
      <c r="A15" s="1"/>
      <c r="B15" s="2"/>
      <c r="C15" s="2"/>
    </row>
    <row r="16" spans="1:12" x14ac:dyDescent="0.25">
      <c r="A16" s="1"/>
      <c r="B16" s="2"/>
      <c r="C16" s="2"/>
    </row>
    <row r="17" spans="1:3" x14ac:dyDescent="0.25">
      <c r="A17" s="1"/>
      <c r="B17" s="2"/>
      <c r="C17" s="2"/>
    </row>
    <row r="18" spans="1:3" x14ac:dyDescent="0.25">
      <c r="A18" s="1"/>
      <c r="B18" s="1"/>
      <c r="C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General Calculations</vt:lpstr>
      <vt:lpstr>Calculations-old</vt:lpstr>
      <vt:lpstr>Burdadursun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2017-10-11T08:37:46Z</dcterms:created>
  <dcterms:modified xsi:type="dcterms:W3CDTF">2017-10-13T11:57:33Z</dcterms:modified>
</cp:coreProperties>
</file>