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D:\ICEP\中山ICEPセミナー201812\"/>
    </mc:Choice>
  </mc:AlternateContent>
  <xr:revisionPtr revIDLastSave="0" documentId="13_ncr:1_{B82B94D4-910A-4694-9E3A-36187D94ADC6}" xr6:coauthVersionLast="40" xr6:coauthVersionMax="40" xr10:uidLastSave="{00000000-0000-0000-0000-000000000000}"/>
  <bookViews>
    <workbookView xWindow="0" yWindow="0" windowWidth="17850" windowHeight="8480" xr2:uid="{00000000-000D-0000-FFFF-FFFF00000000}"/>
  </bookViews>
  <sheets>
    <sheet name="V.8.01" sheetId="1" r:id="rId1"/>
  </sheets>
  <definedNames>
    <definedName name="AR_fastshale">#REF!</definedName>
    <definedName name="AR_sand">#REF!</definedName>
    <definedName name="AR_slowshale">#REF!</definedName>
    <definedName name="_xlnm.Print_Area" localSheetId="0">'V.8.01'!$A$1:$K$31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4" i="1" l="1"/>
  <c r="N8" i="1" l="1"/>
  <c r="G21" i="1" l="1"/>
  <c r="C16" i="1"/>
  <c r="C18" i="1" s="1"/>
  <c r="C15" i="1"/>
  <c r="N11" i="1"/>
  <c r="N10" i="1"/>
  <c r="N9" i="1"/>
  <c r="I7" i="1"/>
  <c r="I6" i="1"/>
  <c r="K6" i="1" s="1"/>
  <c r="G6" i="1" s="1"/>
  <c r="I5" i="1"/>
  <c r="G5" i="1"/>
  <c r="G10" i="1" l="1"/>
  <c r="K9" i="1"/>
  <c r="C20" i="1"/>
  <c r="J28" i="1" s="1"/>
  <c r="J29" i="1" s="1"/>
  <c r="J30" i="1" s="1"/>
  <c r="I9" i="1"/>
  <c r="G9" i="1"/>
  <c r="J21" i="1"/>
  <c r="G7" i="1" s="1"/>
  <c r="I10" i="1" s="1"/>
  <c r="K10" i="1" s="1"/>
  <c r="C25" i="1" l="1"/>
  <c r="I25" i="1" s="1"/>
  <c r="C24" i="1"/>
  <c r="G28" i="1"/>
  <c r="A28" i="1" l="1"/>
  <c r="D30" i="1" s="1"/>
  <c r="J25" i="1"/>
  <c r="J31" i="1"/>
  <c r="G29" i="1"/>
  <c r="G30" i="1" s="1"/>
  <c r="J24" i="1"/>
  <c r="I24" i="1"/>
  <c r="A30" i="1" l="1"/>
  <c r="B30" i="1"/>
  <c r="C30" i="1"/>
  <c r="A29" i="1"/>
</calcChain>
</file>

<file path=xl/sharedStrings.xml><?xml version="1.0" encoding="utf-8"?>
<sst xmlns="http://schemas.openxmlformats.org/spreadsheetml/2006/main" count="128" uniqueCount="121">
  <si>
    <t>SEACAP_Seal Capacity Estimation by EGS</t>
    <phoneticPr fontId="2"/>
  </si>
  <si>
    <t xml:space="preserve">Ver.8.01 </t>
    <phoneticPr fontId="2"/>
  </si>
  <si>
    <t xml:space="preserve">Field/Trap Name: </t>
    <phoneticPr fontId="2"/>
  </si>
  <si>
    <t>G-Field</t>
    <phoneticPr fontId="6"/>
  </si>
  <si>
    <t xml:space="preserve">Horizon Name: </t>
    <phoneticPr fontId="2"/>
  </si>
  <si>
    <t>J-Formation</t>
    <phoneticPr fontId="2"/>
  </si>
  <si>
    <t>Fluid Properties @ Surface</t>
    <phoneticPr fontId="2"/>
  </si>
  <si>
    <t>Fluid Properties @ Subsurface</t>
    <phoneticPr fontId="2"/>
  </si>
  <si>
    <t>Density of Fm Water</t>
  </si>
  <si>
    <r>
      <t>ρ</t>
    </r>
    <r>
      <rPr>
        <sz val="12"/>
        <color indexed="8"/>
        <rFont val="Arial"/>
        <family val="2"/>
      </rPr>
      <t>w</t>
    </r>
    <r>
      <rPr>
        <vertAlign val="subscript"/>
        <sz val="12"/>
        <color indexed="8"/>
        <rFont val="Arial"/>
        <family val="2"/>
      </rPr>
      <t>0</t>
    </r>
    <phoneticPr fontId="2"/>
  </si>
  <si>
    <t xml:space="preserve"> (g/cc)</t>
  </si>
  <si>
    <r>
      <t>subsurface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ＭＳ Ｐゴシック"/>
        <family val="3"/>
        <charset val="128"/>
      </rPr>
      <t>ρ</t>
    </r>
    <r>
      <rPr>
        <sz val="12"/>
        <color indexed="8"/>
        <rFont val="Arial"/>
        <family val="2"/>
      </rPr>
      <t>w</t>
    </r>
    <phoneticPr fontId="2"/>
  </si>
  <si>
    <t>ΔP</t>
    <phoneticPr fontId="2"/>
  </si>
  <si>
    <t>Density of Oil</t>
  </si>
  <si>
    <r>
      <t>ρ</t>
    </r>
    <r>
      <rPr>
        <sz val="12"/>
        <color indexed="8"/>
        <rFont val="Arial"/>
        <family val="2"/>
      </rPr>
      <t>o</t>
    </r>
    <r>
      <rPr>
        <vertAlign val="subscript"/>
        <sz val="12"/>
        <color indexed="8"/>
        <rFont val="Arial"/>
        <family val="2"/>
      </rPr>
      <t>0</t>
    </r>
    <phoneticPr fontId="2"/>
  </si>
  <si>
    <r>
      <t>subsurface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ＭＳ Ｐゴシック"/>
        <family val="3"/>
        <charset val="128"/>
      </rPr>
      <t>ρ</t>
    </r>
    <r>
      <rPr>
        <sz val="12"/>
        <color indexed="8"/>
        <rFont val="Arial"/>
        <family val="2"/>
      </rPr>
      <t>o</t>
    </r>
    <phoneticPr fontId="2"/>
  </si>
  <si>
    <t>Rs</t>
  </si>
  <si>
    <t>Bo</t>
  </si>
  <si>
    <t>Gas Specific Gravity (Air = 1)</t>
    <phoneticPr fontId="2"/>
  </si>
  <si>
    <r>
      <t>ρ</t>
    </r>
    <r>
      <rPr>
        <sz val="12"/>
        <color indexed="8"/>
        <rFont val="Arial"/>
        <family val="2"/>
      </rPr>
      <t>g</t>
    </r>
    <r>
      <rPr>
        <vertAlign val="subscript"/>
        <sz val="12"/>
        <color indexed="8"/>
        <rFont val="Arial"/>
        <family val="2"/>
      </rPr>
      <t>0</t>
    </r>
    <phoneticPr fontId="2"/>
  </si>
  <si>
    <t xml:space="preserve"> (fraction)</t>
    <phoneticPr fontId="2"/>
  </si>
  <si>
    <r>
      <t>subsurface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ＭＳ Ｐゴシック"/>
        <family val="3"/>
        <charset val="128"/>
      </rPr>
      <t>ρ</t>
    </r>
    <r>
      <rPr>
        <sz val="12"/>
        <color indexed="8"/>
        <rFont val="Arial"/>
        <family val="2"/>
      </rPr>
      <t>g</t>
    </r>
    <phoneticPr fontId="2"/>
  </si>
  <si>
    <t>AMW</t>
  </si>
  <si>
    <t>Gas Deviation Factor (Z-factor)</t>
    <phoneticPr fontId="2"/>
  </si>
  <si>
    <t>zf</t>
    <phoneticPr fontId="2"/>
  </si>
  <si>
    <t>Oil Interfacial Tension</t>
  </si>
  <si>
    <r>
      <t>γ</t>
    </r>
    <r>
      <rPr>
        <sz val="12"/>
        <color indexed="8"/>
        <rFont val="Arial"/>
        <family val="2"/>
      </rPr>
      <t>o</t>
    </r>
    <r>
      <rPr>
        <vertAlign val="subscript"/>
        <sz val="12"/>
        <color indexed="8"/>
        <rFont val="Arial"/>
        <family val="2"/>
      </rPr>
      <t>0</t>
    </r>
    <phoneticPr fontId="2"/>
  </si>
  <si>
    <t xml:space="preserve"> (mN/m)</t>
  </si>
  <si>
    <r>
      <t>subsurface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ＭＳ Ｐゴシック"/>
        <family val="3"/>
        <charset val="128"/>
      </rPr>
      <t>γ</t>
    </r>
    <r>
      <rPr>
        <sz val="12"/>
        <color indexed="8"/>
        <rFont val="Arial"/>
        <family val="2"/>
      </rPr>
      <t>o</t>
    </r>
    <phoneticPr fontId="2"/>
  </si>
  <si>
    <r>
      <t>ρ</t>
    </r>
    <r>
      <rPr>
        <sz val="12"/>
        <color indexed="8"/>
        <rFont val="Arial"/>
        <family val="2"/>
      </rPr>
      <t>(w-o)</t>
    </r>
    <phoneticPr fontId="2"/>
  </si>
  <si>
    <t>Tr</t>
  </si>
  <si>
    <t>Gas Interfacial Tension</t>
  </si>
  <si>
    <r>
      <t>γ</t>
    </r>
    <r>
      <rPr>
        <sz val="12"/>
        <color indexed="8"/>
        <rFont val="Arial"/>
        <family val="2"/>
      </rPr>
      <t>g</t>
    </r>
    <r>
      <rPr>
        <vertAlign val="subscript"/>
        <sz val="12"/>
        <color indexed="8"/>
        <rFont val="Arial"/>
        <family val="2"/>
      </rPr>
      <t>0</t>
    </r>
    <phoneticPr fontId="2"/>
  </si>
  <si>
    <r>
      <t>subsurface</t>
    </r>
    <r>
      <rPr>
        <sz val="12"/>
        <color indexed="8"/>
        <rFont val="Arial"/>
        <family val="2"/>
      </rPr>
      <t xml:space="preserve"> </t>
    </r>
    <r>
      <rPr>
        <sz val="12"/>
        <color indexed="8"/>
        <rFont val="ＭＳ Ｐゴシック"/>
        <family val="3"/>
        <charset val="128"/>
      </rPr>
      <t>γ</t>
    </r>
    <r>
      <rPr>
        <sz val="12"/>
        <color indexed="8"/>
        <rFont val="Arial"/>
        <family val="2"/>
      </rPr>
      <t>g</t>
    </r>
    <phoneticPr fontId="2"/>
  </si>
  <si>
    <r>
      <t>ρ</t>
    </r>
    <r>
      <rPr>
        <sz val="12"/>
        <color indexed="8"/>
        <rFont val="Arial"/>
        <family val="2"/>
      </rPr>
      <t>(w-g)</t>
    </r>
    <phoneticPr fontId="2"/>
  </si>
  <si>
    <t>A</t>
    <phoneticPr fontId="6"/>
  </si>
  <si>
    <t>Wettability (Contact Angle)</t>
    <phoneticPr fontId="2"/>
  </si>
  <si>
    <t>θ</t>
    <phoneticPr fontId="2"/>
  </si>
  <si>
    <t xml:space="preserve"> (degree)</t>
  </si>
  <si>
    <t>Acceleration of Gravity</t>
    <phoneticPr fontId="2"/>
  </si>
  <si>
    <t>g</t>
    <phoneticPr fontId="2"/>
  </si>
  <si>
    <r>
      <t>(cm/sec</t>
    </r>
    <r>
      <rPr>
        <i/>
        <vertAlign val="superscript"/>
        <sz val="10"/>
        <color indexed="8"/>
        <rFont val="Arial"/>
        <family val="2"/>
      </rPr>
      <t>2</t>
    </r>
    <r>
      <rPr>
        <i/>
        <sz val="10"/>
        <color indexed="8"/>
        <rFont val="Arial"/>
        <family val="2"/>
      </rPr>
      <t>)</t>
    </r>
    <phoneticPr fontId="2"/>
  </si>
  <si>
    <t>(0.0 : Water Wet)</t>
    <phoneticPr fontId="2"/>
  </si>
  <si>
    <t>Seal Rock Properties</t>
    <phoneticPr fontId="2"/>
  </si>
  <si>
    <t>Top Seal / Trap Information</t>
    <phoneticPr fontId="2"/>
  </si>
  <si>
    <r>
      <t xml:space="preserve">Grain Size of Rock = </t>
    </r>
    <r>
      <rPr>
        <b/>
        <sz val="12"/>
        <color indexed="8"/>
        <rFont val="Arial"/>
        <family val="2"/>
      </rPr>
      <t>EGS</t>
    </r>
    <phoneticPr fontId="2"/>
  </si>
  <si>
    <t>Dp</t>
    <phoneticPr fontId="2"/>
  </si>
  <si>
    <t xml:space="preserve"> (phi)</t>
  </si>
  <si>
    <t>Surface Temperature</t>
    <phoneticPr fontId="2"/>
  </si>
  <si>
    <r>
      <t>T</t>
    </r>
    <r>
      <rPr>
        <vertAlign val="subscript"/>
        <sz val="12"/>
        <rFont val="Arial"/>
        <family val="2"/>
      </rPr>
      <t>0</t>
    </r>
    <phoneticPr fontId="2"/>
  </si>
  <si>
    <t xml:space="preserve"> (degC)</t>
    <phoneticPr fontId="2"/>
  </si>
  <si>
    <t>(Grain Diameter)</t>
    <phoneticPr fontId="2"/>
  </si>
  <si>
    <t>Dm</t>
    <phoneticPr fontId="2"/>
  </si>
  <si>
    <t xml:space="preserve"> (mm)</t>
  </si>
  <si>
    <t>Geothermal Gradient</t>
    <phoneticPr fontId="2"/>
  </si>
  <si>
    <t>GG</t>
    <phoneticPr fontId="2"/>
  </si>
  <si>
    <t xml:space="preserve"> (degC/100m)</t>
    <phoneticPr fontId="2"/>
  </si>
  <si>
    <t>Porosity</t>
  </si>
  <si>
    <t>Φ</t>
    <phoneticPr fontId="2"/>
  </si>
  <si>
    <t xml:space="preserve"> (%)</t>
  </si>
  <si>
    <t>Porosity @ Surface</t>
    <phoneticPr fontId="2"/>
  </si>
  <si>
    <r>
      <t>Φ</t>
    </r>
    <r>
      <rPr>
        <vertAlign val="subscript"/>
        <sz val="12"/>
        <rFont val="Arial"/>
        <family val="2"/>
      </rPr>
      <t>0</t>
    </r>
    <phoneticPr fontId="2"/>
  </si>
  <si>
    <t xml:space="preserve"> (Initial Porosity: %)</t>
    <phoneticPr fontId="2"/>
  </si>
  <si>
    <t>Gas Eff x 0.7</t>
    <phoneticPr fontId="2"/>
  </si>
  <si>
    <t>Compaction Factor</t>
    <phoneticPr fontId="2"/>
  </si>
  <si>
    <t>b</t>
    <phoneticPr fontId="2"/>
  </si>
  <si>
    <t xml:space="preserve"> (Athy's Exponential Factor: 1/m)</t>
    <phoneticPr fontId="2"/>
  </si>
  <si>
    <t>Ratio of Pore-throat (2R)</t>
    <phoneticPr fontId="2"/>
  </si>
  <si>
    <t>COEF</t>
    <phoneticPr fontId="2"/>
  </si>
  <si>
    <t xml:space="preserve"> (fraction)</t>
    <phoneticPr fontId="2"/>
  </si>
  <si>
    <t>Water Depth/Elevation</t>
    <phoneticPr fontId="2"/>
  </si>
  <si>
    <t>Zref</t>
    <phoneticPr fontId="2"/>
  </si>
  <si>
    <t xml:space="preserve"> (Water Depth: +m; Elevation: -m)</t>
    <phoneticPr fontId="2"/>
  </si>
  <si>
    <t xml:space="preserve"> to Grain Size (Dm)</t>
    <phoneticPr fontId="2"/>
  </si>
  <si>
    <t>(2R/Dm)</t>
    <phoneticPr fontId="2"/>
  </si>
  <si>
    <t>Depth @ Top Seal</t>
    <phoneticPr fontId="2"/>
  </si>
  <si>
    <t>Z</t>
    <phoneticPr fontId="2"/>
  </si>
  <si>
    <t xml:space="preserve"> (+m, BMSL)</t>
    <phoneticPr fontId="2"/>
  </si>
  <si>
    <t>Pore-throat Diameter (PTD)</t>
    <phoneticPr fontId="2"/>
  </si>
  <si>
    <t>2R</t>
    <phoneticPr fontId="2"/>
  </si>
  <si>
    <t>Max. Burial Depth</t>
    <phoneticPr fontId="2"/>
  </si>
  <si>
    <t>Zmax</t>
    <phoneticPr fontId="2"/>
  </si>
  <si>
    <t xml:space="preserve"> (+m)</t>
    <phoneticPr fontId="2"/>
  </si>
  <si>
    <t>SubsurfaceTemperature</t>
    <phoneticPr fontId="2"/>
  </si>
  <si>
    <t>T</t>
    <phoneticPr fontId="2"/>
  </si>
  <si>
    <t>Tf</t>
    <phoneticPr fontId="2"/>
  </si>
  <si>
    <t xml:space="preserve"> (degF)</t>
    <phoneticPr fontId="2"/>
  </si>
  <si>
    <t>Hydrocarbon Column Height &amp; Trap Type</t>
    <phoneticPr fontId="2"/>
  </si>
  <si>
    <t>Observed Data</t>
    <phoneticPr fontId="2"/>
  </si>
  <si>
    <t>C for Effective PTD</t>
    <phoneticPr fontId="2"/>
  </si>
  <si>
    <t>C</t>
    <phoneticPr fontId="2"/>
  </si>
  <si>
    <t xml:space="preserve"> (-)</t>
    <phoneticPr fontId="2"/>
  </si>
  <si>
    <t>Cinv</t>
  </si>
  <si>
    <t>Max. Gas Column Height</t>
    <phoneticPr fontId="2"/>
  </si>
  <si>
    <t>Hcg</t>
  </si>
  <si>
    <t xml:space="preserve"> (m)</t>
  </si>
  <si>
    <t>Observed Gas Column Height</t>
    <phoneticPr fontId="2"/>
  </si>
  <si>
    <t>Hg</t>
  </si>
  <si>
    <t>Max. Oil Column Height</t>
    <phoneticPr fontId="2"/>
  </si>
  <si>
    <t>Hco</t>
  </si>
  <si>
    <t>Observed Oil Column Height</t>
    <phoneticPr fontId="2"/>
  </si>
  <si>
    <t>Ho</t>
  </si>
  <si>
    <t>Closure / Trap Height</t>
    <phoneticPr fontId="2"/>
  </si>
  <si>
    <t>Ht</t>
    <phoneticPr fontId="2"/>
  </si>
  <si>
    <t xml:space="preserve"> (m)</t>
    <phoneticPr fontId="2"/>
  </si>
  <si>
    <t>Trap Type:</t>
  </si>
  <si>
    <t>Buoyancy of Oil&amp;Gas: Pb</t>
    <phoneticPr fontId="2"/>
  </si>
  <si>
    <t>Capillary Pressure: Pc</t>
    <phoneticPr fontId="2"/>
  </si>
  <si>
    <r>
      <t>(N/m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=Pa)</t>
    </r>
    <phoneticPr fontId="2"/>
  </si>
  <si>
    <r>
      <t>(N/m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=Pa)</t>
    </r>
    <phoneticPr fontId="2"/>
  </si>
  <si>
    <t>(psi)</t>
    <phoneticPr fontId="2"/>
  </si>
  <si>
    <t>(psi)</t>
    <phoneticPr fontId="2"/>
  </si>
  <si>
    <r>
      <t>(kgf/cm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, ksc)</t>
    </r>
    <phoneticPr fontId="2"/>
  </si>
  <si>
    <r>
      <t>(kgf/cm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, ksc)</t>
    </r>
    <phoneticPr fontId="2"/>
  </si>
  <si>
    <t>IF (Pb=Pc)</t>
    <phoneticPr fontId="2"/>
  </si>
  <si>
    <t>--&gt; 2R  =</t>
    <phoneticPr fontId="2"/>
  </si>
  <si>
    <t>(mm)</t>
    <phoneticPr fontId="2"/>
  </si>
  <si>
    <r>
      <rPr>
        <sz val="11"/>
        <color theme="0"/>
        <rFont val="Symbol"/>
        <family val="1"/>
        <charset val="2"/>
      </rPr>
      <t>g</t>
    </r>
    <r>
      <rPr>
        <sz val="11"/>
        <color theme="0"/>
        <rFont val="ＭＳ Ｐゴシック"/>
        <family val="3"/>
        <charset val="128"/>
      </rPr>
      <t>Oil54</t>
    </r>
    <phoneticPr fontId="2"/>
  </si>
  <si>
    <r>
      <rPr>
        <sz val="11"/>
        <color theme="0"/>
        <rFont val="Symbol"/>
        <family val="1"/>
        <charset val="2"/>
      </rPr>
      <t>g</t>
    </r>
    <r>
      <rPr>
        <sz val="11"/>
        <color theme="0"/>
        <rFont val="ＭＳ Ｐゴシック"/>
        <family val="3"/>
        <charset val="128"/>
      </rPr>
      <t>Oil80</t>
    </r>
    <phoneticPr fontId="2"/>
  </si>
  <si>
    <r>
      <rPr>
        <sz val="11"/>
        <color theme="0"/>
        <rFont val="Symbol"/>
        <family val="1"/>
        <charset val="2"/>
      </rPr>
      <t>g</t>
    </r>
    <r>
      <rPr>
        <sz val="11"/>
        <color theme="0"/>
        <rFont val="ＭＳ Ｐゴシック"/>
        <family val="3"/>
        <charset val="128"/>
      </rPr>
      <t>Gas21</t>
    </r>
    <phoneticPr fontId="2"/>
  </si>
  <si>
    <r>
      <rPr>
        <sz val="11"/>
        <color theme="0"/>
        <rFont val="Symbol"/>
        <family val="1"/>
        <charset val="2"/>
      </rPr>
      <t>g</t>
    </r>
    <r>
      <rPr>
        <sz val="11"/>
        <color theme="0"/>
        <rFont val="ＭＳ Ｐゴシック"/>
        <family val="3"/>
        <charset val="128"/>
      </rPr>
      <t>Gas65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</si>
</sst>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00"/>
    <numFmt numFmtId="177" formatCode="0.0\ &quot;KPa =&quot;"/>
    <numFmt numFmtId="178" formatCode="0.0\ &quot;psi&quot;"/>
    <numFmt numFmtId="179" formatCode="0.0000"/>
    <numFmt numFmtId="180" formatCode="0.0"/>
    <numFmt numFmtId="181" formatCode="0.00000"/>
    <numFmt numFmtId="182" formatCode="0.000000"/>
    <numFmt numFmtId="183" formatCode="0.0_ "/>
    <numFmt numFmtId="184" formatCode="0&quot;ft&quot;"/>
    <numFmt numFmtId="185" formatCode="#,##0.0_ "/>
    <numFmt numFmtId="186" formatCode="#,##0.0_);[Red]\(#,##0.0\)"/>
    <numFmt numFmtId="187" formatCode="0.000000_ "/>
  </numFmts>
  <fonts count="38">
    <font>
      <sz val="11"/>
      <name val="ＭＳ Ｐゴシック"/>
      <family val="3"/>
      <charset val="128"/>
    </font>
    <font>
      <b/>
      <i/>
      <sz val="18"/>
      <color indexed="12"/>
      <name val="Arial"/>
      <family val="2"/>
    </font>
    <font>
      <sz val="6"/>
      <name val="ＭＳ Ｐゴシック"/>
      <family val="3"/>
      <charset val="128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i/>
      <sz val="12"/>
      <color indexed="8"/>
      <name val="Arial"/>
      <family val="2"/>
    </font>
    <font>
      <sz val="6"/>
      <name val="Osaka"/>
      <family val="3"/>
      <charset val="128"/>
    </font>
    <font>
      <b/>
      <sz val="12"/>
      <name val="Arial"/>
      <family val="2"/>
    </font>
    <font>
      <b/>
      <i/>
      <sz val="12"/>
      <name val="Arial"/>
      <family val="2"/>
    </font>
    <font>
      <sz val="12"/>
      <color indexed="8"/>
      <name val="ＭＳ Ｐゴシック"/>
      <family val="3"/>
      <charset val="128"/>
    </font>
    <font>
      <vertAlign val="subscript"/>
      <sz val="12"/>
      <color indexed="8"/>
      <name val="Arial"/>
      <family val="2"/>
    </font>
    <font>
      <b/>
      <sz val="12"/>
      <color indexed="11"/>
      <name val="Helvetica"/>
      <family val="2"/>
    </font>
    <font>
      <sz val="10"/>
      <color indexed="8"/>
      <name val="Arial"/>
      <family val="2"/>
    </font>
    <font>
      <b/>
      <i/>
      <sz val="12"/>
      <color indexed="10"/>
      <name val="Arial"/>
      <family val="2"/>
    </font>
    <font>
      <i/>
      <sz val="12"/>
      <color indexed="10"/>
      <name val="Helvetica"/>
      <family val="2"/>
    </font>
    <font>
      <i/>
      <sz val="12"/>
      <color indexed="17"/>
      <name val="Arial"/>
      <family val="2"/>
    </font>
    <font>
      <i/>
      <sz val="12"/>
      <color indexed="10"/>
      <name val="Arial"/>
      <family val="2"/>
    </font>
    <font>
      <sz val="12"/>
      <color indexed="17"/>
      <name val="Arial"/>
      <family val="2"/>
    </font>
    <font>
      <i/>
      <sz val="10"/>
      <color indexed="8"/>
      <name val="Arial"/>
      <family val="2"/>
    </font>
    <font>
      <b/>
      <i/>
      <sz val="12"/>
      <color indexed="8"/>
      <name val="Arial"/>
      <family val="2"/>
    </font>
    <font>
      <b/>
      <i/>
      <sz val="12"/>
      <color rgb="FFFF0000"/>
      <name val="Arial Unicode MS"/>
      <family val="3"/>
      <charset val="128"/>
    </font>
    <font>
      <i/>
      <vertAlign val="superscript"/>
      <sz val="10"/>
      <color indexed="8"/>
      <name val="Arial"/>
      <family val="2"/>
    </font>
    <font>
      <b/>
      <sz val="12"/>
      <color indexed="11"/>
      <name val="Arial"/>
      <family val="2"/>
    </font>
    <font>
      <sz val="12"/>
      <name val="Arial"/>
      <family val="2"/>
    </font>
    <font>
      <vertAlign val="subscript"/>
      <sz val="12"/>
      <name val="Arial"/>
      <family val="2"/>
    </font>
    <font>
      <sz val="12"/>
      <color indexed="10"/>
      <name val="Arial"/>
      <family val="2"/>
    </font>
    <font>
      <sz val="12"/>
      <name val="ＭＳ Ｐゴシック"/>
      <family val="3"/>
      <charset val="128"/>
    </font>
    <font>
      <b/>
      <sz val="12"/>
      <color indexed="10"/>
      <name val="Arial"/>
      <family val="2"/>
    </font>
    <font>
      <b/>
      <sz val="12"/>
      <color indexed="14"/>
      <name val="Arial"/>
      <family val="2"/>
    </font>
    <font>
      <b/>
      <sz val="10"/>
      <color indexed="14"/>
      <name val="Arial"/>
      <family val="2"/>
    </font>
    <font>
      <b/>
      <sz val="10"/>
      <color indexed="8"/>
      <name val="Arial"/>
      <family val="2"/>
    </font>
    <font>
      <b/>
      <u/>
      <sz val="12"/>
      <color indexed="12"/>
      <name val="Arial"/>
      <family val="2"/>
    </font>
    <font>
      <b/>
      <sz val="12"/>
      <color indexed="15"/>
      <name val="Arial"/>
      <family val="2"/>
    </font>
    <font>
      <vertAlign val="superscript"/>
      <sz val="10"/>
      <color indexed="8"/>
      <name val="Arial"/>
      <family val="2"/>
    </font>
    <font>
      <b/>
      <sz val="12"/>
      <color indexed="20"/>
      <name val="Arial"/>
      <family val="2"/>
    </font>
    <font>
      <sz val="10"/>
      <name val="Arial"/>
      <family val="2"/>
    </font>
    <font>
      <sz val="11"/>
      <color theme="0"/>
      <name val="ＭＳ Ｐゴシック"/>
      <family val="3"/>
      <charset val="128"/>
    </font>
    <font>
      <sz val="11"/>
      <color theme="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03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54">
    <xf numFmtId="0" fontId="0" fillId="0" borderId="0" xfId="0">
      <alignment vertical="center"/>
    </xf>
    <xf numFmtId="2" fontId="1" fillId="2" borderId="1" xfId="0" applyNumberFormat="1" applyFont="1" applyFill="1" applyBorder="1" applyAlignment="1" applyProtection="1">
      <alignment vertical="center"/>
      <protection hidden="1"/>
    </xf>
    <xf numFmtId="2" fontId="1" fillId="2" borderId="2" xfId="0" applyNumberFormat="1" applyFont="1" applyFill="1" applyBorder="1" applyAlignment="1" applyProtection="1">
      <alignment vertical="center"/>
      <protection hidden="1"/>
    </xf>
    <xf numFmtId="0" fontId="3" fillId="2" borderId="2" xfId="0" applyFont="1" applyFill="1" applyBorder="1" applyAlignment="1" applyProtection="1">
      <alignment vertical="center"/>
      <protection hidden="1"/>
    </xf>
    <xf numFmtId="0" fontId="3" fillId="2" borderId="2" xfId="0" applyFont="1" applyFill="1" applyBorder="1" applyProtection="1">
      <alignment vertical="center"/>
      <protection hidden="1"/>
    </xf>
    <xf numFmtId="0" fontId="4" fillId="2" borderId="2" xfId="0" applyFont="1" applyFill="1" applyBorder="1" applyAlignment="1" applyProtection="1">
      <alignment horizontal="right" vertical="center"/>
      <protection hidden="1"/>
    </xf>
    <xf numFmtId="0" fontId="4" fillId="2" borderId="2" xfId="0" applyFont="1" applyFill="1" applyBorder="1" applyAlignment="1" applyProtection="1">
      <alignment vertical="center"/>
      <protection hidden="1"/>
    </xf>
    <xf numFmtId="0" fontId="5" fillId="2" borderId="3" xfId="0" applyFont="1" applyFill="1" applyBorder="1" applyAlignment="1" applyProtection="1">
      <alignment horizontal="right"/>
      <protection hidden="1"/>
    </xf>
    <xf numFmtId="2" fontId="1" fillId="0" borderId="4" xfId="0" applyNumberFormat="1" applyFont="1" applyBorder="1" applyAlignment="1" applyProtection="1">
      <alignment vertical="center"/>
      <protection hidden="1"/>
    </xf>
    <xf numFmtId="2" fontId="1" fillId="0" borderId="5" xfId="0" applyNumberFormat="1" applyFont="1" applyBorder="1" applyAlignment="1" applyProtection="1">
      <alignment vertical="center"/>
      <protection hidden="1"/>
    </xf>
    <xf numFmtId="0" fontId="3" fillId="0" borderId="5" xfId="0" applyFont="1" applyBorder="1" applyAlignment="1" applyProtection="1">
      <alignment vertical="center"/>
      <protection hidden="1"/>
    </xf>
    <xf numFmtId="0" fontId="3" fillId="0" borderId="5" xfId="0" applyFont="1" applyBorder="1" applyProtection="1">
      <alignment vertical="center"/>
      <protection hidden="1"/>
    </xf>
    <xf numFmtId="0" fontId="4" fillId="0" borderId="5" xfId="0" applyFont="1" applyBorder="1" applyAlignment="1" applyProtection="1">
      <alignment horizontal="right" vertical="center"/>
      <protection hidden="1"/>
    </xf>
    <xf numFmtId="0" fontId="3" fillId="0" borderId="5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hidden="1"/>
    </xf>
    <xf numFmtId="2" fontId="1" fillId="0" borderId="7" xfId="0" applyNumberFormat="1" applyFont="1" applyBorder="1" applyAlignment="1" applyProtection="1">
      <alignment vertical="center"/>
      <protection hidden="1"/>
    </xf>
    <xf numFmtId="2" fontId="1" fillId="0" borderId="8" xfId="0" applyNumberFormat="1" applyFont="1" applyBorder="1" applyAlignment="1" applyProtection="1">
      <alignment vertical="center"/>
      <protection hidden="1"/>
    </xf>
    <xf numFmtId="0" fontId="3" fillId="0" borderId="8" xfId="0" applyFont="1" applyBorder="1" applyAlignment="1" applyProtection="1">
      <alignment vertical="center"/>
      <protection hidden="1"/>
    </xf>
    <xf numFmtId="0" fontId="4" fillId="0" borderId="8" xfId="0" applyFont="1" applyBorder="1" applyAlignment="1" applyProtection="1">
      <alignment horizontal="right" vertical="center"/>
      <protection hidden="1"/>
    </xf>
    <xf numFmtId="0" fontId="3" fillId="0" borderId="8" xfId="0" applyFont="1" applyBorder="1" applyAlignment="1" applyProtection="1">
      <alignment vertical="center"/>
      <protection locked="0"/>
    </xf>
    <xf numFmtId="0" fontId="3" fillId="0" borderId="9" xfId="0" applyFont="1" applyBorder="1" applyAlignment="1" applyProtection="1">
      <alignment vertical="center"/>
      <protection hidden="1"/>
    </xf>
    <xf numFmtId="2" fontId="7" fillId="3" borderId="10" xfId="0" applyNumberFormat="1" applyFont="1" applyFill="1" applyBorder="1" applyAlignment="1" applyProtection="1">
      <alignment horizontal="centerContinuous" vertical="center"/>
      <protection hidden="1"/>
    </xf>
    <xf numFmtId="2" fontId="1" fillId="3" borderId="11" xfId="0" applyNumberFormat="1" applyFont="1" applyFill="1" applyBorder="1" applyAlignment="1" applyProtection="1">
      <alignment horizontal="centerContinuous" vertical="center"/>
      <protection hidden="1"/>
    </xf>
    <xf numFmtId="2" fontId="1" fillId="3" borderId="12" xfId="0" applyNumberFormat="1" applyFont="1" applyFill="1" applyBorder="1" applyAlignment="1" applyProtection="1">
      <alignment horizontal="centerContinuous" vertical="center"/>
      <protection hidden="1"/>
    </xf>
    <xf numFmtId="2" fontId="8" fillId="3" borderId="11" xfId="0" applyNumberFormat="1" applyFont="1" applyFill="1" applyBorder="1" applyAlignment="1" applyProtection="1">
      <alignment horizontal="centerContinuous" vertical="center"/>
      <protection hidden="1"/>
    </xf>
    <xf numFmtId="0" fontId="8" fillId="3" borderId="11" xfId="0" applyFont="1" applyFill="1" applyBorder="1" applyAlignment="1" applyProtection="1">
      <alignment horizontal="centerContinuous" vertical="center"/>
      <protection hidden="1"/>
    </xf>
    <xf numFmtId="0" fontId="8" fillId="3" borderId="13" xfId="0" applyFont="1" applyFill="1" applyBorder="1" applyAlignment="1" applyProtection="1">
      <alignment horizontal="centerContinuous" vertical="center"/>
      <protection hidden="1"/>
    </xf>
    <xf numFmtId="2" fontId="3" fillId="0" borderId="14" xfId="0" applyNumberFormat="1" applyFont="1" applyBorder="1" applyAlignment="1" applyProtection="1">
      <alignment horizontal="left" vertical="center"/>
      <protection hidden="1"/>
    </xf>
    <xf numFmtId="2" fontId="9" fillId="0" borderId="15" xfId="0" applyNumberFormat="1" applyFont="1" applyBorder="1" applyAlignment="1" applyProtection="1">
      <alignment horizontal="center" vertical="center"/>
      <protection hidden="1"/>
    </xf>
    <xf numFmtId="176" fontId="11" fillId="0" borderId="15" xfId="0" applyNumberFormat="1" applyFont="1" applyFill="1" applyBorder="1" applyAlignment="1" applyProtection="1">
      <alignment vertical="center"/>
      <protection locked="0"/>
    </xf>
    <xf numFmtId="2" fontId="12" fillId="0" borderId="16" xfId="0" applyNumberFormat="1" applyFont="1" applyBorder="1" applyAlignment="1" applyProtection="1">
      <alignment vertical="center"/>
      <protection hidden="1"/>
    </xf>
    <xf numFmtId="0" fontId="5" fillId="0" borderId="17" xfId="0" applyFont="1" applyBorder="1" applyProtection="1">
      <alignment vertical="center"/>
      <protection hidden="1"/>
    </xf>
    <xf numFmtId="2" fontId="5" fillId="0" borderId="18" xfId="0" applyNumberFormat="1" applyFont="1" applyBorder="1" applyAlignment="1" applyProtection="1">
      <alignment horizontal="right" vertical="center"/>
      <protection hidden="1"/>
    </xf>
    <xf numFmtId="176" fontId="13" fillId="0" borderId="19" xfId="0" applyNumberFormat="1" applyFont="1" applyBorder="1" applyAlignment="1" applyProtection="1">
      <alignment vertical="center"/>
      <protection hidden="1"/>
    </xf>
    <xf numFmtId="2" fontId="5" fillId="0" borderId="20" xfId="0" applyNumberFormat="1" applyFont="1" applyBorder="1" applyAlignment="1" applyProtection="1">
      <alignment horizontal="right" vertical="center"/>
      <protection hidden="1"/>
    </xf>
    <xf numFmtId="177" fontId="14" fillId="0" borderId="21" xfId="0" applyNumberFormat="1" applyFont="1" applyBorder="1" applyAlignment="1" applyProtection="1">
      <alignment vertical="center" shrinkToFit="1"/>
      <protection hidden="1"/>
    </xf>
    <xf numFmtId="178" fontId="15" fillId="0" borderId="22" xfId="0" applyNumberFormat="1" applyFont="1" applyBorder="1" applyAlignment="1" applyProtection="1">
      <alignment horizontal="left" vertical="center"/>
      <protection hidden="1"/>
    </xf>
    <xf numFmtId="0" fontId="5" fillId="0" borderId="23" xfId="0" applyFont="1" applyBorder="1" applyAlignment="1" applyProtection="1">
      <alignment vertical="center"/>
      <protection hidden="1"/>
    </xf>
    <xf numFmtId="2" fontId="3" fillId="0" borderId="24" xfId="0" applyNumberFormat="1" applyFont="1" applyBorder="1" applyAlignment="1" applyProtection="1">
      <alignment horizontal="left" vertical="center"/>
      <protection hidden="1"/>
    </xf>
    <xf numFmtId="2" fontId="9" fillId="0" borderId="25" xfId="0" applyNumberFormat="1" applyFont="1" applyBorder="1" applyAlignment="1" applyProtection="1">
      <alignment horizontal="center" vertical="center"/>
      <protection hidden="1"/>
    </xf>
    <xf numFmtId="176" fontId="11" fillId="0" borderId="25" xfId="0" applyNumberFormat="1" applyFont="1" applyFill="1" applyBorder="1" applyAlignment="1" applyProtection="1">
      <alignment vertical="center"/>
      <protection locked="0"/>
    </xf>
    <xf numFmtId="2" fontId="12" fillId="0" borderId="26" xfId="0" applyNumberFormat="1" applyFont="1" applyBorder="1" applyAlignment="1" applyProtection="1">
      <alignment vertical="center"/>
      <protection hidden="1"/>
    </xf>
    <xf numFmtId="2" fontId="5" fillId="0" borderId="27" xfId="0" applyNumberFormat="1" applyFont="1" applyBorder="1" applyAlignment="1" applyProtection="1">
      <alignment vertical="center"/>
      <protection hidden="1"/>
    </xf>
    <xf numFmtId="2" fontId="5" fillId="0" borderId="28" xfId="0" applyNumberFormat="1" applyFont="1" applyBorder="1" applyAlignment="1" applyProtection="1">
      <alignment horizontal="right" vertical="center"/>
      <protection hidden="1"/>
    </xf>
    <xf numFmtId="176" fontId="13" fillId="0" borderId="29" xfId="0" applyNumberFormat="1" applyFont="1" applyBorder="1" applyAlignment="1" applyProtection="1">
      <alignment vertical="center"/>
      <protection hidden="1"/>
    </xf>
    <xf numFmtId="0" fontId="16" fillId="0" borderId="21" xfId="0" applyFont="1" applyBorder="1" applyAlignment="1" applyProtection="1">
      <alignment vertical="center"/>
      <protection hidden="1"/>
    </xf>
    <xf numFmtId="0" fontId="5" fillId="0" borderId="20" xfId="0" applyFont="1" applyBorder="1" applyAlignment="1" applyProtection="1">
      <alignment horizontal="right" vertical="center"/>
      <protection hidden="1"/>
    </xf>
    <xf numFmtId="179" fontId="16" fillId="0" borderId="30" xfId="0" applyNumberFormat="1" applyFont="1" applyBorder="1" applyAlignment="1" applyProtection="1">
      <alignment vertical="center"/>
      <protection hidden="1"/>
    </xf>
    <xf numFmtId="2" fontId="3" fillId="0" borderId="31" xfId="0" applyNumberFormat="1" applyFont="1" applyBorder="1" applyAlignment="1" applyProtection="1">
      <alignment horizontal="left" vertical="center"/>
      <protection hidden="1"/>
    </xf>
    <xf numFmtId="2" fontId="9" fillId="0" borderId="32" xfId="0" applyNumberFormat="1" applyFont="1" applyBorder="1" applyAlignment="1" applyProtection="1">
      <alignment horizontal="center" vertical="center"/>
      <protection hidden="1"/>
    </xf>
    <xf numFmtId="176" fontId="11" fillId="0" borderId="32" xfId="0" applyNumberFormat="1" applyFont="1" applyFill="1" applyBorder="1" applyAlignment="1" applyProtection="1">
      <alignment vertical="center"/>
      <protection locked="0"/>
    </xf>
    <xf numFmtId="2" fontId="12" fillId="0" borderId="33" xfId="0" applyNumberFormat="1" applyFont="1" applyBorder="1" applyAlignment="1" applyProtection="1">
      <alignment vertical="center"/>
      <protection hidden="1"/>
    </xf>
    <xf numFmtId="2" fontId="5" fillId="0" borderId="34" xfId="0" applyNumberFormat="1" applyFont="1" applyBorder="1" applyAlignment="1" applyProtection="1">
      <alignment vertical="center"/>
      <protection hidden="1"/>
    </xf>
    <xf numFmtId="2" fontId="5" fillId="0" borderId="35" xfId="0" applyNumberFormat="1" applyFont="1" applyBorder="1" applyAlignment="1" applyProtection="1">
      <alignment horizontal="right" vertical="center"/>
      <protection hidden="1"/>
    </xf>
    <xf numFmtId="176" fontId="13" fillId="0" borderId="36" xfId="0" applyNumberFormat="1" applyFont="1" applyBorder="1" applyAlignment="1" applyProtection="1">
      <alignment vertical="center"/>
      <protection hidden="1"/>
    </xf>
    <xf numFmtId="2" fontId="16" fillId="0" borderId="37" xfId="0" applyNumberFormat="1" applyFont="1" applyBorder="1" applyAlignment="1" applyProtection="1">
      <alignment vertical="center"/>
      <protection hidden="1"/>
    </xf>
    <xf numFmtId="0" fontId="5" fillId="0" borderId="38" xfId="0" applyFont="1" applyBorder="1" applyAlignment="1" applyProtection="1">
      <alignment vertical="center"/>
      <protection hidden="1"/>
    </xf>
    <xf numFmtId="2" fontId="3" fillId="0" borderId="39" xfId="0" applyNumberFormat="1" applyFont="1" applyBorder="1" applyAlignment="1" applyProtection="1">
      <alignment horizontal="left" vertical="center" shrinkToFit="1"/>
      <protection hidden="1"/>
    </xf>
    <xf numFmtId="2" fontId="3" fillId="0" borderId="40" xfId="0" applyNumberFormat="1" applyFont="1" applyBorder="1" applyAlignment="1" applyProtection="1">
      <alignment horizontal="center" vertical="center"/>
      <protection hidden="1"/>
    </xf>
    <xf numFmtId="2" fontId="17" fillId="0" borderId="40" xfId="0" applyNumberFormat="1" applyFont="1" applyBorder="1" applyAlignment="1" applyProtection="1">
      <alignment vertical="center"/>
      <protection locked="0"/>
    </xf>
    <xf numFmtId="2" fontId="12" fillId="0" borderId="37" xfId="0" applyNumberFormat="1" applyFont="1" applyBorder="1" applyAlignment="1" applyProtection="1">
      <alignment vertical="center"/>
      <protection hidden="1"/>
    </xf>
    <xf numFmtId="1" fontId="5" fillId="0" borderId="22" xfId="0" applyNumberFormat="1" applyFont="1" applyBorder="1" applyAlignment="1" applyProtection="1">
      <alignment vertical="center"/>
      <protection hidden="1"/>
    </xf>
    <xf numFmtId="2" fontId="18" fillId="0" borderId="22" xfId="0" applyNumberFormat="1" applyFont="1" applyBorder="1" applyAlignment="1" applyProtection="1">
      <alignment vertical="center"/>
      <protection hidden="1"/>
    </xf>
    <xf numFmtId="0" fontId="5" fillId="0" borderId="22" xfId="0" applyFont="1" applyBorder="1" applyAlignment="1" applyProtection="1">
      <alignment horizontal="right" vertical="center"/>
      <protection hidden="1"/>
    </xf>
    <xf numFmtId="2" fontId="5" fillId="0" borderId="23" xfId="0" applyNumberFormat="1" applyFont="1" applyBorder="1" applyAlignment="1" applyProtection="1">
      <alignment vertical="center"/>
      <protection hidden="1"/>
    </xf>
    <xf numFmtId="2" fontId="3" fillId="0" borderId="42" xfId="0" applyNumberFormat="1" applyFont="1" applyBorder="1" applyAlignment="1" applyProtection="1">
      <alignment horizontal="left" vertical="center"/>
      <protection hidden="1"/>
    </xf>
    <xf numFmtId="2" fontId="9" fillId="0" borderId="43" xfId="0" applyNumberFormat="1" applyFont="1" applyBorder="1" applyAlignment="1" applyProtection="1">
      <alignment horizontal="center" vertical="center"/>
      <protection hidden="1"/>
    </xf>
    <xf numFmtId="2" fontId="17" fillId="0" borderId="43" xfId="0" applyNumberFormat="1" applyFont="1" applyBorder="1" applyAlignment="1" applyProtection="1">
      <alignment vertical="center"/>
      <protection locked="0"/>
    </xf>
    <xf numFmtId="2" fontId="12" fillId="0" borderId="44" xfId="0" applyNumberFormat="1" applyFont="1" applyBorder="1" applyAlignment="1" applyProtection="1">
      <alignment vertical="center"/>
      <protection hidden="1"/>
    </xf>
    <xf numFmtId="2" fontId="19" fillId="0" borderId="17" xfId="0" applyNumberFormat="1" applyFont="1" applyBorder="1" applyAlignment="1" applyProtection="1">
      <alignment horizontal="center" vertical="center"/>
      <protection hidden="1"/>
    </xf>
    <xf numFmtId="2" fontId="9" fillId="0" borderId="45" xfId="0" applyNumberFormat="1" applyFont="1" applyBorder="1" applyAlignment="1" applyProtection="1">
      <alignment horizontal="right" vertical="center"/>
      <protection hidden="1"/>
    </xf>
    <xf numFmtId="2" fontId="16" fillId="0" borderId="16" xfId="0" applyNumberFormat="1" applyFont="1" applyBorder="1" applyAlignment="1" applyProtection="1">
      <alignment vertical="center"/>
      <protection hidden="1"/>
    </xf>
    <xf numFmtId="2" fontId="16" fillId="0" borderId="30" xfId="0" applyNumberFormat="1" applyFont="1" applyBorder="1" applyAlignment="1" applyProtection="1">
      <alignment vertical="center"/>
      <protection hidden="1"/>
    </xf>
    <xf numFmtId="2" fontId="17" fillId="0" borderId="32" xfId="0" applyNumberFormat="1" applyFont="1" applyBorder="1" applyAlignment="1" applyProtection="1">
      <alignment vertical="center"/>
      <protection locked="0"/>
    </xf>
    <xf numFmtId="2" fontId="13" fillId="0" borderId="34" xfId="0" applyNumberFormat="1" applyFont="1" applyBorder="1" applyAlignment="1" applyProtection="1">
      <alignment vertical="center"/>
      <protection hidden="1"/>
    </xf>
    <xf numFmtId="2" fontId="9" fillId="0" borderId="46" xfId="0" applyNumberFormat="1" applyFont="1" applyBorder="1" applyAlignment="1" applyProtection="1">
      <alignment horizontal="right" vertical="center"/>
      <protection hidden="1"/>
    </xf>
    <xf numFmtId="2" fontId="16" fillId="0" borderId="33" xfId="0" applyNumberFormat="1" applyFont="1" applyBorder="1" applyAlignment="1" applyProtection="1">
      <alignment vertical="center"/>
      <protection hidden="1"/>
    </xf>
    <xf numFmtId="0" fontId="16" fillId="0" borderId="30" xfId="0" applyFont="1" applyBorder="1" applyAlignment="1" applyProtection="1">
      <alignment vertical="center"/>
      <protection hidden="1"/>
    </xf>
    <xf numFmtId="2" fontId="3" fillId="0" borderId="47" xfId="0" applyNumberFormat="1" applyFont="1" applyBorder="1" applyAlignment="1" applyProtection="1">
      <alignment horizontal="left" vertical="center"/>
      <protection hidden="1"/>
    </xf>
    <xf numFmtId="2" fontId="9" fillId="0" borderId="48" xfId="0" applyNumberFormat="1" applyFont="1" applyBorder="1" applyAlignment="1" applyProtection="1">
      <alignment horizontal="center" vertical="center"/>
      <protection hidden="1"/>
    </xf>
    <xf numFmtId="180" fontId="17" fillId="0" borderId="48" xfId="0" applyNumberFormat="1" applyFont="1" applyBorder="1" applyAlignment="1" applyProtection="1">
      <alignment vertical="center"/>
      <protection locked="0"/>
    </xf>
    <xf numFmtId="2" fontId="12" fillId="0" borderId="49" xfId="0" applyNumberFormat="1" applyFont="1" applyBorder="1" applyAlignment="1" applyProtection="1">
      <alignment vertical="center"/>
      <protection hidden="1"/>
    </xf>
    <xf numFmtId="2" fontId="5" fillId="0" borderId="38" xfId="0" applyNumberFormat="1" applyFont="1" applyBorder="1" applyAlignment="1" applyProtection="1">
      <alignment horizontal="right"/>
      <protection hidden="1"/>
    </xf>
    <xf numFmtId="2" fontId="5" fillId="0" borderId="40" xfId="0" applyNumberFormat="1" applyFont="1" applyBorder="1" applyAlignment="1" applyProtection="1">
      <alignment horizontal="center"/>
      <protection hidden="1"/>
    </xf>
    <xf numFmtId="1" fontId="5" fillId="0" borderId="21" xfId="0" applyNumberFormat="1" applyFont="1" applyBorder="1" applyAlignment="1" applyProtection="1">
      <protection hidden="1"/>
    </xf>
    <xf numFmtId="2" fontId="18" fillId="0" borderId="22" xfId="0" applyNumberFormat="1" applyFont="1" applyBorder="1" applyAlignment="1" applyProtection="1">
      <protection hidden="1"/>
    </xf>
    <xf numFmtId="2" fontId="3" fillId="0" borderId="50" xfId="0" applyNumberFormat="1" applyFont="1" applyBorder="1" applyAlignment="1" applyProtection="1">
      <alignment horizontal="left" vertical="top"/>
      <protection hidden="1"/>
    </xf>
    <xf numFmtId="2" fontId="3" fillId="0" borderId="51" xfId="0" applyNumberFormat="1" applyFont="1" applyBorder="1" applyAlignment="1" applyProtection="1">
      <alignment horizontal="center" vertical="center"/>
      <protection hidden="1"/>
    </xf>
    <xf numFmtId="2" fontId="3" fillId="0" borderId="51" xfId="0" applyNumberFormat="1" applyFont="1" applyBorder="1" applyAlignment="1" applyProtection="1">
      <alignment vertical="center"/>
      <protection hidden="1"/>
    </xf>
    <xf numFmtId="2" fontId="12" fillId="0" borderId="52" xfId="0" applyNumberFormat="1" applyFont="1" applyBorder="1" applyAlignment="1" applyProtection="1">
      <alignment horizontal="right" vertical="center"/>
      <protection hidden="1"/>
    </xf>
    <xf numFmtId="2" fontId="18" fillId="0" borderId="53" xfId="0" applyNumberFormat="1" applyFont="1" applyBorder="1" applyAlignment="1" applyProtection="1">
      <alignment horizontal="right" vertical="center"/>
      <protection hidden="1"/>
    </xf>
    <xf numFmtId="2" fontId="18" fillId="0" borderId="54" xfId="0" applyNumberFormat="1" applyFont="1" applyBorder="1" applyAlignment="1" applyProtection="1">
      <alignment horizontal="right" vertical="center"/>
      <protection hidden="1"/>
    </xf>
    <xf numFmtId="2" fontId="18" fillId="0" borderId="54" xfId="0" applyNumberFormat="1" applyFont="1" applyBorder="1" applyAlignment="1" applyProtection="1">
      <alignment horizontal="right" vertical="center" shrinkToFit="1"/>
      <protection hidden="1"/>
    </xf>
    <xf numFmtId="2" fontId="18" fillId="0" borderId="54" xfId="0" applyNumberFormat="1" applyFont="1" applyBorder="1" applyAlignment="1" applyProtection="1">
      <alignment vertical="center"/>
      <protection hidden="1"/>
    </xf>
    <xf numFmtId="0" fontId="5" fillId="0" borderId="54" xfId="0" applyFont="1" applyBorder="1" applyAlignment="1" applyProtection="1">
      <alignment vertical="center"/>
      <protection hidden="1"/>
    </xf>
    <xf numFmtId="0" fontId="5" fillId="0" borderId="54" xfId="0" applyFont="1" applyBorder="1" applyAlignment="1" applyProtection="1">
      <alignment horizontal="right" vertical="center"/>
      <protection hidden="1"/>
    </xf>
    <xf numFmtId="0" fontId="5" fillId="0" borderId="55" xfId="0" applyFont="1" applyBorder="1" applyAlignment="1" applyProtection="1">
      <alignment vertical="center"/>
      <protection hidden="1"/>
    </xf>
    <xf numFmtId="2" fontId="7" fillId="4" borderId="10" xfId="0" applyNumberFormat="1" applyFont="1" applyFill="1" applyBorder="1" applyAlignment="1" applyProtection="1">
      <alignment horizontal="centerContinuous" vertical="center"/>
      <protection hidden="1"/>
    </xf>
    <xf numFmtId="2" fontId="1" fillId="4" borderId="11" xfId="0" applyNumberFormat="1" applyFont="1" applyFill="1" applyBorder="1" applyAlignment="1" applyProtection="1">
      <alignment horizontal="centerContinuous" vertical="center"/>
      <protection hidden="1"/>
    </xf>
    <xf numFmtId="2" fontId="1" fillId="4" borderId="12" xfId="0" applyNumberFormat="1" applyFont="1" applyFill="1" applyBorder="1" applyAlignment="1" applyProtection="1">
      <alignment horizontal="centerContinuous" vertical="center"/>
      <protection hidden="1"/>
    </xf>
    <xf numFmtId="2" fontId="7" fillId="5" borderId="11" xfId="0" applyNumberFormat="1" applyFont="1" applyFill="1" applyBorder="1" applyAlignment="1" applyProtection="1">
      <alignment horizontal="centerContinuous" vertical="center"/>
      <protection hidden="1"/>
    </xf>
    <xf numFmtId="0" fontId="8" fillId="5" borderId="11" xfId="0" applyFont="1" applyFill="1" applyBorder="1" applyAlignment="1" applyProtection="1">
      <alignment horizontal="centerContinuous" vertical="center"/>
      <protection hidden="1"/>
    </xf>
    <xf numFmtId="0" fontId="8" fillId="5" borderId="13" xfId="0" applyFont="1" applyFill="1" applyBorder="1" applyAlignment="1" applyProtection="1">
      <alignment horizontal="centerContinuous" vertical="center"/>
      <protection hidden="1"/>
    </xf>
    <xf numFmtId="2" fontId="3" fillId="0" borderId="15" xfId="0" applyNumberFormat="1" applyFont="1" applyBorder="1" applyAlignment="1" applyProtection="1">
      <alignment horizontal="center" vertical="center"/>
      <protection hidden="1"/>
    </xf>
    <xf numFmtId="2" fontId="22" fillId="0" borderId="15" xfId="0" applyNumberFormat="1" applyFont="1" applyBorder="1" applyAlignment="1" applyProtection="1">
      <alignment vertical="center"/>
      <protection locked="0"/>
    </xf>
    <xf numFmtId="2" fontId="12" fillId="0" borderId="16" xfId="0" applyNumberFormat="1" applyFont="1" applyBorder="1" applyAlignment="1" applyProtection="1">
      <alignment horizontal="left" vertical="center"/>
      <protection hidden="1"/>
    </xf>
    <xf numFmtId="2" fontId="3" fillId="0" borderId="45" xfId="0" applyNumberFormat="1" applyFont="1" applyBorder="1" applyAlignment="1" applyProtection="1">
      <alignment horizontal="right" vertical="center"/>
      <protection hidden="1"/>
    </xf>
    <xf numFmtId="2" fontId="23" fillId="0" borderId="15" xfId="0" applyNumberFormat="1" applyFont="1" applyBorder="1" applyAlignment="1" applyProtection="1">
      <alignment horizontal="center" vertical="center"/>
      <protection hidden="1"/>
    </xf>
    <xf numFmtId="180" fontId="11" fillId="0" borderId="15" xfId="0" applyNumberFormat="1" applyFont="1" applyBorder="1" applyAlignment="1" applyProtection="1">
      <alignment vertical="center"/>
      <protection locked="0"/>
    </xf>
    <xf numFmtId="2" fontId="12" fillId="0" borderId="56" xfId="0" applyNumberFormat="1" applyFont="1" applyBorder="1" applyAlignment="1" applyProtection="1">
      <alignment vertical="center"/>
      <protection hidden="1"/>
    </xf>
    <xf numFmtId="0" fontId="3" fillId="0" borderId="57" xfId="0" applyFont="1" applyBorder="1" applyAlignment="1" applyProtection="1">
      <alignment vertical="center"/>
      <protection hidden="1"/>
    </xf>
    <xf numFmtId="0" fontId="3" fillId="0" borderId="58" xfId="0" applyFont="1" applyBorder="1" applyAlignment="1" applyProtection="1">
      <alignment vertical="center"/>
      <protection hidden="1"/>
    </xf>
    <xf numFmtId="0" fontId="3" fillId="0" borderId="59" xfId="0" applyFont="1" applyBorder="1" applyAlignment="1" applyProtection="1">
      <alignment horizontal="left" vertical="top"/>
      <protection hidden="1"/>
    </xf>
    <xf numFmtId="2" fontId="3" fillId="0" borderId="60" xfId="0" applyNumberFormat="1" applyFont="1" applyBorder="1" applyAlignment="1" applyProtection="1">
      <alignment horizontal="center" vertical="center"/>
      <protection hidden="1"/>
    </xf>
    <xf numFmtId="181" fontId="25" fillId="0" borderId="60" xfId="0" applyNumberFormat="1" applyFont="1" applyBorder="1" applyAlignment="1" applyProtection="1">
      <alignment vertical="center"/>
      <protection hidden="1"/>
    </xf>
    <xf numFmtId="2" fontId="12" fillId="0" borderId="61" xfId="0" applyNumberFormat="1" applyFont="1" applyBorder="1" applyAlignment="1" applyProtection="1">
      <alignment vertical="center"/>
      <protection hidden="1"/>
    </xf>
    <xf numFmtId="2" fontId="3" fillId="0" borderId="46" xfId="0" applyNumberFormat="1" applyFont="1" applyBorder="1" applyAlignment="1" applyProtection="1">
      <alignment horizontal="right" vertical="center"/>
      <protection hidden="1"/>
    </xf>
    <xf numFmtId="2" fontId="23" fillId="0" borderId="32" xfId="0" applyNumberFormat="1" applyFont="1" applyBorder="1" applyAlignment="1" applyProtection="1">
      <alignment horizontal="center" vertical="center"/>
      <protection hidden="1"/>
    </xf>
    <xf numFmtId="2" fontId="11" fillId="0" borderId="32" xfId="0" applyNumberFormat="1" applyFont="1" applyBorder="1" applyAlignment="1" applyProtection="1">
      <alignment vertical="center"/>
      <protection locked="0"/>
    </xf>
    <xf numFmtId="2" fontId="12" fillId="0" borderId="62" xfId="0" applyNumberFormat="1" applyFont="1" applyBorder="1" applyAlignment="1" applyProtection="1">
      <alignment vertical="center"/>
      <protection hidden="1"/>
    </xf>
    <xf numFmtId="0" fontId="3" fillId="0" borderId="63" xfId="0" applyFont="1" applyBorder="1" applyAlignment="1" applyProtection="1">
      <alignment vertical="center"/>
      <protection hidden="1"/>
    </xf>
    <xf numFmtId="0" fontId="3" fillId="0" borderId="64" xfId="0" applyFont="1" applyBorder="1" applyAlignment="1" applyProtection="1">
      <alignment vertical="center"/>
      <protection hidden="1"/>
    </xf>
    <xf numFmtId="1" fontId="26" fillId="0" borderId="48" xfId="0" applyNumberFormat="1" applyFont="1" applyBorder="1" applyAlignment="1" applyProtection="1">
      <alignment horizontal="center" vertical="center"/>
      <protection hidden="1"/>
    </xf>
    <xf numFmtId="2" fontId="25" fillId="0" borderId="48" xfId="0" applyNumberFormat="1" applyFont="1" applyBorder="1" applyAlignment="1" applyProtection="1">
      <alignment vertical="center"/>
      <protection hidden="1"/>
    </xf>
    <xf numFmtId="2" fontId="3" fillId="0" borderId="45" xfId="0" applyNumberFormat="1" applyFont="1" applyBorder="1" applyAlignment="1" applyProtection="1">
      <alignment horizontal="right" vertical="center" shrinkToFit="1"/>
      <protection hidden="1"/>
    </xf>
    <xf numFmtId="1" fontId="26" fillId="0" borderId="15" xfId="0" applyNumberFormat="1" applyFont="1" applyBorder="1" applyAlignment="1" applyProtection="1">
      <alignment horizontal="center" vertical="center"/>
      <protection hidden="1"/>
    </xf>
    <xf numFmtId="2" fontId="3" fillId="0" borderId="57" xfId="0" applyNumberFormat="1" applyFont="1" applyBorder="1" applyAlignment="1" applyProtection="1">
      <alignment vertical="center"/>
      <protection hidden="1"/>
    </xf>
    <xf numFmtId="182" fontId="11" fillId="0" borderId="58" xfId="0" applyNumberFormat="1" applyFont="1" applyBorder="1" applyAlignment="1" applyProtection="1">
      <alignment vertical="center"/>
      <protection hidden="1"/>
    </xf>
    <xf numFmtId="2" fontId="3" fillId="0" borderId="59" xfId="0" applyNumberFormat="1" applyFont="1" applyBorder="1" applyAlignment="1" applyProtection="1">
      <alignment horizontal="left" vertical="center"/>
      <protection hidden="1"/>
    </xf>
    <xf numFmtId="180" fontId="3" fillId="0" borderId="60" xfId="0" applyNumberFormat="1" applyFont="1" applyBorder="1" applyAlignment="1" applyProtection="1">
      <alignment vertical="center"/>
      <protection hidden="1"/>
    </xf>
    <xf numFmtId="2" fontId="12" fillId="0" borderId="61" xfId="0" applyNumberFormat="1" applyFont="1" applyBorder="1" applyAlignment="1" applyProtection="1">
      <alignment horizontal="right" vertical="center"/>
      <protection hidden="1"/>
    </xf>
    <xf numFmtId="0" fontId="3" fillId="0" borderId="46" xfId="0" applyFont="1" applyBorder="1" applyAlignment="1" applyProtection="1">
      <alignment horizontal="right" vertical="center"/>
      <protection hidden="1"/>
    </xf>
    <xf numFmtId="2" fontId="3" fillId="0" borderId="32" xfId="0" applyNumberFormat="1" applyFont="1" applyBorder="1" applyAlignment="1" applyProtection="1">
      <alignment horizontal="center" vertical="center"/>
      <protection hidden="1"/>
    </xf>
    <xf numFmtId="182" fontId="11" fillId="0" borderId="32" xfId="0" applyNumberFormat="1" applyFont="1" applyBorder="1" applyAlignment="1" applyProtection="1">
      <alignment vertical="center"/>
      <protection locked="0"/>
    </xf>
    <xf numFmtId="0" fontId="3" fillId="0" borderId="63" xfId="0" applyFont="1" applyBorder="1" applyAlignment="1" applyProtection="1">
      <alignment horizontal="right" vertical="center"/>
      <protection hidden="1"/>
    </xf>
    <xf numFmtId="183" fontId="22" fillId="0" borderId="63" xfId="0" applyNumberFormat="1" applyFont="1" applyBorder="1" applyAlignment="1" applyProtection="1">
      <alignment horizontal="right" vertical="center"/>
      <protection hidden="1"/>
    </xf>
    <xf numFmtId="184" fontId="3" fillId="0" borderId="64" xfId="0" applyNumberFormat="1" applyFont="1" applyBorder="1" applyAlignment="1" applyProtection="1">
      <alignment vertical="center"/>
      <protection hidden="1"/>
    </xf>
    <xf numFmtId="2" fontId="3" fillId="0" borderId="65" xfId="0" applyNumberFormat="1" applyFont="1" applyBorder="1" applyAlignment="1" applyProtection="1">
      <alignment horizontal="left" vertical="center" shrinkToFit="1"/>
      <protection hidden="1"/>
    </xf>
    <xf numFmtId="2" fontId="3" fillId="0" borderId="48" xfId="0" applyNumberFormat="1" applyFont="1" applyBorder="1" applyAlignment="1" applyProtection="1">
      <alignment horizontal="center" vertical="center" shrinkToFit="1"/>
      <protection hidden="1"/>
    </xf>
    <xf numFmtId="176" fontId="25" fillId="0" borderId="66" xfId="0" applyNumberFormat="1" applyFont="1" applyBorder="1" applyAlignment="1" applyProtection="1">
      <alignment vertical="center"/>
      <protection hidden="1"/>
    </xf>
    <xf numFmtId="2" fontId="12" fillId="0" borderId="67" xfId="0" applyNumberFormat="1" applyFont="1" applyBorder="1" applyAlignment="1" applyProtection="1">
      <alignment vertical="center"/>
      <protection hidden="1"/>
    </xf>
    <xf numFmtId="0" fontId="3" fillId="0" borderId="45" xfId="0" applyFont="1" applyBorder="1" applyAlignment="1" applyProtection="1">
      <alignment horizontal="right" vertical="center"/>
      <protection hidden="1"/>
    </xf>
    <xf numFmtId="0" fontId="3" fillId="0" borderId="57" xfId="0" applyFont="1" applyBorder="1" applyAlignment="1" applyProtection="1">
      <alignment horizontal="right" vertical="center"/>
      <protection hidden="1"/>
    </xf>
    <xf numFmtId="183" fontId="22" fillId="0" borderId="57" xfId="0" applyNumberFormat="1" applyFont="1" applyBorder="1" applyAlignment="1" applyProtection="1">
      <alignment horizontal="right" vertical="center"/>
      <protection hidden="1"/>
    </xf>
    <xf numFmtId="184" fontId="12" fillId="0" borderId="58" xfId="0" applyNumberFormat="1" applyFont="1" applyBorder="1" applyAlignment="1" applyProtection="1">
      <alignment vertical="center"/>
      <protection hidden="1"/>
    </xf>
    <xf numFmtId="2" fontId="3" fillId="0" borderId="59" xfId="0" applyNumberFormat="1" applyFont="1" applyBorder="1" applyAlignment="1" applyProtection="1">
      <alignment horizontal="right" vertical="top" shrinkToFit="1"/>
      <protection hidden="1"/>
    </xf>
    <xf numFmtId="2" fontId="3" fillId="0" borderId="60" xfId="0" applyNumberFormat="1" applyFont="1" applyBorder="1" applyAlignment="1" applyProtection="1">
      <alignment horizontal="center" vertical="top" shrinkToFit="1"/>
      <protection hidden="1"/>
    </xf>
    <xf numFmtId="2" fontId="3" fillId="0" borderId="60" xfId="0" applyNumberFormat="1" applyFont="1" applyBorder="1" applyAlignment="1" applyProtection="1">
      <alignment vertical="center"/>
      <protection hidden="1"/>
    </xf>
    <xf numFmtId="0" fontId="3" fillId="0" borderId="68" xfId="0" applyFont="1" applyBorder="1" applyAlignment="1" applyProtection="1">
      <alignment horizontal="right" vertical="center"/>
      <protection hidden="1"/>
    </xf>
    <xf numFmtId="2" fontId="3" fillId="0" borderId="25" xfId="0" applyNumberFormat="1" applyFont="1" applyBorder="1" applyAlignment="1" applyProtection="1">
      <alignment horizontal="center" vertical="center"/>
      <protection hidden="1"/>
    </xf>
    <xf numFmtId="180" fontId="11" fillId="0" borderId="25" xfId="0" applyNumberFormat="1" applyFont="1" applyBorder="1" applyAlignment="1" applyProtection="1">
      <alignment vertical="center"/>
      <protection locked="0"/>
    </xf>
    <xf numFmtId="2" fontId="12" fillId="0" borderId="69" xfId="0" applyNumberFormat="1" applyFont="1" applyBorder="1" applyAlignment="1" applyProtection="1">
      <alignment vertical="center"/>
      <protection hidden="1"/>
    </xf>
    <xf numFmtId="0" fontId="3" fillId="0" borderId="70" xfId="0" applyFont="1" applyBorder="1" applyAlignment="1" applyProtection="1">
      <alignment vertical="center"/>
      <protection hidden="1"/>
    </xf>
    <xf numFmtId="0" fontId="3" fillId="0" borderId="71" xfId="0" applyFont="1" applyBorder="1" applyAlignment="1" applyProtection="1">
      <alignment vertical="center"/>
      <protection hidden="1"/>
    </xf>
    <xf numFmtId="2" fontId="3" fillId="0" borderId="39" xfId="0" applyNumberFormat="1" applyFont="1" applyBorder="1" applyAlignment="1" applyProtection="1">
      <alignment horizontal="left" vertical="center"/>
      <protection hidden="1"/>
    </xf>
    <xf numFmtId="182" fontId="27" fillId="0" borderId="40" xfId="0" applyNumberFormat="1" applyFont="1" applyBorder="1" applyAlignment="1" applyProtection="1">
      <alignment vertical="center"/>
      <protection hidden="1"/>
    </xf>
    <xf numFmtId="180" fontId="11" fillId="0" borderId="32" xfId="0" applyNumberFormat="1" applyFont="1" applyBorder="1" applyAlignment="1" applyProtection="1">
      <alignment vertical="center"/>
      <protection locked="0"/>
    </xf>
    <xf numFmtId="2" fontId="3" fillId="0" borderId="72" xfId="0" applyNumberFormat="1" applyFont="1" applyBorder="1" applyAlignment="1" applyProtection="1">
      <alignment horizontal="left" vertical="top"/>
      <protection hidden="1"/>
    </xf>
    <xf numFmtId="2" fontId="3" fillId="0" borderId="54" xfId="0" applyNumberFormat="1" applyFont="1" applyBorder="1" applyAlignment="1" applyProtection="1">
      <alignment horizontal="center" vertical="top"/>
      <protection hidden="1"/>
    </xf>
    <xf numFmtId="2" fontId="3" fillId="0" borderId="54" xfId="0" applyNumberFormat="1" applyFont="1" applyBorder="1" applyAlignment="1" applyProtection="1">
      <alignment vertical="center"/>
      <protection hidden="1"/>
    </xf>
    <xf numFmtId="2" fontId="12" fillId="0" borderId="73" xfId="0" applyNumberFormat="1" applyFont="1" applyBorder="1" applyAlignment="1" applyProtection="1">
      <alignment vertical="center"/>
      <protection hidden="1"/>
    </xf>
    <xf numFmtId="2" fontId="3" fillId="0" borderId="74" xfId="0" applyNumberFormat="1" applyFont="1" applyBorder="1" applyAlignment="1" applyProtection="1">
      <alignment horizontal="right" vertical="center"/>
      <protection hidden="1"/>
    </xf>
    <xf numFmtId="2" fontId="3" fillId="0" borderId="75" xfId="0" applyNumberFormat="1" applyFont="1" applyBorder="1" applyAlignment="1" applyProtection="1">
      <alignment horizontal="center" vertical="center"/>
      <protection hidden="1"/>
    </xf>
    <xf numFmtId="180" fontId="25" fillId="0" borderId="75" xfId="0" applyNumberFormat="1" applyFont="1" applyBorder="1" applyAlignment="1" applyProtection="1">
      <alignment vertical="center"/>
      <protection hidden="1"/>
    </xf>
    <xf numFmtId="2" fontId="12" fillId="0" borderId="75" xfId="0" applyNumberFormat="1" applyFont="1" applyBorder="1" applyAlignment="1" applyProtection="1">
      <alignment vertical="center"/>
      <protection hidden="1"/>
    </xf>
    <xf numFmtId="0" fontId="3" fillId="0" borderId="75" xfId="0" applyFont="1" applyBorder="1" applyAlignment="1" applyProtection="1">
      <alignment horizontal="right" vertical="center"/>
      <protection hidden="1"/>
    </xf>
    <xf numFmtId="0" fontId="12" fillId="0" borderId="76" xfId="0" applyFont="1" applyBorder="1" applyAlignment="1" applyProtection="1">
      <alignment vertical="center"/>
      <protection hidden="1"/>
    </xf>
    <xf numFmtId="2" fontId="7" fillId="6" borderId="10" xfId="0" applyNumberFormat="1" applyFont="1" applyFill="1" applyBorder="1" applyAlignment="1" applyProtection="1">
      <alignment horizontal="centerContinuous" vertical="center"/>
      <protection hidden="1"/>
    </xf>
    <xf numFmtId="2" fontId="28" fillId="6" borderId="11" xfId="0" applyNumberFormat="1" applyFont="1" applyFill="1" applyBorder="1" applyAlignment="1" applyProtection="1">
      <alignment horizontal="centerContinuous" vertical="center"/>
      <protection hidden="1"/>
    </xf>
    <xf numFmtId="2" fontId="29" fillId="6" borderId="12" xfId="0" applyNumberFormat="1" applyFont="1" applyFill="1" applyBorder="1" applyAlignment="1" applyProtection="1">
      <alignment horizontal="centerContinuous" vertical="center"/>
      <protection hidden="1"/>
    </xf>
    <xf numFmtId="2" fontId="4" fillId="6" borderId="77" xfId="0" applyNumberFormat="1" applyFont="1" applyFill="1" applyBorder="1" applyAlignment="1" applyProtection="1">
      <alignment horizontal="centerContinuous" vertical="center"/>
      <protection hidden="1"/>
    </xf>
    <xf numFmtId="2" fontId="4" fillId="6" borderId="11" xfId="0" applyNumberFormat="1" applyFont="1" applyFill="1" applyBorder="1" applyAlignment="1" applyProtection="1">
      <alignment horizontal="centerContinuous" vertical="center"/>
      <protection hidden="1"/>
    </xf>
    <xf numFmtId="2" fontId="30" fillId="6" borderId="11" xfId="0" applyNumberFormat="1" applyFont="1" applyFill="1" applyBorder="1" applyAlignment="1" applyProtection="1">
      <alignment horizontal="centerContinuous" vertical="center"/>
      <protection hidden="1"/>
    </xf>
    <xf numFmtId="0" fontId="4" fillId="6" borderId="11" xfId="0" applyFont="1" applyFill="1" applyBorder="1" applyAlignment="1" applyProtection="1">
      <alignment horizontal="centerContinuous" vertical="center"/>
      <protection hidden="1"/>
    </xf>
    <xf numFmtId="0" fontId="4" fillId="6" borderId="13" xfId="0" applyFont="1" applyFill="1" applyBorder="1" applyAlignment="1" applyProtection="1">
      <alignment horizontal="centerContinuous" vertical="center"/>
      <protection hidden="1"/>
    </xf>
    <xf numFmtId="2" fontId="4" fillId="0" borderId="78" xfId="0" applyNumberFormat="1" applyFont="1" applyFill="1" applyBorder="1" applyAlignment="1" applyProtection="1">
      <alignment horizontal="centerContinuous" vertical="center"/>
      <protection hidden="1"/>
    </xf>
    <xf numFmtId="2" fontId="4" fillId="0" borderId="0" xfId="0" applyNumberFormat="1" applyFont="1" applyFill="1" applyBorder="1" applyAlignment="1" applyProtection="1">
      <alignment horizontal="centerContinuous" vertical="center"/>
      <protection hidden="1"/>
    </xf>
    <xf numFmtId="2" fontId="30" fillId="0" borderId="79" xfId="0" applyNumberFormat="1" applyFont="1" applyFill="1" applyBorder="1" applyAlignment="1" applyProtection="1">
      <alignment horizontal="centerContinuous" vertical="center"/>
      <protection hidden="1"/>
    </xf>
    <xf numFmtId="2" fontId="3" fillId="0" borderId="20" xfId="0" applyNumberFormat="1" applyFont="1" applyFill="1" applyBorder="1" applyAlignment="1" applyProtection="1">
      <alignment horizontal="right" vertical="center"/>
      <protection hidden="1"/>
    </xf>
    <xf numFmtId="2" fontId="3" fillId="0" borderId="40" xfId="0" applyNumberFormat="1" applyFont="1" applyFill="1" applyBorder="1" applyAlignment="1" applyProtection="1">
      <alignment horizontal="center" vertical="center"/>
      <protection hidden="1"/>
    </xf>
    <xf numFmtId="2" fontId="3" fillId="0" borderId="40" xfId="0" applyNumberFormat="1" applyFont="1" applyFill="1" applyBorder="1" applyAlignment="1" applyProtection="1">
      <alignment horizontal="right" vertical="center"/>
      <protection hidden="1"/>
    </xf>
    <xf numFmtId="2" fontId="12" fillId="0" borderId="37" xfId="0" applyNumberFormat="1" applyFont="1" applyFill="1" applyBorder="1" applyAlignment="1" applyProtection="1">
      <alignment horizontal="left" vertical="center"/>
      <protection hidden="1"/>
    </xf>
    <xf numFmtId="0" fontId="3" fillId="0" borderId="80" xfId="0" applyFont="1" applyBorder="1" applyAlignment="1" applyProtection="1">
      <alignment horizontal="center" vertical="center"/>
      <protection hidden="1"/>
    </xf>
    <xf numFmtId="0" fontId="3" fillId="0" borderId="41" xfId="0" applyFont="1" applyBorder="1" applyAlignment="1" applyProtection="1">
      <alignment horizontal="center" vertical="center"/>
      <protection hidden="1"/>
    </xf>
    <xf numFmtId="0" fontId="4" fillId="0" borderId="81" xfId="0" applyFont="1" applyFill="1" applyBorder="1" applyAlignment="1" applyProtection="1">
      <alignment horizontal="left" vertical="center"/>
      <protection hidden="1"/>
    </xf>
    <xf numFmtId="2" fontId="28" fillId="0" borderId="14" xfId="0" applyNumberFormat="1" applyFont="1" applyBorder="1" applyAlignment="1" applyProtection="1">
      <alignment horizontal="left" vertical="center"/>
      <protection hidden="1"/>
    </xf>
    <xf numFmtId="2" fontId="28" fillId="0" borderId="15" xfId="0" applyNumberFormat="1" applyFont="1" applyBorder="1" applyAlignment="1" applyProtection="1">
      <alignment vertical="center"/>
      <protection hidden="1"/>
    </xf>
    <xf numFmtId="2" fontId="13" fillId="0" borderId="82" xfId="0" applyNumberFormat="1" applyFont="1" applyBorder="1" applyAlignment="1" applyProtection="1">
      <alignment vertical="center"/>
      <protection hidden="1"/>
    </xf>
    <xf numFmtId="2" fontId="25" fillId="0" borderId="83" xfId="0" applyNumberFormat="1" applyFont="1" applyBorder="1" applyAlignment="1" applyProtection="1">
      <alignment vertical="center"/>
      <protection hidden="1"/>
    </xf>
    <xf numFmtId="0" fontId="3" fillId="0" borderId="84" xfId="0" applyFont="1" applyBorder="1" applyAlignment="1" applyProtection="1">
      <alignment vertical="center"/>
      <protection hidden="1"/>
    </xf>
    <xf numFmtId="2" fontId="28" fillId="0" borderId="31" xfId="0" applyNumberFormat="1" applyFont="1" applyBorder="1" applyAlignment="1" applyProtection="1">
      <alignment horizontal="left" vertical="center"/>
      <protection hidden="1"/>
    </xf>
    <xf numFmtId="2" fontId="28" fillId="0" borderId="32" xfId="0" applyNumberFormat="1" applyFont="1" applyBorder="1" applyAlignment="1" applyProtection="1">
      <alignment vertical="center"/>
      <protection hidden="1"/>
    </xf>
    <xf numFmtId="2" fontId="3" fillId="0" borderId="46" xfId="0" applyNumberFormat="1" applyFont="1" applyBorder="1" applyAlignment="1" applyProtection="1">
      <alignment horizontal="right" vertical="center" shrinkToFit="1"/>
      <protection hidden="1"/>
    </xf>
    <xf numFmtId="2" fontId="22" fillId="0" borderId="32" xfId="0" applyNumberFormat="1" applyFont="1" applyBorder="1" applyAlignment="1" applyProtection="1">
      <alignment vertical="center"/>
      <protection locked="0"/>
    </xf>
    <xf numFmtId="2" fontId="25" fillId="0" borderId="41" xfId="0" applyNumberFormat="1" applyFont="1" applyBorder="1" applyAlignment="1" applyProtection="1">
      <alignment vertical="center"/>
      <protection hidden="1"/>
    </xf>
    <xf numFmtId="0" fontId="0" fillId="0" borderId="4" xfId="0" applyBorder="1" applyAlignment="1">
      <alignment horizontal="left" vertical="center"/>
    </xf>
    <xf numFmtId="0" fontId="0" fillId="0" borderId="5" xfId="0" applyBorder="1">
      <alignment vertical="center"/>
    </xf>
    <xf numFmtId="0" fontId="3" fillId="0" borderId="85" xfId="0" applyFont="1" applyBorder="1" applyAlignment="1" applyProtection="1">
      <alignment vertical="center"/>
      <protection hidden="1"/>
    </xf>
    <xf numFmtId="0" fontId="3" fillId="0" borderId="20" xfId="0" applyFont="1" applyBorder="1" applyAlignment="1" applyProtection="1">
      <alignment horizontal="right" vertical="center"/>
      <protection hidden="1"/>
    </xf>
    <xf numFmtId="0" fontId="3" fillId="0" borderId="40" xfId="0" applyFont="1" applyBorder="1" applyAlignment="1" applyProtection="1">
      <alignment horizontal="center" vertical="center"/>
      <protection hidden="1"/>
    </xf>
    <xf numFmtId="2" fontId="22" fillId="0" borderId="40" xfId="0" applyNumberFormat="1" applyFont="1" applyBorder="1" applyAlignment="1" applyProtection="1">
      <alignment vertical="center"/>
      <protection locked="0"/>
    </xf>
    <xf numFmtId="0" fontId="12" fillId="0" borderId="37" xfId="0" applyFont="1" applyBorder="1" applyAlignment="1" applyProtection="1">
      <alignment vertical="center"/>
      <protection hidden="1"/>
    </xf>
    <xf numFmtId="2" fontId="3" fillId="0" borderId="0" xfId="0" applyNumberFormat="1" applyFont="1" applyBorder="1" applyAlignment="1" applyProtection="1">
      <alignment vertical="center"/>
      <protection hidden="1"/>
    </xf>
    <xf numFmtId="184" fontId="3" fillId="0" borderId="0" xfId="0" applyNumberFormat="1" applyFont="1" applyBorder="1" applyAlignment="1" applyProtection="1">
      <alignment vertical="center"/>
      <protection hidden="1"/>
    </xf>
    <xf numFmtId="184" fontId="3" fillId="0" borderId="81" xfId="0" applyNumberFormat="1" applyFont="1" applyBorder="1" applyAlignment="1" applyProtection="1">
      <alignment vertical="center"/>
      <protection hidden="1"/>
    </xf>
    <xf numFmtId="0" fontId="7" fillId="0" borderId="4" xfId="0" applyFont="1" applyBorder="1" applyAlignment="1" applyProtection="1">
      <alignment vertical="center"/>
      <protection hidden="1"/>
    </xf>
    <xf numFmtId="0" fontId="7" fillId="0" borderId="5" xfId="0" applyFont="1" applyBorder="1" applyAlignment="1" applyProtection="1">
      <alignment vertical="center"/>
      <protection hidden="1"/>
    </xf>
    <xf numFmtId="0" fontId="7" fillId="0" borderId="85" xfId="0" applyFont="1" applyBorder="1" applyAlignment="1" applyProtection="1">
      <alignment vertical="center"/>
      <protection hidden="1"/>
    </xf>
    <xf numFmtId="0" fontId="3" fillId="0" borderId="80" xfId="0" applyFont="1" applyBorder="1" applyAlignment="1" applyProtection="1">
      <alignment horizontal="right" vertical="center"/>
      <protection hidden="1"/>
    </xf>
    <xf numFmtId="0" fontId="4" fillId="0" borderId="17" xfId="0" applyFont="1" applyBorder="1" applyAlignment="1" applyProtection="1">
      <alignment vertical="center"/>
      <protection hidden="1"/>
    </xf>
    <xf numFmtId="0" fontId="3" fillId="0" borderId="19" xfId="0" applyFont="1" applyBorder="1" applyAlignment="1" applyProtection="1">
      <alignment vertical="center"/>
      <protection hidden="1"/>
    </xf>
    <xf numFmtId="2" fontId="7" fillId="0" borderId="17" xfId="0" applyNumberFormat="1" applyFont="1" applyBorder="1" applyAlignment="1" applyProtection="1">
      <alignment vertical="center"/>
      <protection hidden="1"/>
    </xf>
    <xf numFmtId="184" fontId="3" fillId="0" borderId="57" xfId="0" applyNumberFormat="1" applyFont="1" applyBorder="1" applyAlignment="1" applyProtection="1">
      <alignment vertical="center"/>
      <protection hidden="1"/>
    </xf>
    <xf numFmtId="184" fontId="3" fillId="0" borderId="58" xfId="0" applyNumberFormat="1" applyFont="1" applyBorder="1" applyAlignment="1" applyProtection="1">
      <alignment vertical="center"/>
      <protection hidden="1"/>
    </xf>
    <xf numFmtId="0" fontId="3" fillId="0" borderId="86" xfId="0" applyFont="1" applyBorder="1" applyAlignment="1" applyProtection="1">
      <alignment horizontal="right" vertical="center"/>
      <protection hidden="1"/>
    </xf>
    <xf numFmtId="0" fontId="3" fillId="0" borderId="87" xfId="0" applyFont="1" applyBorder="1" applyAlignment="1" applyProtection="1">
      <alignment vertical="center"/>
      <protection hidden="1"/>
    </xf>
    <xf numFmtId="185" fontId="32" fillId="0" borderId="88" xfId="0" applyNumberFormat="1" applyFont="1" applyBorder="1" applyAlignment="1" applyProtection="1">
      <alignment vertical="center"/>
      <protection hidden="1"/>
    </xf>
    <xf numFmtId="0" fontId="12" fillId="0" borderId="89" xfId="0" applyFont="1" applyBorder="1" applyAlignment="1" applyProtection="1">
      <alignment vertical="center" shrinkToFit="1"/>
      <protection hidden="1"/>
    </xf>
    <xf numFmtId="2" fontId="3" fillId="0" borderId="87" xfId="0" applyNumberFormat="1" applyFont="1" applyBorder="1" applyAlignment="1" applyProtection="1">
      <alignment vertical="center"/>
      <protection hidden="1"/>
    </xf>
    <xf numFmtId="186" fontId="34" fillId="0" borderId="88" xfId="0" applyNumberFormat="1" applyFont="1" applyBorder="1" applyAlignment="1" applyProtection="1">
      <alignment vertical="center"/>
      <protection hidden="1"/>
    </xf>
    <xf numFmtId="184" fontId="12" fillId="0" borderId="90" xfId="0" applyNumberFormat="1" applyFont="1" applyBorder="1" applyAlignment="1" applyProtection="1">
      <alignment vertical="center" shrinkToFit="1"/>
      <protection hidden="1"/>
    </xf>
    <xf numFmtId="0" fontId="23" fillId="0" borderId="78" xfId="0" applyFont="1" applyBorder="1" applyAlignment="1" applyProtection="1">
      <alignment horizontal="left" vertical="center" shrinkToFit="1"/>
      <protection hidden="1"/>
    </xf>
    <xf numFmtId="2" fontId="23" fillId="0" borderId="0" xfId="0" applyNumberFormat="1" applyFont="1" applyFill="1" applyBorder="1" applyAlignment="1" applyProtection="1">
      <alignment horizontal="center" vertical="center"/>
      <protection hidden="1"/>
    </xf>
    <xf numFmtId="2" fontId="28" fillId="0" borderId="0" xfId="0" applyNumberFormat="1" applyFont="1" applyFill="1" applyBorder="1" applyAlignment="1" applyProtection="1">
      <alignment vertical="center"/>
      <protection hidden="1"/>
    </xf>
    <xf numFmtId="2" fontId="35" fillId="0" borderId="82" xfId="0" applyNumberFormat="1" applyFont="1" applyFill="1" applyBorder="1" applyAlignment="1" applyProtection="1">
      <alignment vertical="center"/>
      <protection hidden="1"/>
    </xf>
    <xf numFmtId="183" fontId="32" fillId="0" borderId="91" xfId="0" applyNumberFormat="1" applyFont="1" applyBorder="1" applyAlignment="1" applyProtection="1">
      <alignment vertical="center"/>
      <protection hidden="1"/>
    </xf>
    <xf numFmtId="0" fontId="12" fillId="0" borderId="67" xfId="0" applyFont="1" applyBorder="1" applyAlignment="1" applyProtection="1">
      <alignment vertical="center" shrinkToFit="1"/>
      <protection hidden="1"/>
    </xf>
    <xf numFmtId="183" fontId="34" fillId="0" borderId="91" xfId="0" applyNumberFormat="1" applyFont="1" applyBorder="1" applyAlignment="1" applyProtection="1">
      <alignment vertical="center"/>
      <protection hidden="1"/>
    </xf>
    <xf numFmtId="184" fontId="12" fillId="0" borderId="92" xfId="0" applyNumberFormat="1" applyFont="1" applyBorder="1" applyAlignment="1" applyProtection="1">
      <alignment vertical="center" shrinkToFit="1"/>
      <protection hidden="1"/>
    </xf>
    <xf numFmtId="0" fontId="28" fillId="0" borderId="78" xfId="0" applyFont="1" applyBorder="1" applyAlignment="1" applyProtection="1">
      <alignment horizontal="right" vertical="center" shrinkToFit="1"/>
      <protection hidden="1"/>
    </xf>
    <xf numFmtId="0" fontId="3" fillId="0" borderId="93" xfId="0" applyFont="1" applyBorder="1" applyAlignment="1" applyProtection="1">
      <alignment vertical="center"/>
      <protection hidden="1"/>
    </xf>
    <xf numFmtId="183" fontId="32" fillId="0" borderId="94" xfId="0" applyNumberFormat="1" applyFont="1" applyBorder="1" applyAlignment="1" applyProtection="1">
      <alignment vertical="center"/>
      <protection hidden="1"/>
    </xf>
    <xf numFmtId="0" fontId="12" fillId="0" borderId="61" xfId="0" applyFont="1" applyBorder="1" applyAlignment="1" applyProtection="1">
      <alignment vertical="center" shrinkToFit="1"/>
      <protection hidden="1"/>
    </xf>
    <xf numFmtId="2" fontId="3" fillId="0" borderId="95" xfId="0" applyNumberFormat="1" applyFont="1" applyBorder="1" applyAlignment="1" applyProtection="1">
      <alignment vertical="center"/>
      <protection hidden="1"/>
    </xf>
    <xf numFmtId="183" fontId="34" fillId="0" borderId="94" xfId="0" applyNumberFormat="1" applyFont="1" applyBorder="1" applyAlignment="1" applyProtection="1">
      <alignment vertical="center"/>
      <protection hidden="1"/>
    </xf>
    <xf numFmtId="184" fontId="12" fillId="0" borderId="96" xfId="0" applyNumberFormat="1" applyFont="1" applyBorder="1" applyAlignment="1" applyProtection="1">
      <alignment vertical="center" shrinkToFit="1"/>
      <protection hidden="1"/>
    </xf>
    <xf numFmtId="0" fontId="7" fillId="0" borderId="97" xfId="0" applyFont="1" applyBorder="1" applyAlignment="1" applyProtection="1">
      <alignment horizontal="right" vertical="center"/>
      <protection hidden="1"/>
    </xf>
    <xf numFmtId="2" fontId="31" fillId="0" borderId="98" xfId="0" applyNumberFormat="1" applyFont="1" applyFill="1" applyBorder="1" applyAlignment="1" applyProtection="1">
      <alignment vertical="center"/>
      <protection hidden="1"/>
    </xf>
    <xf numFmtId="2" fontId="31" fillId="0" borderId="99" xfId="0" applyNumberFormat="1" applyFont="1" applyFill="1" applyBorder="1" applyAlignment="1" applyProtection="1">
      <alignment vertical="center"/>
      <protection hidden="1"/>
    </xf>
    <xf numFmtId="0" fontId="4" fillId="0" borderId="100" xfId="0" applyFont="1" applyBorder="1" applyAlignment="1" applyProtection="1">
      <alignment horizontal="right" vertical="center"/>
      <protection hidden="1"/>
    </xf>
    <xf numFmtId="0" fontId="4" fillId="0" borderId="101" xfId="0" quotePrefix="1" applyFont="1" applyBorder="1" applyAlignment="1" applyProtection="1">
      <alignment horizontal="right" vertical="center"/>
      <protection hidden="1"/>
    </xf>
    <xf numFmtId="187" fontId="7" fillId="0" borderId="101" xfId="0" applyNumberFormat="1" applyFont="1" applyBorder="1" applyAlignment="1" applyProtection="1">
      <alignment vertical="center"/>
      <protection hidden="1"/>
    </xf>
    <xf numFmtId="0" fontId="4" fillId="0" borderId="101" xfId="0" applyFont="1" applyBorder="1" applyAlignment="1" applyProtection="1">
      <alignment horizontal="right" vertical="center"/>
      <protection hidden="1"/>
    </xf>
    <xf numFmtId="0" fontId="4" fillId="0" borderId="101" xfId="0" quotePrefix="1" applyFont="1" applyBorder="1" applyAlignment="1" applyProtection="1">
      <alignment horizontal="left" vertical="center"/>
      <protection hidden="1"/>
    </xf>
    <xf numFmtId="0" fontId="12" fillId="0" borderId="102" xfId="0" applyFont="1" applyBorder="1" applyAlignment="1" applyProtection="1">
      <alignment vertical="center"/>
      <protection hidden="1"/>
    </xf>
    <xf numFmtId="0" fontId="0" fillId="0" borderId="2" xfId="0" applyBorder="1">
      <alignment vertical="center"/>
    </xf>
    <xf numFmtId="2" fontId="20" fillId="0" borderId="0" xfId="0" applyNumberFormat="1" applyFont="1" applyProtection="1">
      <alignment vertical="center"/>
      <protection hidden="1"/>
    </xf>
    <xf numFmtId="0" fontId="36" fillId="0" borderId="0" xfId="0" applyFont="1" applyBorder="1">
      <alignment vertical="center"/>
    </xf>
    <xf numFmtId="0" fontId="36" fillId="0" borderId="0" xfId="0" applyFont="1" applyBorder="1" applyProtection="1">
      <alignment vertical="center"/>
      <protection hidden="1"/>
    </xf>
    <xf numFmtId="2" fontId="5" fillId="0" borderId="38" xfId="0" applyNumberFormat="1" applyFont="1" applyBorder="1" applyAlignment="1" applyProtection="1">
      <alignment horizontal="center" vertical="center"/>
      <protection hidden="1"/>
    </xf>
    <xf numFmtId="2" fontId="5" fillId="0" borderId="22" xfId="0" applyNumberFormat="1" applyFont="1" applyBorder="1" applyAlignment="1" applyProtection="1">
      <alignment horizontal="center" vertical="center"/>
      <protection hidden="1"/>
    </xf>
    <xf numFmtId="0" fontId="31" fillId="0" borderId="78" xfId="0" applyFont="1" applyBorder="1" applyAlignment="1" applyProtection="1">
      <alignment horizontal="center" vertical="center"/>
      <protection hidden="1"/>
    </xf>
    <xf numFmtId="0" fontId="31" fillId="0" borderId="0" xfId="0" applyFont="1" applyBorder="1" applyAlignment="1" applyProtection="1">
      <alignment horizontal="center" vertical="center"/>
      <protection hidden="1"/>
    </xf>
    <xf numFmtId="0" fontId="31" fillId="0" borderId="82" xfId="0" applyFont="1" applyBorder="1" applyAlignment="1" applyProtection="1">
      <alignment horizontal="center" vertical="center"/>
      <protection hidden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0</xdr:col>
      <xdr:colOff>657225</xdr:colOff>
      <xdr:row>0</xdr:row>
      <xdr:rowOff>600075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994" t="16241" r="83470" b="75636"/>
        <a:stretch>
          <a:fillRect/>
        </a:stretch>
      </xdr:blipFill>
      <xdr:spPr bwMode="auto">
        <a:xfrm>
          <a:off x="19050" y="19050"/>
          <a:ext cx="638175" cy="5810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8"/>
              </a:solidFill>
            </a14:hiddenFill>
          </a:ext>
          <a:ext uri="{91240B29-F687-4F45-9708-019B960494DF}">
            <a14:hiddenLine xmlns:a14="http://schemas.microsoft.com/office/drawing/2010/main" w="12700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topLeftCell="A9" zoomScaleNormal="100" zoomScaleSheetLayoutView="94" workbookViewId="0">
      <selection activeCell="G26" sqref="G26"/>
    </sheetView>
  </sheetViews>
  <sheetFormatPr defaultRowHeight="13"/>
  <cols>
    <col min="1" max="1" width="30.6328125" customWidth="1"/>
    <col min="2" max="2" width="7.6328125" customWidth="1"/>
    <col min="3" max="3" width="11.6328125" customWidth="1"/>
    <col min="4" max="4" width="10.6328125" customWidth="1"/>
    <col min="5" max="5" width="30.6328125" customWidth="1"/>
    <col min="6" max="6" width="7.6328125" customWidth="1"/>
    <col min="7" max="7" width="15.453125" customWidth="1"/>
    <col min="8" max="9" width="11.6328125" customWidth="1"/>
    <col min="10" max="10" width="14.6328125" customWidth="1"/>
    <col min="11" max="11" width="11.6328125" customWidth="1"/>
  </cols>
  <sheetData>
    <row r="1" spans="1:14" ht="48" customHeight="1" thickTop="1">
      <c r="A1" s="1"/>
      <c r="B1" s="2"/>
      <c r="C1" s="2"/>
      <c r="D1" s="2" t="s">
        <v>0</v>
      </c>
      <c r="E1" s="2"/>
      <c r="F1" s="3"/>
      <c r="G1" s="3"/>
      <c r="H1" s="4"/>
      <c r="I1" s="5"/>
      <c r="J1" s="6"/>
      <c r="K1" s="7" t="s">
        <v>1</v>
      </c>
    </row>
    <row r="2" spans="1:14" ht="20.149999999999999" customHeight="1">
      <c r="A2" s="8"/>
      <c r="B2" s="9"/>
      <c r="C2" s="9"/>
      <c r="D2" s="9"/>
      <c r="E2" s="9"/>
      <c r="F2" s="10"/>
      <c r="G2" s="10"/>
      <c r="H2" s="11"/>
      <c r="I2" s="12" t="s">
        <v>2</v>
      </c>
      <c r="J2" s="13" t="s">
        <v>3</v>
      </c>
      <c r="K2" s="14"/>
    </row>
    <row r="3" spans="1:14" ht="20.149999999999999" customHeight="1" thickBot="1">
      <c r="A3" s="15"/>
      <c r="B3" s="16"/>
      <c r="C3" s="16"/>
      <c r="D3" s="16"/>
      <c r="E3" s="16"/>
      <c r="F3" s="17"/>
      <c r="G3" s="17"/>
      <c r="H3" s="17"/>
      <c r="I3" s="18" t="s">
        <v>4</v>
      </c>
      <c r="J3" s="19" t="s">
        <v>5</v>
      </c>
      <c r="K3" s="20"/>
    </row>
    <row r="4" spans="1:14" ht="24" customHeight="1">
      <c r="A4" s="21" t="s">
        <v>6</v>
      </c>
      <c r="B4" s="22"/>
      <c r="C4" s="22"/>
      <c r="D4" s="23"/>
      <c r="E4" s="24" t="s">
        <v>7</v>
      </c>
      <c r="F4" s="25"/>
      <c r="G4" s="25"/>
      <c r="H4" s="25"/>
      <c r="I4" s="25"/>
      <c r="J4" s="25"/>
      <c r="K4" s="26"/>
    </row>
    <row r="5" spans="1:14" ht="20.149999999999999" customHeight="1">
      <c r="A5" s="27" t="s">
        <v>8</v>
      </c>
      <c r="B5" s="28" t="s">
        <v>9</v>
      </c>
      <c r="C5" s="29">
        <v>1.04</v>
      </c>
      <c r="D5" s="30" t="s">
        <v>10</v>
      </c>
      <c r="E5" s="31"/>
      <c r="F5" s="32" t="s">
        <v>11</v>
      </c>
      <c r="G5" s="33">
        <f>C5*EXP(-0.00001*G19)</f>
        <v>1.0143223085094659</v>
      </c>
      <c r="H5" s="34" t="s">
        <v>12</v>
      </c>
      <c r="I5" s="35">
        <f>J5*6.89476</f>
        <v>0</v>
      </c>
      <c r="J5" s="36">
        <v>0</v>
      </c>
      <c r="K5" s="37"/>
    </row>
    <row r="6" spans="1:14" ht="20.149999999999999" customHeight="1">
      <c r="A6" s="38" t="s">
        <v>13</v>
      </c>
      <c r="B6" s="39" t="s">
        <v>14</v>
      </c>
      <c r="C6" s="40">
        <v>0.82599999999999996</v>
      </c>
      <c r="D6" s="41" t="s">
        <v>10</v>
      </c>
      <c r="E6" s="42"/>
      <c r="F6" s="43" t="s">
        <v>15</v>
      </c>
      <c r="G6" s="44">
        <f>(C6+0.000217*I6*C7*0.0000013)/K6</f>
        <v>0.75014209758272599</v>
      </c>
      <c r="H6" s="34" t="s">
        <v>16</v>
      </c>
      <c r="I6" s="45">
        <f>135+0.25*(0.1*G19)*14.2</f>
        <v>1022.5</v>
      </c>
      <c r="J6" s="46" t="s">
        <v>17</v>
      </c>
      <c r="K6" s="47">
        <f>1.05+(0.00005*I6)</f>
        <v>1.1011250000000001</v>
      </c>
    </row>
    <row r="7" spans="1:14" ht="20.149999999999999" customHeight="1">
      <c r="A7" s="48" t="s">
        <v>18</v>
      </c>
      <c r="B7" s="49" t="s">
        <v>19</v>
      </c>
      <c r="C7" s="50">
        <v>0.753</v>
      </c>
      <c r="D7" s="51" t="s">
        <v>20</v>
      </c>
      <c r="E7" s="52"/>
      <c r="F7" s="53" t="s">
        <v>21</v>
      </c>
      <c r="G7" s="54">
        <f>0.4485*0.001*((I7*G19*0.1*14.2)/(C8*J21))</f>
        <v>0.21203660788685447</v>
      </c>
      <c r="H7" s="46" t="s">
        <v>22</v>
      </c>
      <c r="I7" s="55">
        <f>(C7-0.555)*14/(1.047-0.555)+16</f>
        <v>21.634146341463413</v>
      </c>
      <c r="J7" s="56"/>
      <c r="K7" s="37"/>
    </row>
    <row r="8" spans="1:14" ht="20.149999999999999" customHeight="1">
      <c r="A8" s="57" t="s">
        <v>23</v>
      </c>
      <c r="B8" s="58" t="s">
        <v>24</v>
      </c>
      <c r="C8" s="59">
        <v>0.9</v>
      </c>
      <c r="D8" s="60"/>
      <c r="E8" s="249"/>
      <c r="F8" s="250"/>
      <c r="G8" s="61"/>
      <c r="H8" s="62"/>
      <c r="I8" s="63"/>
      <c r="J8" s="63"/>
      <c r="K8" s="64"/>
      <c r="M8" s="247" t="s">
        <v>117</v>
      </c>
      <c r="N8" s="248">
        <f>EXP(LN(45.576)-LN($G$19*0.1)*0.055)</f>
        <v>33.639497980264601</v>
      </c>
    </row>
    <row r="9" spans="1:14" ht="20.149999999999999" customHeight="1">
      <c r="A9" s="65" t="s">
        <v>25</v>
      </c>
      <c r="B9" s="66" t="s">
        <v>26</v>
      </c>
      <c r="C9" s="67">
        <v>27.23</v>
      </c>
      <c r="D9" s="68" t="s">
        <v>27</v>
      </c>
      <c r="E9" s="69"/>
      <c r="F9" s="32" t="s">
        <v>28</v>
      </c>
      <c r="G9" s="246">
        <f>IF($G$21&lt;54,$N$8,IF($G$21&gt;80,$N$9,$N$8+($N$9-$N$8)*($G$21-54)/(80-54)))</f>
        <v>31.341347259649538</v>
      </c>
      <c r="H9" s="70" t="s">
        <v>29</v>
      </c>
      <c r="I9" s="71">
        <f>G5-G6</f>
        <v>0.26418021092673993</v>
      </c>
      <c r="J9" s="46" t="s">
        <v>30</v>
      </c>
      <c r="K9" s="72">
        <f>(273+G21)/190</f>
        <v>1.8710526315789473</v>
      </c>
      <c r="M9" s="247" t="s">
        <v>118</v>
      </c>
      <c r="N9" s="248">
        <f>EXP(LN(38.658)-LN($G$19*0.1)*0.038)</f>
        <v>31.341347259649538</v>
      </c>
    </row>
    <row r="10" spans="1:14" ht="20.149999999999999" customHeight="1">
      <c r="A10" s="48" t="s">
        <v>31</v>
      </c>
      <c r="B10" s="49" t="s">
        <v>32</v>
      </c>
      <c r="C10" s="73">
        <v>37.83</v>
      </c>
      <c r="D10" s="51" t="s">
        <v>27</v>
      </c>
      <c r="E10" s="74"/>
      <c r="F10" s="53" t="s">
        <v>33</v>
      </c>
      <c r="G10" s="246">
        <f>IF($G$21&lt;21,$N$10,IF($G$21&gt;65,$N$11,$N$10+($N$11-$N$10)*($G$21-21)/(65-21)))</f>
        <v>38.607142600836497</v>
      </c>
      <c r="H10" s="75" t="s">
        <v>34</v>
      </c>
      <c r="I10" s="76">
        <f>G5-G7</f>
        <v>0.8022857006226114</v>
      </c>
      <c r="J10" s="46" t="s">
        <v>35</v>
      </c>
      <c r="K10" s="77">
        <f>EXP(1.127)*I10^(-0.7982)</f>
        <v>3.6797171087023925</v>
      </c>
      <c r="M10" s="247" t="s">
        <v>119</v>
      </c>
      <c r="N10" s="248">
        <f>EXP(LN(84.569)-LN($G$19*0.1)*0.122)</f>
        <v>43.118387800083731</v>
      </c>
    </row>
    <row r="11" spans="1:14" ht="20.149999999999999" customHeight="1">
      <c r="A11" s="78" t="s">
        <v>36</v>
      </c>
      <c r="B11" s="79" t="s">
        <v>37</v>
      </c>
      <c r="C11" s="80">
        <v>0</v>
      </c>
      <c r="D11" s="81" t="s">
        <v>38</v>
      </c>
      <c r="E11" s="82" t="s">
        <v>39</v>
      </c>
      <c r="F11" s="83" t="s">
        <v>40</v>
      </c>
      <c r="G11" s="84">
        <v>981</v>
      </c>
      <c r="H11" s="85" t="s">
        <v>41</v>
      </c>
      <c r="I11" s="63"/>
      <c r="J11" s="63"/>
      <c r="K11" s="37"/>
      <c r="M11" s="247" t="s">
        <v>120</v>
      </c>
      <c r="N11" s="248">
        <f>EXP(LN(75.721)-LN($G$19*0.1)*0.122)</f>
        <v>38.607142600836497</v>
      </c>
    </row>
    <row r="12" spans="1:14" ht="20.149999999999999" customHeight="1" thickBot="1">
      <c r="A12" s="86"/>
      <c r="B12" s="87"/>
      <c r="C12" s="88"/>
      <c r="D12" s="89" t="s">
        <v>42</v>
      </c>
      <c r="E12" s="90"/>
      <c r="F12" s="91"/>
      <c r="G12" s="92"/>
      <c r="H12" s="93"/>
      <c r="I12" s="94"/>
      <c r="J12" s="95"/>
      <c r="K12" s="96"/>
    </row>
    <row r="13" spans="1:14" ht="24" customHeight="1">
      <c r="A13" s="97" t="s">
        <v>43</v>
      </c>
      <c r="B13" s="98"/>
      <c r="C13" s="98"/>
      <c r="D13" s="99"/>
      <c r="E13" s="100" t="s">
        <v>44</v>
      </c>
      <c r="F13" s="101"/>
      <c r="G13" s="101"/>
      <c r="H13" s="101"/>
      <c r="I13" s="101"/>
      <c r="J13" s="101"/>
      <c r="K13" s="102"/>
    </row>
    <row r="14" spans="1:14" ht="20.149999999999999" customHeight="1">
      <c r="A14" s="78" t="s">
        <v>45</v>
      </c>
      <c r="B14" s="103" t="s">
        <v>46</v>
      </c>
      <c r="C14" s="104">
        <v>7.87</v>
      </c>
      <c r="D14" s="105" t="s">
        <v>47</v>
      </c>
      <c r="E14" s="106" t="s">
        <v>48</v>
      </c>
      <c r="F14" s="107" t="s">
        <v>49</v>
      </c>
      <c r="G14" s="108">
        <v>25</v>
      </c>
      <c r="H14" s="109" t="s">
        <v>50</v>
      </c>
      <c r="I14" s="110"/>
      <c r="J14" s="110"/>
      <c r="K14" s="111"/>
    </row>
    <row r="15" spans="1:14" ht="20.149999999999999" customHeight="1">
      <c r="A15" s="112" t="s">
        <v>51</v>
      </c>
      <c r="B15" s="113" t="s">
        <v>52</v>
      </c>
      <c r="C15" s="114">
        <f>EXP(-C14*LN(2))</f>
        <v>4.2745847705497643E-3</v>
      </c>
      <c r="D15" s="115" t="s">
        <v>53</v>
      </c>
      <c r="E15" s="116" t="s">
        <v>54</v>
      </c>
      <c r="F15" s="117" t="s">
        <v>55</v>
      </c>
      <c r="G15" s="118">
        <v>2.2999999999999998</v>
      </c>
      <c r="H15" s="119" t="s">
        <v>56</v>
      </c>
      <c r="I15" s="120"/>
      <c r="J15" s="120"/>
      <c r="K15" s="121"/>
    </row>
    <row r="16" spans="1:14" ht="20.149999999999999" customHeight="1">
      <c r="A16" s="78" t="s">
        <v>57</v>
      </c>
      <c r="B16" s="122" t="s">
        <v>58</v>
      </c>
      <c r="C16" s="123">
        <f>G16*EXP(-G17*G20)</f>
        <v>10.040857206679345</v>
      </c>
      <c r="D16" s="81" t="s">
        <v>59</v>
      </c>
      <c r="E16" s="124" t="s">
        <v>60</v>
      </c>
      <c r="F16" s="125" t="s">
        <v>61</v>
      </c>
      <c r="G16" s="108">
        <v>45</v>
      </c>
      <c r="H16" s="109" t="s">
        <v>62</v>
      </c>
      <c r="I16" s="126"/>
      <c r="J16" s="110"/>
      <c r="K16" s="127"/>
    </row>
    <row r="17" spans="1:11" ht="20.149999999999999" customHeight="1">
      <c r="A17" s="128"/>
      <c r="B17" s="113"/>
      <c r="C17" s="129"/>
      <c r="D17" s="130" t="s">
        <v>63</v>
      </c>
      <c r="E17" s="131" t="s">
        <v>64</v>
      </c>
      <c r="F17" s="132" t="s">
        <v>65</v>
      </c>
      <c r="G17" s="133">
        <v>5.9999999999999995E-4</v>
      </c>
      <c r="H17" s="119" t="s">
        <v>66</v>
      </c>
      <c r="I17" s="134"/>
      <c r="J17" s="135"/>
      <c r="K17" s="136"/>
    </row>
    <row r="18" spans="1:11" ht="20.149999999999999" customHeight="1">
      <c r="A18" s="137" t="s">
        <v>67</v>
      </c>
      <c r="B18" s="138" t="s">
        <v>68</v>
      </c>
      <c r="C18" s="139">
        <f>0.000308463*C16*C16+0.0020867*C16</f>
        <v>5.2051130384839543E-2</v>
      </c>
      <c r="D18" s="140" t="s">
        <v>69</v>
      </c>
      <c r="E18" s="141" t="s">
        <v>70</v>
      </c>
      <c r="F18" s="103" t="s">
        <v>71</v>
      </c>
      <c r="G18" s="108">
        <v>0</v>
      </c>
      <c r="H18" s="109" t="s">
        <v>72</v>
      </c>
      <c r="I18" s="142"/>
      <c r="J18" s="143"/>
      <c r="K18" s="144"/>
    </row>
    <row r="19" spans="1:11" ht="20.149999999999999" customHeight="1">
      <c r="A19" s="145" t="s">
        <v>73</v>
      </c>
      <c r="B19" s="146" t="s">
        <v>74</v>
      </c>
      <c r="C19" s="147"/>
      <c r="D19" s="115"/>
      <c r="E19" s="148" t="s">
        <v>75</v>
      </c>
      <c r="F19" s="149" t="s">
        <v>76</v>
      </c>
      <c r="G19" s="150">
        <v>2500</v>
      </c>
      <c r="H19" s="151" t="s">
        <v>77</v>
      </c>
      <c r="I19" s="152"/>
      <c r="J19" s="152"/>
      <c r="K19" s="153"/>
    </row>
    <row r="20" spans="1:11" ht="20.149999999999999" customHeight="1">
      <c r="A20" s="154" t="s">
        <v>78</v>
      </c>
      <c r="B20" s="58" t="s">
        <v>79</v>
      </c>
      <c r="C20" s="155">
        <f>C15*C18</f>
        <v>2.2249696923293521E-4</v>
      </c>
      <c r="D20" s="60" t="s">
        <v>53</v>
      </c>
      <c r="E20" s="116" t="s">
        <v>80</v>
      </c>
      <c r="F20" s="132" t="s">
        <v>81</v>
      </c>
      <c r="G20" s="156">
        <v>2500</v>
      </c>
      <c r="H20" s="119" t="s">
        <v>82</v>
      </c>
      <c r="I20" s="120"/>
      <c r="J20" s="120"/>
      <c r="K20" s="121"/>
    </row>
    <row r="21" spans="1:11" ht="20.149999999999999" customHeight="1" thickBot="1">
      <c r="A21" s="157"/>
      <c r="B21" s="158"/>
      <c r="C21" s="159"/>
      <c r="D21" s="160"/>
      <c r="E21" s="161" t="s">
        <v>83</v>
      </c>
      <c r="F21" s="162" t="s">
        <v>84</v>
      </c>
      <c r="G21" s="163">
        <f>G14+(G15*(G19-G18)*0.01)</f>
        <v>82.5</v>
      </c>
      <c r="H21" s="164" t="s">
        <v>50</v>
      </c>
      <c r="I21" s="165" t="s">
        <v>85</v>
      </c>
      <c r="J21" s="163">
        <f>G21*9/5+32</f>
        <v>180.5</v>
      </c>
      <c r="K21" s="166" t="s">
        <v>86</v>
      </c>
    </row>
    <row r="22" spans="1:11" ht="24" customHeight="1">
      <c r="A22" s="167" t="s">
        <v>87</v>
      </c>
      <c r="B22" s="168"/>
      <c r="C22" s="168"/>
      <c r="D22" s="169"/>
      <c r="E22" s="170" t="s">
        <v>88</v>
      </c>
      <c r="F22" s="171"/>
      <c r="G22" s="171"/>
      <c r="H22" s="172"/>
      <c r="I22" s="173"/>
      <c r="J22" s="173"/>
      <c r="K22" s="174"/>
    </row>
    <row r="23" spans="1:11" ht="19.5" customHeight="1">
      <c r="A23" s="175"/>
      <c r="B23" s="176"/>
      <c r="C23" s="176"/>
      <c r="D23" s="177"/>
      <c r="E23" s="178" t="s">
        <v>89</v>
      </c>
      <c r="F23" s="179" t="s">
        <v>90</v>
      </c>
      <c r="G23" s="180">
        <v>1</v>
      </c>
      <c r="H23" s="181" t="s">
        <v>91</v>
      </c>
      <c r="I23" s="182"/>
      <c r="J23" s="183" t="s">
        <v>92</v>
      </c>
      <c r="K23" s="184"/>
    </row>
    <row r="24" spans="1:11" ht="19.5" customHeight="1">
      <c r="A24" s="185" t="s">
        <v>93</v>
      </c>
      <c r="B24" s="103" t="s">
        <v>94</v>
      </c>
      <c r="C24" s="186">
        <f>4*G10*COS(C11/180*PI())/G11/(G5-G7)/(G23*C20/10)/100</f>
        <v>88.187187553158765</v>
      </c>
      <c r="D24" s="30" t="s">
        <v>95</v>
      </c>
      <c r="E24" s="124" t="s">
        <v>96</v>
      </c>
      <c r="F24" s="103" t="s">
        <v>97</v>
      </c>
      <c r="G24" s="104">
        <f>G26-G25</f>
        <v>35</v>
      </c>
      <c r="H24" s="30" t="s">
        <v>95</v>
      </c>
      <c r="I24" s="187" t="str">
        <f>IF(OR(G24&gt;C24,G24&gt;G26),IF(G26="","","←Error!"),"")</f>
        <v/>
      </c>
      <c r="J24" s="188">
        <f>IF(G24&gt;0,C24/G24,"")</f>
        <v>2.5196339300902504</v>
      </c>
      <c r="K24" s="189"/>
    </row>
    <row r="25" spans="1:11" ht="19.5" customHeight="1">
      <c r="A25" s="190" t="s">
        <v>98</v>
      </c>
      <c r="B25" s="132" t="s">
        <v>99</v>
      </c>
      <c r="C25" s="191">
        <f>4*G9*COS(C11/180*PI())/G11/(G5-G6)/(G23*C20/10)/100</f>
        <v>217.41237646059108</v>
      </c>
      <c r="D25" s="51" t="s">
        <v>95</v>
      </c>
      <c r="E25" s="192" t="s">
        <v>100</v>
      </c>
      <c r="F25" s="132" t="s">
        <v>101</v>
      </c>
      <c r="G25" s="193">
        <v>165</v>
      </c>
      <c r="H25" s="51" t="s">
        <v>95</v>
      </c>
      <c r="I25" s="187" t="str">
        <f>IF(OR(G25&gt;C25,G25&gt;G26),IF(G26="","","←Error!"),"")</f>
        <v/>
      </c>
      <c r="J25" s="194">
        <f>IF(G25&gt;0,C25/G25,"")</f>
        <v>1.3176507664278247</v>
      </c>
      <c r="K25" s="189"/>
    </row>
    <row r="26" spans="1:11" ht="19.5" customHeight="1">
      <c r="A26" s="195"/>
      <c r="B26" s="196"/>
      <c r="C26" s="196"/>
      <c r="D26" s="197"/>
      <c r="E26" s="198" t="s">
        <v>102</v>
      </c>
      <c r="F26" s="199" t="s">
        <v>103</v>
      </c>
      <c r="G26" s="200">
        <v>200</v>
      </c>
      <c r="H26" s="201" t="s">
        <v>104</v>
      </c>
      <c r="I26" s="202"/>
      <c r="J26" s="203"/>
      <c r="K26" s="204"/>
    </row>
    <row r="27" spans="1:11" ht="19.5" customHeight="1">
      <c r="A27" s="205" t="s">
        <v>105</v>
      </c>
      <c r="B27" s="206"/>
      <c r="C27" s="206"/>
      <c r="D27" s="207"/>
      <c r="E27" s="208"/>
      <c r="F27" s="209" t="s">
        <v>106</v>
      </c>
      <c r="G27" s="110"/>
      <c r="H27" s="210"/>
      <c r="I27" s="211" t="s">
        <v>107</v>
      </c>
      <c r="J27" s="212"/>
      <c r="K27" s="213"/>
    </row>
    <row r="28" spans="1:11" ht="19.5" customHeight="1">
      <c r="A28" s="251" t="str">
        <f>IF(OR(G26="",G26&lt;=0),"Enter your closure height (Ht) in meter, please!",IF(G26&gt;C25,"Pure Capillary Limited Trap",IF(AND(G26&lt;=C25,G26&gt;C24),"Capillary/Spill-point Mixed Trap","Pure Spill-point Limited Trap")))</f>
        <v>Capillary/Spill-point Mixed Trap</v>
      </c>
      <c r="B28" s="252"/>
      <c r="C28" s="252"/>
      <c r="D28" s="253"/>
      <c r="E28" s="214"/>
      <c r="F28" s="215"/>
      <c r="G28" s="216">
        <f>IF(AND(G24=0,G25=0),"",1000*(($G$25*($G$11/100)*($G$5-$G$6))+($G$24*($G$11/100)*($G$5-$G$7))+$I$5))</f>
        <v>703080.09372534126</v>
      </c>
      <c r="H28" s="217" t="s">
        <v>108</v>
      </c>
      <c r="I28" s="218"/>
      <c r="J28" s="219">
        <f>IF(OR(G24="",G24&lt;=0),IF(G25&gt;0, 2*COS(C11/180*PI())*$G$9/($C$20/2)-I5*1000,""), 2*COS(C11/180*PI())*$G$10/($C$20/2)-I5*1000)</f>
        <v>694070.44480535167</v>
      </c>
      <c r="K28" s="220" t="s">
        <v>109</v>
      </c>
    </row>
    <row r="29" spans="1:11" ht="19.5" customHeight="1">
      <c r="A29" s="221" t="str">
        <f>IF(A28="Capillary/Spill-point Mixed Trap","IF (Hco=Ht) ...","")</f>
        <v>IF (Hco=Ht) ...</v>
      </c>
      <c r="B29" s="222"/>
      <c r="C29" s="223"/>
      <c r="D29" s="224"/>
      <c r="E29" s="214"/>
      <c r="F29" s="215"/>
      <c r="G29" s="225">
        <f>IF(G28="","",G28*0.145038*10^(-3))</f>
        <v>101.97333063373604</v>
      </c>
      <c r="H29" s="226" t="s">
        <v>110</v>
      </c>
      <c r="I29" s="218"/>
      <c r="J29" s="227">
        <f>IF(J28="","",J28*0.145038*10^(-3))</f>
        <v>100.6665891736786</v>
      </c>
      <c r="K29" s="228" t="s">
        <v>111</v>
      </c>
    </row>
    <row r="30" spans="1:11" ht="19.5" customHeight="1">
      <c r="A30" s="229" t="str">
        <f>IF(A28="Capillary/Spill-point Mixed Trap", "Min. Height from Top Seal to GOC", "")</f>
        <v>Min. Height from Top Seal to GOC</v>
      </c>
      <c r="B30" s="222" t="str">
        <f>IF(A28="Capillary/Spill-point Mixed Trap", "Hgoc", "")</f>
        <v>Hgoc</v>
      </c>
      <c r="C30" s="223">
        <f>IF(A28="Capillary/Spill-point Mixed Trap",(2*COS(C11/180*PI())*(G10-G9))/(G11/100*(C20/2/1000)*((I10-I9)*1000000)), "")</f>
        <v>24.744724474203853</v>
      </c>
      <c r="D30" s="224" t="str">
        <f>IF(A28="Capillary/Spill-point Mixed Trap", " (m)", "")</f>
        <v xml:space="preserve"> (m)</v>
      </c>
      <c r="E30" s="214"/>
      <c r="F30" s="230"/>
      <c r="G30" s="231">
        <f>IF(G29="","",G29*0.070307)</f>
        <v>7.1694389568660792</v>
      </c>
      <c r="H30" s="232" t="s">
        <v>112</v>
      </c>
      <c r="I30" s="233"/>
      <c r="J30" s="234">
        <f>IF(J29="","",J29*0.070307)</f>
        <v>7.0775658850338212</v>
      </c>
      <c r="K30" s="235" t="s">
        <v>113</v>
      </c>
    </row>
    <row r="31" spans="1:11" ht="19.5" customHeight="1" thickBot="1">
      <c r="A31" s="236"/>
      <c r="B31" s="237"/>
      <c r="C31" s="237"/>
      <c r="D31" s="238"/>
      <c r="E31" s="239"/>
      <c r="F31" s="240"/>
      <c r="G31" s="241"/>
      <c r="H31" s="242" t="s">
        <v>114</v>
      </c>
      <c r="I31" s="243" t="s">
        <v>115</v>
      </c>
      <c r="J31" s="241">
        <f>IF(G28="","",IF(OR(G24&lt;=0,G24=""),2*G9*COS(C11/180*PI())/G28*2, 2*G10*COS(C11/180*PI())/G28*2))</f>
        <v>2.1964577262469561E-4</v>
      </c>
      <c r="K31" s="244" t="s">
        <v>116</v>
      </c>
    </row>
    <row r="32" spans="1:11" ht="13.5" thickTop="1">
      <c r="A32" s="245"/>
      <c r="B32" s="245"/>
      <c r="C32" s="245"/>
      <c r="D32" s="245"/>
      <c r="E32" s="245"/>
      <c r="F32" s="245"/>
      <c r="G32" s="245"/>
      <c r="H32" s="245"/>
      <c r="I32" s="245"/>
      <c r="J32" s="245"/>
      <c r="K32" s="245"/>
    </row>
  </sheetData>
  <sheetProtection password="C67C" sheet="1" objects="1" scenarios="1" formatCells="0"/>
  <mergeCells count="2">
    <mergeCell ref="E8:F8"/>
    <mergeCell ref="A28:D28"/>
  </mergeCells>
  <phoneticPr fontId="2"/>
  <printOptions horizontalCentered="1" verticalCentered="1"/>
  <pageMargins left="0.39370078740157483" right="0.39370078740157483" top="0.59055118110236227" bottom="0.19685039370078741" header="0.51181102362204722" footer="0.51181102362204722"/>
  <pageSetup paperSize="9" scale="85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V.8.01</vt:lpstr>
      <vt:lpstr>V.8.01!Print_Area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</dc:creator>
  <cp:lastModifiedBy>中山一夫</cp:lastModifiedBy>
  <dcterms:created xsi:type="dcterms:W3CDTF">2018-12-05T08:49:35Z</dcterms:created>
  <dcterms:modified xsi:type="dcterms:W3CDTF">2018-12-12T08:05:08Z</dcterms:modified>
</cp:coreProperties>
</file>