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6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sfz751\Desktop\git.private\gas\inst\"/>
    </mc:Choice>
  </mc:AlternateContent>
  <bookViews>
    <workbookView xWindow="11700" yWindow="15" windowWidth="6420" windowHeight="9015" tabRatio="773" activeTab="4"/>
  </bookViews>
  <sheets>
    <sheet name="input" sheetId="6" r:id="rId1"/>
    <sheet name="Standing" sheetId="1" r:id="rId2"/>
    <sheet name="All GOR correlations" sheetId="9" r:id="rId3"/>
    <sheet name="Vasquez and Beggs" sheetId="4" r:id="rId4"/>
    <sheet name="Glaso" sheetId="5" r:id="rId5"/>
    <sheet name="Lasater" sheetId="2" r:id="rId6"/>
    <sheet name="Al-Marhoun" sheetId="3" r:id="rId7"/>
    <sheet name="Petrosky" sheetId="7" r:id="rId8"/>
    <sheet name="Kartoatmodjo" sheetId="8" r:id="rId9"/>
    <sheet name="sources" sheetId="10" r:id="rId10"/>
  </sheets>
  <definedNames>
    <definedName name="a">Glaso!$C$9</definedName>
    <definedName name="API">input!$C$5</definedName>
    <definedName name="b">Glaso!$C$10</definedName>
    <definedName name="cc">Glaso!$C$11</definedName>
    <definedName name="chi">Glaso!$C$7</definedName>
    <definedName name="chigor">Glaso!$C$12</definedName>
    <definedName name="chigorpet">Petrosky!$C$13</definedName>
    <definedName name="chipet">Petrosky!$C$10</definedName>
    <definedName name="F">'Al-Marhoun'!$C$10</definedName>
    <definedName name="GOR">input!$C$7</definedName>
    <definedName name="Mo">Lasater!$C$9</definedName>
    <definedName name="P">input!$C$3</definedName>
    <definedName name="PbSGgTR">Lasater!$C$13</definedName>
    <definedName name="SGg">input!$C$4</definedName>
    <definedName name="SGo">input!$C$6</definedName>
    <definedName name="startCell">'All GOR correlations'!$A$3</definedName>
    <definedName name="T">input!$C$2</definedName>
    <definedName name="y">Glaso!$C$14</definedName>
    <definedName name="yg">Lasater!$C$7</definedName>
    <definedName name="ygGOR">Lasater!$C$11</definedName>
  </definedNames>
  <calcPr calcId="171027"/>
</workbook>
</file>

<file path=xl/calcChain.xml><?xml version="1.0" encoding="utf-8"?>
<calcChain xmlns="http://schemas.openxmlformats.org/spreadsheetml/2006/main">
  <c r="C16" i="5" l="1"/>
  <c r="C16" i="1" l="1"/>
  <c r="N5" i="9"/>
  <c r="W6" i="9"/>
  <c r="W7" i="9"/>
  <c r="C22" i="1"/>
  <c r="C21" i="1"/>
  <c r="C20" i="1"/>
  <c r="C19" i="1"/>
  <c r="C7" i="1"/>
  <c r="C3" i="8" l="1"/>
  <c r="G8" i="6" s="1"/>
  <c r="C5" i="1" l="1"/>
  <c r="C6" i="1"/>
  <c r="C4" i="1"/>
  <c r="C3" i="1"/>
  <c r="C9" i="1"/>
  <c r="G2" i="6" s="1"/>
  <c r="L10" i="1" l="1"/>
  <c r="L9" i="1"/>
  <c r="L8" i="1"/>
  <c r="L7" i="1"/>
  <c r="L6" i="1"/>
  <c r="L5" i="1"/>
  <c r="L4" i="1"/>
  <c r="L3" i="1"/>
  <c r="L2" i="1"/>
  <c r="B7" i="9"/>
  <c r="C7" i="9" s="1"/>
  <c r="H7" i="9" s="1"/>
  <c r="D7" i="9"/>
  <c r="E7" i="9" s="1"/>
  <c r="F7" i="9"/>
  <c r="G7" i="9"/>
  <c r="L7" i="9"/>
  <c r="G13" i="9"/>
  <c r="G12" i="9"/>
  <c r="G11" i="9"/>
  <c r="G10" i="9"/>
  <c r="G9" i="9"/>
  <c r="G8" i="9"/>
  <c r="G6" i="9"/>
  <c r="G5" i="9"/>
  <c r="G4" i="9"/>
  <c r="G3" i="9"/>
  <c r="F13" i="1"/>
  <c r="C13" i="1"/>
  <c r="H17" i="6" s="1"/>
  <c r="D13" i="9"/>
  <c r="E13" i="9" s="1"/>
  <c r="D12" i="9"/>
  <c r="E12" i="9" s="1"/>
  <c r="D11" i="9"/>
  <c r="E11" i="9" s="1"/>
  <c r="D10" i="9"/>
  <c r="E10" i="9" s="1"/>
  <c r="D9" i="9"/>
  <c r="E9" i="9" s="1"/>
  <c r="D8" i="9"/>
  <c r="E8" i="9" s="1"/>
  <c r="D6" i="9"/>
  <c r="E6" i="9" s="1"/>
  <c r="D5" i="9"/>
  <c r="E5" i="9" s="1"/>
  <c r="D4" i="9"/>
  <c r="E4" i="9" s="1"/>
  <c r="D3" i="9"/>
  <c r="E3" i="9" s="1"/>
  <c r="J9" i="2"/>
  <c r="K9" i="2" s="1"/>
  <c r="J8" i="2"/>
  <c r="K8" i="2" s="1"/>
  <c r="J7" i="2"/>
  <c r="K7" i="2" s="1"/>
  <c r="J6" i="2"/>
  <c r="K6" i="2" s="1"/>
  <c r="J5" i="2"/>
  <c r="K5" i="2" s="1"/>
  <c r="J4" i="2"/>
  <c r="K4" i="2" s="1"/>
  <c r="J3" i="2"/>
  <c r="K3" i="2" s="1"/>
  <c r="J12" i="2"/>
  <c r="K12" i="2" s="1"/>
  <c r="J11" i="2"/>
  <c r="K11" i="2" s="1"/>
  <c r="J10" i="2"/>
  <c r="K10" i="2" s="1"/>
  <c r="C9" i="2"/>
  <c r="C13" i="2"/>
  <c r="C11" i="2" s="1"/>
  <c r="L13" i="9"/>
  <c r="L12" i="9"/>
  <c r="L10" i="9"/>
  <c r="L9" i="9"/>
  <c r="L8" i="9"/>
  <c r="L6" i="9"/>
  <c r="L5" i="9"/>
  <c r="L4" i="9"/>
  <c r="L3" i="9"/>
  <c r="L11" i="9"/>
  <c r="I12" i="8"/>
  <c r="I11" i="8"/>
  <c r="I9" i="8"/>
  <c r="I8" i="8"/>
  <c r="I7" i="8"/>
  <c r="I6" i="8"/>
  <c r="I5" i="8"/>
  <c r="I4" i="8"/>
  <c r="I3" i="8"/>
  <c r="I10" i="8"/>
  <c r="C4" i="8"/>
  <c r="C27" i="8"/>
  <c r="C13" i="7"/>
  <c r="C4" i="7" s="1"/>
  <c r="H21" i="6" s="1"/>
  <c r="B13" i="9"/>
  <c r="C13" i="9" s="1"/>
  <c r="H13" i="9" s="1"/>
  <c r="B12" i="9"/>
  <c r="C12" i="9" s="1"/>
  <c r="H12" i="9" s="1"/>
  <c r="B11" i="9"/>
  <c r="C11" i="9" s="1"/>
  <c r="H11" i="9" s="1"/>
  <c r="B10" i="9"/>
  <c r="C10" i="9" s="1"/>
  <c r="H10" i="9" s="1"/>
  <c r="B9" i="9"/>
  <c r="C9" i="9" s="1"/>
  <c r="H9" i="9" s="1"/>
  <c r="B8" i="9"/>
  <c r="C8" i="9" s="1"/>
  <c r="H8" i="9" s="1"/>
  <c r="B6" i="9"/>
  <c r="C6" i="9" s="1"/>
  <c r="H6" i="9" s="1"/>
  <c r="B5" i="9"/>
  <c r="C5" i="9" s="1"/>
  <c r="H5" i="9" s="1"/>
  <c r="B4" i="9"/>
  <c r="C4" i="9" s="1"/>
  <c r="H4" i="9" s="1"/>
  <c r="B3" i="9"/>
  <c r="C3" i="9" s="1"/>
  <c r="H3" i="9" s="1"/>
  <c r="F13" i="9"/>
  <c r="F12" i="9"/>
  <c r="F11" i="9"/>
  <c r="F10" i="9"/>
  <c r="F9" i="9"/>
  <c r="F8" i="9"/>
  <c r="F6" i="9"/>
  <c r="F5" i="9"/>
  <c r="F4" i="9"/>
  <c r="F3" i="9"/>
  <c r="C3" i="4"/>
  <c r="H18" i="6" s="1"/>
  <c r="K10" i="1"/>
  <c r="K9" i="1"/>
  <c r="K8" i="1"/>
  <c r="K7" i="1"/>
  <c r="K6" i="1"/>
  <c r="K5" i="1"/>
  <c r="K4" i="1"/>
  <c r="K3" i="1"/>
  <c r="K2" i="1"/>
  <c r="E6" i="1"/>
  <c r="C10" i="7"/>
  <c r="C3" i="7" s="1"/>
  <c r="G6" i="6" s="1"/>
  <c r="C5" i="4"/>
  <c r="H11" i="6" s="1"/>
  <c r="C4" i="4"/>
  <c r="G3" i="6" s="1"/>
  <c r="C11" i="5"/>
  <c r="C12" i="5" s="1"/>
  <c r="C7" i="5"/>
  <c r="C3" i="5" s="1"/>
  <c r="G4" i="6" s="1"/>
  <c r="C6" i="6"/>
  <c r="J13" i="9" s="1"/>
  <c r="R13" i="9" s="1"/>
  <c r="S13" i="9" s="1"/>
  <c r="M2" i="1" l="1"/>
  <c r="M4" i="1"/>
  <c r="M6" i="1"/>
  <c r="M8" i="1"/>
  <c r="M10" i="1"/>
  <c r="P3" i="9"/>
  <c r="Q3" i="9" s="1"/>
  <c r="P5" i="9"/>
  <c r="Q5" i="9" s="1"/>
  <c r="P8" i="9"/>
  <c r="Q8" i="9" s="1"/>
  <c r="P10" i="9"/>
  <c r="Q10" i="9" s="1"/>
  <c r="P12" i="9"/>
  <c r="Q12" i="9" s="1"/>
  <c r="O3" i="9"/>
  <c r="O5" i="9"/>
  <c r="O8" i="9"/>
  <c r="O10" i="9"/>
  <c r="O12" i="9"/>
  <c r="O7" i="9"/>
  <c r="I7" i="9"/>
  <c r="C5" i="8"/>
  <c r="C6" i="8" s="1"/>
  <c r="P4" i="9"/>
  <c r="Q4" i="9" s="1"/>
  <c r="P6" i="9"/>
  <c r="Q6" i="9" s="1"/>
  <c r="P9" i="9"/>
  <c r="Q9" i="9" s="1"/>
  <c r="P11" i="9"/>
  <c r="Q11" i="9" s="1"/>
  <c r="P13" i="9"/>
  <c r="Q13" i="9" s="1"/>
  <c r="O4" i="9"/>
  <c r="O6" i="9"/>
  <c r="O9" i="9"/>
  <c r="O11" i="9"/>
  <c r="O13" i="9"/>
  <c r="J7" i="9"/>
  <c r="R7" i="9" s="1"/>
  <c r="S7" i="9" s="1"/>
  <c r="P7" i="9"/>
  <c r="Q7" i="9" s="1"/>
  <c r="M3" i="1"/>
  <c r="M5" i="1"/>
  <c r="M7" i="1"/>
  <c r="M9" i="1"/>
  <c r="K7" i="9"/>
  <c r="N6" i="9"/>
  <c r="N4" i="9"/>
  <c r="N10" i="9"/>
  <c r="N13" i="9"/>
  <c r="N9" i="9"/>
  <c r="N12" i="9"/>
  <c r="N8" i="9"/>
  <c r="N11" i="9"/>
  <c r="N7" i="9"/>
  <c r="N3" i="9"/>
  <c r="T11" i="9"/>
  <c r="U11" i="9" s="1"/>
  <c r="T7" i="9"/>
  <c r="U7" i="9" s="1"/>
  <c r="T3" i="9"/>
  <c r="U3" i="9" s="1"/>
  <c r="T10" i="9"/>
  <c r="U10" i="9" s="1"/>
  <c r="T6" i="9"/>
  <c r="U6" i="9" s="1"/>
  <c r="T13" i="9"/>
  <c r="U13" i="9" s="1"/>
  <c r="T9" i="9"/>
  <c r="U9" i="9" s="1"/>
  <c r="T5" i="9"/>
  <c r="U5" i="9" s="1"/>
  <c r="T12" i="9"/>
  <c r="U12" i="9" s="1"/>
  <c r="T8" i="9"/>
  <c r="U8" i="9" s="1"/>
  <c r="T4" i="9"/>
  <c r="U4" i="9" s="1"/>
  <c r="H10" i="6"/>
  <c r="C3" i="3"/>
  <c r="G5" i="6" s="1"/>
  <c r="J3" i="9"/>
  <c r="R3" i="9" s="1"/>
  <c r="S3" i="9" s="1"/>
  <c r="J8" i="9"/>
  <c r="R8" i="9" s="1"/>
  <c r="S8" i="9" s="1"/>
  <c r="J12" i="9"/>
  <c r="R12" i="9" s="1"/>
  <c r="S12" i="9" s="1"/>
  <c r="I4" i="7"/>
  <c r="I8" i="7"/>
  <c r="K3" i="9"/>
  <c r="K8" i="9"/>
  <c r="K12" i="9"/>
  <c r="L10" i="2"/>
  <c r="L4" i="2"/>
  <c r="L8" i="2"/>
  <c r="I5" i="9"/>
  <c r="I10" i="9"/>
  <c r="C7" i="2"/>
  <c r="C3" i="2" s="1"/>
  <c r="G7" i="6" s="1"/>
  <c r="C14" i="5"/>
  <c r="C5" i="5" s="1"/>
  <c r="G12" i="6" s="1"/>
  <c r="J6" i="9"/>
  <c r="R6" i="9" s="1"/>
  <c r="S6" i="9" s="1"/>
  <c r="J11" i="9"/>
  <c r="R11" i="9" s="1"/>
  <c r="S11" i="9" s="1"/>
  <c r="I3" i="7"/>
  <c r="I7" i="7"/>
  <c r="I11" i="7"/>
  <c r="K6" i="9"/>
  <c r="K11" i="9"/>
  <c r="L3" i="2"/>
  <c r="L7" i="2"/>
  <c r="I4" i="9"/>
  <c r="I9" i="9"/>
  <c r="I13" i="9"/>
  <c r="C10" i="3"/>
  <c r="C7" i="3" s="1"/>
  <c r="H13" i="6" s="1"/>
  <c r="J5" i="9"/>
  <c r="R5" i="9" s="1"/>
  <c r="S5" i="9" s="1"/>
  <c r="J10" i="9"/>
  <c r="R10" i="9" s="1"/>
  <c r="S10" i="9" s="1"/>
  <c r="I12" i="7"/>
  <c r="I6" i="7"/>
  <c r="I10" i="7"/>
  <c r="K5" i="9"/>
  <c r="K10" i="9"/>
  <c r="C5" i="2"/>
  <c r="H22" i="6" s="1"/>
  <c r="L12" i="2"/>
  <c r="L6" i="2"/>
  <c r="I8" i="9"/>
  <c r="I12" i="9"/>
  <c r="C5" i="3"/>
  <c r="H20" i="6" s="1"/>
  <c r="J4" i="9"/>
  <c r="R4" i="9" s="1"/>
  <c r="S4" i="9" s="1"/>
  <c r="J9" i="9"/>
  <c r="R9" i="9" s="1"/>
  <c r="S9" i="9" s="1"/>
  <c r="I5" i="7"/>
  <c r="I9" i="7"/>
  <c r="K4" i="9"/>
  <c r="K9" i="9"/>
  <c r="K13" i="9"/>
  <c r="L11" i="2"/>
  <c r="L5" i="2"/>
  <c r="L9" i="2"/>
  <c r="I6" i="9"/>
  <c r="I11" i="9"/>
  <c r="I3" i="9"/>
  <c r="C4" i="5"/>
  <c r="H19" i="6" s="1"/>
</calcChain>
</file>

<file path=xl/comments1.xml><?xml version="1.0" encoding="utf-8"?>
<comments xmlns="http://schemas.openxmlformats.org/spreadsheetml/2006/main">
  <authors>
    <author>Alfonso R Reyes (PE/PCSB)</author>
  </authors>
  <commentList>
    <comment ref="C2" authorId="0" shapeId="0">
      <text>
        <r>
          <rPr>
            <b/>
            <sz val="9"/>
            <color indexed="81"/>
            <rFont val="Tahoma"/>
            <family val="2"/>
          </rPr>
          <t>Temperature, deg F</t>
        </r>
      </text>
    </comment>
    <comment ref="C3" authorId="0" shapeId="0">
      <text>
        <r>
          <rPr>
            <b/>
            <sz val="9"/>
            <color indexed="81"/>
            <rFont val="Tahoma"/>
            <family val="2"/>
          </rPr>
          <t>Bubble Point Pressure, psi</t>
        </r>
      </text>
    </comment>
    <comment ref="C4" authorId="0" shapeId="0">
      <text>
        <r>
          <rPr>
            <b/>
            <sz val="9"/>
            <color indexed="81"/>
            <rFont val="Tahoma"/>
            <family val="2"/>
          </rPr>
          <t>Gas, Specific Gravity</t>
        </r>
      </text>
    </comment>
    <comment ref="C5" authorId="0" shapeId="0">
      <text>
        <r>
          <rPr>
            <b/>
            <sz val="9"/>
            <color indexed="81"/>
            <rFont val="Tahoma"/>
            <family val="2"/>
          </rPr>
          <t>Oil gravity in API</t>
        </r>
      </text>
    </comment>
    <comment ref="C7" authorId="0" shapeId="0">
      <text>
        <r>
          <rPr>
            <b/>
            <sz val="9"/>
            <color indexed="81"/>
            <rFont val="Tahoma"/>
            <family val="2"/>
          </rPr>
          <t>Enter value of GOR only to be used in the standalone worksheets</t>
        </r>
      </text>
    </comment>
  </commentList>
</comments>
</file>

<file path=xl/sharedStrings.xml><?xml version="1.0" encoding="utf-8"?>
<sst xmlns="http://schemas.openxmlformats.org/spreadsheetml/2006/main" count="167" uniqueCount="101">
  <si>
    <t>Standing</t>
  </si>
  <si>
    <t>Pb</t>
  </si>
  <si>
    <t>Rs</t>
  </si>
  <si>
    <t>SGg</t>
  </si>
  <si>
    <t>API</t>
  </si>
  <si>
    <t>T</t>
  </si>
  <si>
    <t>Find Bubble Pressure (Pb) given:</t>
  </si>
  <si>
    <t>scf/STB</t>
  </si>
  <si>
    <t>F</t>
  </si>
  <si>
    <t>Solution:</t>
  </si>
  <si>
    <t>Pb =</t>
  </si>
  <si>
    <t>psig</t>
  </si>
  <si>
    <t>GOR =</t>
  </si>
  <si>
    <t>Vasquez and Beggs</t>
  </si>
  <si>
    <t>Coefficient</t>
  </si>
  <si>
    <r>
      <t>γ</t>
    </r>
    <r>
      <rPr>
        <vertAlign val="subscript"/>
        <sz val="11"/>
        <color theme="1"/>
        <rFont val="Arial"/>
        <family val="2"/>
      </rPr>
      <t>o</t>
    </r>
    <r>
      <rPr>
        <sz val="11"/>
        <color theme="1"/>
        <rFont val="Arial"/>
        <family val="2"/>
      </rPr>
      <t> ≤ 30</t>
    </r>
    <r>
      <rPr>
        <vertAlign val="superscript"/>
        <sz val="8"/>
        <color theme="1"/>
        <rFont val="Arial"/>
        <family val="2"/>
      </rPr>
      <t>o</t>
    </r>
    <r>
      <rPr>
        <sz val="11"/>
        <color theme="1"/>
        <rFont val="Arial"/>
        <family val="2"/>
      </rPr>
      <t> API</t>
    </r>
  </si>
  <si>
    <r>
      <t>γ</t>
    </r>
    <r>
      <rPr>
        <vertAlign val="subscript"/>
        <sz val="11"/>
        <color theme="1"/>
        <rFont val="Arial"/>
        <family val="2"/>
      </rPr>
      <t>o</t>
    </r>
    <r>
      <rPr>
        <sz val="11"/>
        <color theme="1"/>
        <rFont val="Arial"/>
        <family val="2"/>
      </rPr>
      <t> &gt; 30</t>
    </r>
    <r>
      <rPr>
        <vertAlign val="superscript"/>
        <sz val="8"/>
        <color theme="1"/>
        <rFont val="Arial"/>
        <family val="2"/>
      </rPr>
      <t>o</t>
    </r>
    <r>
      <rPr>
        <sz val="11"/>
        <color theme="1"/>
        <rFont val="Arial"/>
        <family val="2"/>
      </rPr>
      <t> API</t>
    </r>
  </si>
  <si>
    <r>
      <t>C</t>
    </r>
    <r>
      <rPr>
        <vertAlign val="subscript"/>
        <sz val="8"/>
        <color theme="1"/>
        <rFont val="Arial"/>
        <family val="2"/>
      </rPr>
      <t>1</t>
    </r>
  </si>
  <si>
    <r>
      <t>C</t>
    </r>
    <r>
      <rPr>
        <vertAlign val="subscript"/>
        <sz val="8"/>
        <color theme="1"/>
        <rFont val="Arial"/>
        <family val="2"/>
      </rPr>
      <t>2</t>
    </r>
  </si>
  <si>
    <r>
      <t>C</t>
    </r>
    <r>
      <rPr>
        <vertAlign val="subscript"/>
        <sz val="8"/>
        <color theme="1"/>
        <rFont val="Arial"/>
        <family val="2"/>
      </rPr>
      <t>3</t>
    </r>
  </si>
  <si>
    <r>
      <t>A</t>
    </r>
    <r>
      <rPr>
        <vertAlign val="subscript"/>
        <sz val="8"/>
        <color theme="1"/>
        <rFont val="Arial"/>
        <family val="2"/>
      </rPr>
      <t>1</t>
    </r>
  </si>
  <si>
    <r>
      <t>A</t>
    </r>
    <r>
      <rPr>
        <vertAlign val="subscript"/>
        <sz val="8"/>
        <color theme="1"/>
        <rFont val="Arial"/>
        <family val="2"/>
      </rPr>
      <t>2</t>
    </r>
  </si>
  <si>
    <r>
      <t>A</t>
    </r>
    <r>
      <rPr>
        <vertAlign val="subscript"/>
        <sz val="8"/>
        <color theme="1"/>
        <rFont val="Arial"/>
        <family val="2"/>
      </rPr>
      <t>3</t>
    </r>
  </si>
  <si>
    <t>Find Bo:</t>
  </si>
  <si>
    <t>Bo</t>
  </si>
  <si>
    <t>GOR</t>
  </si>
  <si>
    <t>SGo</t>
  </si>
  <si>
    <t>Bo (underSat)</t>
  </si>
  <si>
    <t>Bo (Sat)</t>
  </si>
  <si>
    <t>Glaso</t>
  </si>
  <si>
    <t>chi</t>
  </si>
  <si>
    <t>chigor</t>
  </si>
  <si>
    <t>a</t>
  </si>
  <si>
    <t>b</t>
  </si>
  <si>
    <t>c</t>
  </si>
  <si>
    <t>P</t>
  </si>
  <si>
    <t>°F</t>
  </si>
  <si>
    <t>yg</t>
  </si>
  <si>
    <t>Mo</t>
  </si>
  <si>
    <t>Lasater</t>
  </si>
  <si>
    <r>
      <t>API</t>
    </r>
    <r>
      <rPr>
        <sz val="11"/>
        <color theme="1"/>
        <rFont val="Arial"/>
        <family val="2"/>
      </rPr>
      <t> ≤ 30</t>
    </r>
    <r>
      <rPr>
        <vertAlign val="superscript"/>
        <sz val="8"/>
        <color theme="1"/>
        <rFont val="Arial"/>
        <family val="2"/>
      </rPr>
      <t>o</t>
    </r>
    <r>
      <rPr>
        <sz val="11"/>
        <color theme="1"/>
        <rFont val="Arial"/>
        <family val="2"/>
      </rPr>
      <t> </t>
    </r>
  </si>
  <si>
    <r>
      <t>API</t>
    </r>
    <r>
      <rPr>
        <sz val="11"/>
        <color theme="1"/>
        <rFont val="Arial"/>
        <family val="2"/>
      </rPr>
      <t> &gt; 30</t>
    </r>
    <r>
      <rPr>
        <vertAlign val="superscript"/>
        <sz val="8"/>
        <color theme="1"/>
        <rFont val="Arial"/>
        <family val="2"/>
      </rPr>
      <t>o</t>
    </r>
  </si>
  <si>
    <t>bbl/STB</t>
  </si>
  <si>
    <t>y</t>
  </si>
  <si>
    <t>Al-Marhoun</t>
  </si>
  <si>
    <t>Rsb</t>
  </si>
  <si>
    <t>Petrosky</t>
  </si>
  <si>
    <t>chiPet</t>
  </si>
  <si>
    <t>Bob</t>
  </si>
  <si>
    <t>Vasquez</t>
  </si>
  <si>
    <t>Al Marhoun</t>
  </si>
  <si>
    <t>chigorPet</t>
  </si>
  <si>
    <t>Kartoatmodjo</t>
  </si>
  <si>
    <t>ygGOR</t>
  </si>
  <si>
    <t>PbSGgTR</t>
  </si>
  <si>
    <t>for Rs calculation</t>
  </si>
  <si>
    <t>for Pb calculation</t>
  </si>
  <si>
    <t>for Pb and Rs calculation</t>
  </si>
  <si>
    <t>point1</t>
  </si>
  <si>
    <t>gla_c</t>
  </si>
  <si>
    <t>gla_chigor</t>
  </si>
  <si>
    <t>las_PbSGgTR</t>
  </si>
  <si>
    <t>las_ygGOR</t>
  </si>
  <si>
    <t>point</t>
  </si>
  <si>
    <t>st_Rs</t>
  </si>
  <si>
    <t>st_Bo</t>
  </si>
  <si>
    <t>gl_y</t>
  </si>
  <si>
    <t>am_F</t>
  </si>
  <si>
    <t>kar_F</t>
  </si>
  <si>
    <t>VazquezBeggs</t>
  </si>
  <si>
    <t>Bo.Standing</t>
  </si>
  <si>
    <t>Bo.Vazquez</t>
  </si>
  <si>
    <t>Bo.Glaso</t>
  </si>
  <si>
    <t>Bo.Al-Marhoun</t>
  </si>
  <si>
    <t>Bo.Kartoatmodjo</t>
  </si>
  <si>
    <t>PboStanding</t>
  </si>
  <si>
    <t>PboVasquezBeggs</t>
  </si>
  <si>
    <t>PboGlaso</t>
  </si>
  <si>
    <t>PboAlMarhoun</t>
  </si>
  <si>
    <t>PboPetroskyFarshad</t>
  </si>
  <si>
    <t>RsoUSatStanding</t>
  </si>
  <si>
    <t>RsoUsatVasquezBeggs</t>
  </si>
  <si>
    <t>RsoUSatGlaso</t>
  </si>
  <si>
    <t>RsoUSatAlMarhoun</t>
  </si>
  <si>
    <t>RsoUSatPetroskyFarshad</t>
  </si>
  <si>
    <t>Usat</t>
  </si>
  <si>
    <t>Sat</t>
  </si>
  <si>
    <t>Bo.Sat</t>
  </si>
  <si>
    <t>Bo.Usat</t>
  </si>
  <si>
    <t>PboLassater</t>
  </si>
  <si>
    <t>BoLassater</t>
  </si>
  <si>
    <t>BoStanding</t>
  </si>
  <si>
    <t>BoVasquezBeggs</t>
  </si>
  <si>
    <t>BoGlaso</t>
  </si>
  <si>
    <t>BoAlMarhoun</t>
  </si>
  <si>
    <t>BoPetroskyFarshad</t>
  </si>
  <si>
    <t>RsoLassater</t>
  </si>
  <si>
    <t>PboKartoatmodjo</t>
  </si>
  <si>
    <t>Find Sol GOR (Rs):</t>
  </si>
  <si>
    <t>Rs =</t>
  </si>
  <si>
    <t>Sgo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</si>
</sst>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0000"/>
    <numFmt numFmtId="166" formatCode="0.0000"/>
  </numFmts>
  <fonts count="15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4"/>
      <color rgb="FF0000FF"/>
      <name val="Calibri"/>
      <family val="2"/>
      <scheme val="minor"/>
    </font>
    <font>
      <sz val="10"/>
      <color rgb="FF000000"/>
      <name val="Arial"/>
      <family val="2"/>
    </font>
    <font>
      <sz val="11"/>
      <color theme="1"/>
      <name val="Arial"/>
      <family val="2"/>
    </font>
    <font>
      <vertAlign val="subscript"/>
      <sz val="11"/>
      <color theme="1"/>
      <name val="Arial"/>
      <family val="2"/>
    </font>
    <font>
      <vertAlign val="superscript"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11"/>
      <color rgb="FF3F3F76"/>
      <name val="Calibri"/>
      <family val="2"/>
      <scheme val="minor"/>
    </font>
    <font>
      <b/>
      <sz val="9"/>
      <color indexed="81"/>
      <name val="Tahoma"/>
      <family val="2"/>
    </font>
    <font>
      <sz val="1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CC99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  <xf numFmtId="0" fontId="12" fillId="4" borderId="1" applyNumberFormat="0" applyAlignment="0" applyProtection="0"/>
  </cellStyleXfs>
  <cellXfs count="27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8" fillId="0" borderId="3" xfId="0" applyFont="1" applyBorder="1" applyAlignment="1">
      <alignment horizontal="center" wrapText="1"/>
    </xf>
    <xf numFmtId="0" fontId="7" fillId="0" borderId="0" xfId="0" applyFont="1" applyAlignment="1">
      <alignment wrapText="1"/>
    </xf>
    <xf numFmtId="164" fontId="0" fillId="0" borderId="0" xfId="0" applyNumberFormat="1"/>
    <xf numFmtId="0" fontId="1" fillId="2" borderId="1" xfId="1"/>
    <xf numFmtId="0" fontId="2" fillId="3" borderId="2" xfId="2"/>
    <xf numFmtId="164" fontId="1" fillId="2" borderId="1" xfId="1" applyNumberFormat="1"/>
    <xf numFmtId="11" fontId="8" fillId="0" borderId="3" xfId="0" applyNumberFormat="1" applyFont="1" applyBorder="1" applyAlignment="1">
      <alignment horizontal="center" wrapText="1"/>
    </xf>
    <xf numFmtId="0" fontId="3" fillId="0" borderId="0" xfId="0" applyFont="1" applyFill="1" applyBorder="1"/>
    <xf numFmtId="0" fontId="0" fillId="0" borderId="0" xfId="0" quotePrefix="1"/>
    <xf numFmtId="0" fontId="0" fillId="0" borderId="0" xfId="0" applyAlignment="1">
      <alignment horizontal="right"/>
    </xf>
    <xf numFmtId="1" fontId="0" fillId="0" borderId="0" xfId="0" applyNumberFormat="1" applyAlignment="1">
      <alignment horizontal="right"/>
    </xf>
    <xf numFmtId="11" fontId="0" fillId="0" borderId="0" xfId="0" applyNumberFormat="1"/>
    <xf numFmtId="0" fontId="3" fillId="0" borderId="0" xfId="0" applyFont="1" applyAlignment="1">
      <alignment horizontal="right"/>
    </xf>
    <xf numFmtId="164" fontId="0" fillId="0" borderId="0" xfId="0" quotePrefix="1" applyNumberFormat="1" applyAlignment="1">
      <alignment horizontal="right"/>
    </xf>
    <xf numFmtId="164" fontId="0" fillId="0" borderId="0" xfId="0" applyNumberFormat="1" applyAlignment="1">
      <alignment horizontal="right"/>
    </xf>
    <xf numFmtId="165" fontId="1" fillId="2" borderId="1" xfId="1" applyNumberFormat="1" applyAlignment="1">
      <alignment horizontal="righ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166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0" fontId="12" fillId="5" borderId="1" xfId="3" applyFill="1"/>
    <xf numFmtId="0" fontId="14" fillId="0" borderId="0" xfId="0" applyFont="1"/>
  </cellXfs>
  <cellStyles count="4">
    <cellStyle name="Calculation" xfId="1" builtinId="22"/>
    <cellStyle name="Check Cell" xfId="2" builtinId="23"/>
    <cellStyle name="Input" xfId="3" builtinId="20"/>
    <cellStyle name="Normal" xfId="0" builtinId="0"/>
  </cellStyles>
  <dxfs count="19"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  <alignment horizontal="right" vertical="bottom" textRotation="0" wrapText="0" indent="0" justifyLastLine="0" shrinkToFit="0" readingOrder="0"/>
    </dxf>
    <dxf>
      <numFmt numFmtId="164" formatCode="0.000"/>
      <alignment horizontal="right" vertical="bottom" textRotation="0" wrapText="0" indent="0" justifyLastLine="0" shrinkToFit="0" readingOrder="0"/>
    </dxf>
    <dxf>
      <numFmt numFmtId="164" formatCode="0.000"/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bottom" textRotation="0" wrapText="0" indent="0" justifyLastLine="0" shrinkToFit="0" readingOrder="0"/>
    </dxf>
  </dxfs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3937258391477364E-2"/>
          <c:y val="2.7195177722356727E-2"/>
          <c:w val="0.92327379379162244"/>
          <c:h val="0.87083841441737031"/>
        </c:manualLayout>
      </c:layout>
      <c:scatterChart>
        <c:scatterStyle val="lineMarker"/>
        <c:varyColors val="0"/>
        <c:ser>
          <c:idx val="0"/>
          <c:order val="0"/>
          <c:tx>
            <c:strRef>
              <c:f>'All GOR correlations'!$F$2</c:f>
              <c:strCache>
                <c:ptCount val="1"/>
                <c:pt idx="0">
                  <c:v>Standing</c:v>
                </c:pt>
              </c:strCache>
            </c:strRef>
          </c:tx>
          <c:marker>
            <c:symbol val="none"/>
          </c:marker>
          <c:xVal>
            <c:numRef>
              <c:f>'All GOR correlations'!$F$3:$F$13</c:f>
              <c:numCache>
                <c:formatCode>0.000</c:formatCode>
                <c:ptCount val="11"/>
                <c:pt idx="0">
                  <c:v>2.7082280981515328</c:v>
                </c:pt>
                <c:pt idx="1">
                  <c:v>374.88546855570496</c:v>
                </c:pt>
                <c:pt idx="2">
                  <c:v>855.4549081493933</c:v>
                </c:pt>
                <c:pt idx="3">
                  <c:v>1389.582408151877</c:v>
                </c:pt>
                <c:pt idx="4">
                  <c:v>1961.8955082918585</c:v>
                </c:pt>
                <c:pt idx="5">
                  <c:v>2564.4380147688325</c:v>
                </c:pt>
                <c:pt idx="6">
                  <c:v>3192.2430040083282</c:v>
                </c:pt>
                <c:pt idx="7">
                  <c:v>3841.8787761967728</c:v>
                </c:pt>
                <c:pt idx="8">
                  <c:v>4510.8160306394029</c:v>
                </c:pt>
                <c:pt idx="9">
                  <c:v>5197.1046261773836</c:v>
                </c:pt>
                <c:pt idx="10">
                  <c:v>5899.1900196861297</c:v>
                </c:pt>
              </c:numCache>
            </c:numRef>
          </c:xVal>
          <c:yVal>
            <c:numRef>
              <c:f>'All GOR correlations'!$A$3:$A$13</c:f>
              <c:numCache>
                <c:formatCode>General</c:formatCode>
                <c:ptCount val="11"/>
                <c:pt idx="0" formatCode="0">
                  <c:v>9.9999999999999994E-12</c:v>
                </c:pt>
                <c:pt idx="1">
                  <c:v>1500</c:v>
                </c:pt>
                <c:pt idx="2">
                  <c:v>3000</c:v>
                </c:pt>
                <c:pt idx="3" formatCode="0">
                  <c:v>4499.99999999998</c:v>
                </c:pt>
                <c:pt idx="4">
                  <c:v>5999.99999999997</c:v>
                </c:pt>
                <c:pt idx="5">
                  <c:v>7499.99999999996</c:v>
                </c:pt>
                <c:pt idx="6" formatCode="0">
                  <c:v>8999.9999999999509</c:v>
                </c:pt>
                <c:pt idx="7">
                  <c:v>10499.9999999999</c:v>
                </c:pt>
                <c:pt idx="8">
                  <c:v>11999.9999999999</c:v>
                </c:pt>
                <c:pt idx="9" formatCode="0">
                  <c:v>13499.9999999999</c:v>
                </c:pt>
                <c:pt idx="10">
                  <c:v>14999.9999999999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73-4F6C-A4C0-AD6BA67FBF39}"/>
            </c:ext>
          </c:extLst>
        </c:ser>
        <c:ser>
          <c:idx val="1"/>
          <c:order val="1"/>
          <c:tx>
            <c:strRef>
              <c:f>'All GOR correlations'!$G$2</c:f>
              <c:strCache>
                <c:ptCount val="1"/>
                <c:pt idx="0">
                  <c:v>Vasquez</c:v>
                </c:pt>
              </c:strCache>
            </c:strRef>
          </c:tx>
          <c:marker>
            <c:symbol val="none"/>
          </c:marker>
          <c:xVal>
            <c:numRef>
              <c:f>'All GOR correlations'!$G$3:$G$13</c:f>
              <c:numCache>
                <c:formatCode>0.000</c:formatCode>
                <c:ptCount val="11"/>
                <c:pt idx="0">
                  <c:v>5.0141976059709369E-15</c:v>
                </c:pt>
                <c:pt idx="1">
                  <c:v>336.68345073474467</c:v>
                </c:pt>
                <c:pt idx="2">
                  <c:v>766.55686000951744</c:v>
                </c:pt>
                <c:pt idx="3">
                  <c:v>1240.408401276067</c:v>
                </c:pt>
                <c:pt idx="4">
                  <c:v>1745.287504762435</c:v>
                </c:pt>
                <c:pt idx="5">
                  <c:v>2274.5692564890469</c:v>
                </c:pt>
                <c:pt idx="6">
                  <c:v>2824.1470352539814</c:v>
                </c:pt>
                <c:pt idx="7">
                  <c:v>3391.1979669162497</c:v>
                </c:pt>
                <c:pt idx="8">
                  <c:v>3973.649748881086</c:v>
                </c:pt>
                <c:pt idx="9">
                  <c:v>4569.9098028089593</c:v>
                </c:pt>
                <c:pt idx="10">
                  <c:v>5178.7121206088159</c:v>
                </c:pt>
              </c:numCache>
            </c:numRef>
          </c:xVal>
          <c:yVal>
            <c:numRef>
              <c:f>'All GOR correlations'!$A$3:$A$13</c:f>
              <c:numCache>
                <c:formatCode>General</c:formatCode>
                <c:ptCount val="11"/>
                <c:pt idx="0" formatCode="0">
                  <c:v>9.9999999999999994E-12</c:v>
                </c:pt>
                <c:pt idx="1">
                  <c:v>1500</c:v>
                </c:pt>
                <c:pt idx="2">
                  <c:v>3000</c:v>
                </c:pt>
                <c:pt idx="3" formatCode="0">
                  <c:v>4499.99999999998</c:v>
                </c:pt>
                <c:pt idx="4">
                  <c:v>5999.99999999997</c:v>
                </c:pt>
                <c:pt idx="5">
                  <c:v>7499.99999999996</c:v>
                </c:pt>
                <c:pt idx="6" formatCode="0">
                  <c:v>8999.9999999999509</c:v>
                </c:pt>
                <c:pt idx="7">
                  <c:v>10499.9999999999</c:v>
                </c:pt>
                <c:pt idx="8">
                  <c:v>11999.9999999999</c:v>
                </c:pt>
                <c:pt idx="9" formatCode="0">
                  <c:v>13499.9999999999</c:v>
                </c:pt>
                <c:pt idx="10">
                  <c:v>14999.9999999999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673-4F6C-A4C0-AD6BA67FBF39}"/>
            </c:ext>
          </c:extLst>
        </c:ser>
        <c:ser>
          <c:idx val="2"/>
          <c:order val="2"/>
          <c:tx>
            <c:strRef>
              <c:f>'All GOR correlations'!$H$2</c:f>
              <c:strCache>
                <c:ptCount val="1"/>
                <c:pt idx="0">
                  <c:v>Glaso</c:v>
                </c:pt>
              </c:strCache>
            </c:strRef>
          </c:tx>
          <c:marker>
            <c:symbol val="none"/>
          </c:marker>
          <c:xVal>
            <c:numRef>
              <c:f>'All GOR correlations'!$H$3:$H$13</c:f>
              <c:numCache>
                <c:formatCode>0.000</c:formatCode>
                <c:ptCount val="11"/>
                <c:pt idx="0">
                  <c:v>1.4631275168909051E-4</c:v>
                </c:pt>
                <c:pt idx="1">
                  <c:v>341.4561665735763</c:v>
                </c:pt>
                <c:pt idx="2">
                  <c:v>753.5532168632426</c:v>
                </c:pt>
                <c:pt idx="3">
                  <c:v>1284.8688736802699</c:v>
                </c:pt>
                <c:pt idx="4">
                  <c:v>1966.3907938168575</c:v>
                </c:pt>
                <c:pt idx="5">
                  <c:v>2840.5345129422503</c:v>
                </c:pt>
                <c:pt idx="6">
                  <c:v>3968.1808934408878</c:v>
                </c:pt>
                <c:pt idx="7">
                  <c:v>5440.2204400411529</c:v>
                </c:pt>
                <c:pt idx="8">
                  <c:v>7399.4615367899614</c:v>
                </c:pt>
                <c:pt idx="9">
                  <c:v>10086.731157777749</c:v>
                </c:pt>
                <c:pt idx="10">
                  <c:v>13952.457403566572</c:v>
                </c:pt>
              </c:numCache>
            </c:numRef>
          </c:xVal>
          <c:yVal>
            <c:numRef>
              <c:f>'All GOR correlations'!$A$3:$A$13</c:f>
              <c:numCache>
                <c:formatCode>General</c:formatCode>
                <c:ptCount val="11"/>
                <c:pt idx="0" formatCode="0">
                  <c:v>9.9999999999999994E-12</c:v>
                </c:pt>
                <c:pt idx="1">
                  <c:v>1500</c:v>
                </c:pt>
                <c:pt idx="2">
                  <c:v>3000</c:v>
                </c:pt>
                <c:pt idx="3" formatCode="0">
                  <c:v>4499.99999999998</c:v>
                </c:pt>
                <c:pt idx="4">
                  <c:v>5999.99999999997</c:v>
                </c:pt>
                <c:pt idx="5">
                  <c:v>7499.99999999996</c:v>
                </c:pt>
                <c:pt idx="6" formatCode="0">
                  <c:v>8999.9999999999509</c:v>
                </c:pt>
                <c:pt idx="7">
                  <c:v>10499.9999999999</c:v>
                </c:pt>
                <c:pt idx="8">
                  <c:v>11999.9999999999</c:v>
                </c:pt>
                <c:pt idx="9" formatCode="0">
                  <c:v>13499.9999999999</c:v>
                </c:pt>
                <c:pt idx="10">
                  <c:v>14999.9999999999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673-4F6C-A4C0-AD6BA67FBF39}"/>
            </c:ext>
          </c:extLst>
        </c:ser>
        <c:ser>
          <c:idx val="3"/>
          <c:order val="3"/>
          <c:tx>
            <c:strRef>
              <c:f>'All GOR correlations'!$I$2</c:f>
              <c:strCache>
                <c:ptCount val="1"/>
                <c:pt idx="0">
                  <c:v>Lasater</c:v>
                </c:pt>
              </c:strCache>
            </c:strRef>
          </c:tx>
          <c:marker>
            <c:symbol val="none"/>
          </c:marker>
          <c:xVal>
            <c:numRef>
              <c:f>'All GOR correlations'!$I$3:$I$13</c:f>
              <c:numCache>
                <c:formatCode>0.000</c:formatCode>
                <c:ptCount val="11"/>
                <c:pt idx="0">
                  <c:v>-100.20889503709149</c:v>
                </c:pt>
                <c:pt idx="1">
                  <c:v>314.80240673305468</c:v>
                </c:pt>
                <c:pt idx="2">
                  <c:v>780.53318827767305</c:v>
                </c:pt>
                <c:pt idx="3">
                  <c:v>1588.7750299265188</c:v>
                </c:pt>
                <c:pt idx="4">
                  <c:v>3119.8028826261389</c:v>
                </c:pt>
                <c:pt idx="5">
                  <c:v>7948.713388248123</c:v>
                </c:pt>
                <c:pt idx="6">
                  <c:v>-75558.40158260426</c:v>
                </c:pt>
                <c:pt idx="7">
                  <c:v>-8346.1031660033041</c:v>
                </c:pt>
                <c:pt idx="8">
                  <c:v>-4869.3155591319755</c:v>
                </c:pt>
                <c:pt idx="9">
                  <c:v>-3619.2786738240611</c:v>
                </c:pt>
                <c:pt idx="10">
                  <c:v>-2971.4446273924227</c:v>
                </c:pt>
              </c:numCache>
            </c:numRef>
          </c:xVal>
          <c:yVal>
            <c:numRef>
              <c:f>'All GOR correlations'!$A$3:$A$13</c:f>
              <c:numCache>
                <c:formatCode>General</c:formatCode>
                <c:ptCount val="11"/>
                <c:pt idx="0" formatCode="0">
                  <c:v>9.9999999999999994E-12</c:v>
                </c:pt>
                <c:pt idx="1">
                  <c:v>1500</c:v>
                </c:pt>
                <c:pt idx="2">
                  <c:v>3000</c:v>
                </c:pt>
                <c:pt idx="3" formatCode="0">
                  <c:v>4499.99999999998</c:v>
                </c:pt>
                <c:pt idx="4">
                  <c:v>5999.99999999997</c:v>
                </c:pt>
                <c:pt idx="5">
                  <c:v>7499.99999999996</c:v>
                </c:pt>
                <c:pt idx="6" formatCode="0">
                  <c:v>8999.9999999999509</c:v>
                </c:pt>
                <c:pt idx="7">
                  <c:v>10499.9999999999</c:v>
                </c:pt>
                <c:pt idx="8">
                  <c:v>11999.9999999999</c:v>
                </c:pt>
                <c:pt idx="9" formatCode="0">
                  <c:v>13499.9999999999</c:v>
                </c:pt>
                <c:pt idx="10">
                  <c:v>14999.9999999999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673-4F6C-A4C0-AD6BA67FBF39}"/>
            </c:ext>
          </c:extLst>
        </c:ser>
        <c:ser>
          <c:idx val="4"/>
          <c:order val="4"/>
          <c:tx>
            <c:strRef>
              <c:f>'All GOR correlations'!$J$2</c:f>
              <c:strCache>
                <c:ptCount val="1"/>
                <c:pt idx="0">
                  <c:v>Al Marhoun</c:v>
                </c:pt>
              </c:strCache>
            </c:strRef>
          </c:tx>
          <c:marker>
            <c:symbol val="none"/>
          </c:marker>
          <c:xVal>
            <c:numRef>
              <c:f>'All GOR correlations'!$J$3:$J$13</c:f>
              <c:numCache>
                <c:formatCode>0.000</c:formatCode>
                <c:ptCount val="11"/>
                <c:pt idx="0">
                  <c:v>4.2523924236925182E-18</c:v>
                </c:pt>
                <c:pt idx="1">
                  <c:v>283.83165309096</c:v>
                </c:pt>
                <c:pt idx="2">
                  <c:v>748.22724878513327</c:v>
                </c:pt>
                <c:pt idx="3">
                  <c:v>1319.1274560894385</c:v>
                </c:pt>
                <c:pt idx="4">
                  <c:v>1972.4509572057918</c:v>
                </c:pt>
                <c:pt idx="5">
                  <c:v>2694.8162095589196</c:v>
                </c:pt>
                <c:pt idx="6">
                  <c:v>3477.4384622648995</c:v>
                </c:pt>
                <c:pt idx="7">
                  <c:v>4314.0044621359448</c:v>
                </c:pt>
                <c:pt idx="8">
                  <c:v>5199.7074216409501</c:v>
                </c:pt>
                <c:pt idx="9">
                  <c:v>6130.7370987665872</c:v>
                </c:pt>
                <c:pt idx="10">
                  <c:v>7103.9818727112443</c:v>
                </c:pt>
              </c:numCache>
            </c:numRef>
          </c:xVal>
          <c:yVal>
            <c:numRef>
              <c:f>'All GOR correlations'!$A$3:$A$13</c:f>
              <c:numCache>
                <c:formatCode>General</c:formatCode>
                <c:ptCount val="11"/>
                <c:pt idx="0" formatCode="0">
                  <c:v>9.9999999999999994E-12</c:v>
                </c:pt>
                <c:pt idx="1">
                  <c:v>1500</c:v>
                </c:pt>
                <c:pt idx="2">
                  <c:v>3000</c:v>
                </c:pt>
                <c:pt idx="3" formatCode="0">
                  <c:v>4499.99999999998</c:v>
                </c:pt>
                <c:pt idx="4">
                  <c:v>5999.99999999997</c:v>
                </c:pt>
                <c:pt idx="5">
                  <c:v>7499.99999999996</c:v>
                </c:pt>
                <c:pt idx="6" formatCode="0">
                  <c:v>8999.9999999999509</c:v>
                </c:pt>
                <c:pt idx="7">
                  <c:v>10499.9999999999</c:v>
                </c:pt>
                <c:pt idx="8">
                  <c:v>11999.9999999999</c:v>
                </c:pt>
                <c:pt idx="9" formatCode="0">
                  <c:v>13499.9999999999</c:v>
                </c:pt>
                <c:pt idx="10">
                  <c:v>14999.9999999999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673-4F6C-A4C0-AD6BA67FBF39}"/>
            </c:ext>
          </c:extLst>
        </c:ser>
        <c:ser>
          <c:idx val="5"/>
          <c:order val="5"/>
          <c:tx>
            <c:strRef>
              <c:f>'All GOR correlations'!$K$2</c:f>
              <c:strCache>
                <c:ptCount val="1"/>
                <c:pt idx="0">
                  <c:v>Petrosky</c:v>
                </c:pt>
              </c:strCache>
            </c:strRef>
          </c:tx>
          <c:marker>
            <c:symbol val="none"/>
          </c:marker>
          <c:xVal>
            <c:numRef>
              <c:f>'All GOR correlations'!$K$3:$K$13</c:f>
              <c:numCache>
                <c:formatCode>0.000</c:formatCode>
                <c:ptCount val="11"/>
                <c:pt idx="0">
                  <c:v>99.388464805719238</c:v>
                </c:pt>
                <c:pt idx="1">
                  <c:v>352.82836692387741</c:v>
                </c:pt>
                <c:pt idx="2">
                  <c:v>727.6365095825804</c:v>
                </c:pt>
                <c:pt idx="3">
                  <c:v>1210.4290663511415</c:v>
                </c:pt>
                <c:pt idx="4">
                  <c:v>1792.870058938498</c:v>
                </c:pt>
                <c:pt idx="5">
                  <c:v>2469.014309053789</c:v>
                </c:pt>
                <c:pt idx="6">
                  <c:v>3234.2993471090886</c:v>
                </c:pt>
                <c:pt idx="7">
                  <c:v>4085.0566863455119</c:v>
                </c:pt>
                <c:pt idx="8">
                  <c:v>5018.2393364517429</c:v>
                </c:pt>
                <c:pt idx="9">
                  <c:v>6031.255150007576</c:v>
                </c:pt>
                <c:pt idx="10">
                  <c:v>7121.8578985030354</c:v>
                </c:pt>
              </c:numCache>
            </c:numRef>
          </c:xVal>
          <c:yVal>
            <c:numRef>
              <c:f>'All GOR correlations'!$A$3:$A$13</c:f>
              <c:numCache>
                <c:formatCode>General</c:formatCode>
                <c:ptCount val="11"/>
                <c:pt idx="0" formatCode="0">
                  <c:v>9.9999999999999994E-12</c:v>
                </c:pt>
                <c:pt idx="1">
                  <c:v>1500</c:v>
                </c:pt>
                <c:pt idx="2">
                  <c:v>3000</c:v>
                </c:pt>
                <c:pt idx="3" formatCode="0">
                  <c:v>4499.99999999998</c:v>
                </c:pt>
                <c:pt idx="4">
                  <c:v>5999.99999999997</c:v>
                </c:pt>
                <c:pt idx="5">
                  <c:v>7499.99999999996</c:v>
                </c:pt>
                <c:pt idx="6" formatCode="0">
                  <c:v>8999.9999999999509</c:v>
                </c:pt>
                <c:pt idx="7">
                  <c:v>10499.9999999999</c:v>
                </c:pt>
                <c:pt idx="8">
                  <c:v>11999.9999999999</c:v>
                </c:pt>
                <c:pt idx="9" formatCode="0">
                  <c:v>13499.9999999999</c:v>
                </c:pt>
                <c:pt idx="10">
                  <c:v>14999.9999999999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673-4F6C-A4C0-AD6BA67FBF39}"/>
            </c:ext>
          </c:extLst>
        </c:ser>
        <c:ser>
          <c:idx val="6"/>
          <c:order val="6"/>
          <c:tx>
            <c:strRef>
              <c:f>'All GOR correlations'!$L$2</c:f>
              <c:strCache>
                <c:ptCount val="1"/>
                <c:pt idx="0">
                  <c:v>Kartoatmodjo</c:v>
                </c:pt>
              </c:strCache>
            </c:strRef>
          </c:tx>
          <c:marker>
            <c:symbol val="none"/>
          </c:marker>
          <c:xVal>
            <c:numRef>
              <c:f>'All GOR correlations'!$L$3:$L$13</c:f>
              <c:numCache>
                <c:formatCode>0.000</c:formatCode>
                <c:ptCount val="11"/>
                <c:pt idx="0">
                  <c:v>1.1281214963004495E-13</c:v>
                </c:pt>
                <c:pt idx="1">
                  <c:v>360.36855205693308</c:v>
                </c:pt>
                <c:pt idx="2">
                  <c:v>769.10102659441532</c:v>
                </c:pt>
                <c:pt idx="3">
                  <c:v>1198.3243963316283</c:v>
                </c:pt>
                <c:pt idx="4">
                  <c:v>1641.4206670706667</c:v>
                </c:pt>
                <c:pt idx="5">
                  <c:v>2095.1271199849593</c:v>
                </c:pt>
                <c:pt idx="6">
                  <c:v>2557.4721161190096</c:v>
                </c:pt>
                <c:pt idx="7">
                  <c:v>3027.1267869865214</c:v>
                </c:pt>
                <c:pt idx="8">
                  <c:v>3503.1312052942153</c:v>
                </c:pt>
                <c:pt idx="9">
                  <c:v>3984.7576894464951</c:v>
                </c:pt>
                <c:pt idx="10">
                  <c:v>4471.4346177789057</c:v>
                </c:pt>
              </c:numCache>
            </c:numRef>
          </c:xVal>
          <c:yVal>
            <c:numRef>
              <c:f>'All GOR correlations'!$A$3:$A$13</c:f>
              <c:numCache>
                <c:formatCode>General</c:formatCode>
                <c:ptCount val="11"/>
                <c:pt idx="0" formatCode="0">
                  <c:v>9.9999999999999994E-12</c:v>
                </c:pt>
                <c:pt idx="1">
                  <c:v>1500</c:v>
                </c:pt>
                <c:pt idx="2">
                  <c:v>3000</c:v>
                </c:pt>
                <c:pt idx="3" formatCode="0">
                  <c:v>4499.99999999998</c:v>
                </c:pt>
                <c:pt idx="4">
                  <c:v>5999.99999999997</c:v>
                </c:pt>
                <c:pt idx="5">
                  <c:v>7499.99999999996</c:v>
                </c:pt>
                <c:pt idx="6" formatCode="0">
                  <c:v>8999.9999999999509</c:v>
                </c:pt>
                <c:pt idx="7">
                  <c:v>10499.9999999999</c:v>
                </c:pt>
                <c:pt idx="8">
                  <c:v>11999.9999999999</c:v>
                </c:pt>
                <c:pt idx="9" formatCode="0">
                  <c:v>13499.9999999999</c:v>
                </c:pt>
                <c:pt idx="10">
                  <c:v>14999.9999999999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673-4F6C-A4C0-AD6BA67FBF39}"/>
            </c:ext>
          </c:extLst>
        </c:ser>
        <c:ser>
          <c:idx val="7"/>
          <c:order val="7"/>
          <c:tx>
            <c:strRef>
              <c:f>'All GOR correlations'!$M$2</c:f>
              <c:strCache>
                <c:ptCount val="1"/>
                <c:pt idx="0">
                  <c:v>point</c:v>
                </c:pt>
              </c:strCache>
            </c:strRef>
          </c:tx>
          <c:marker>
            <c:symbol val="square"/>
            <c:size val="8"/>
          </c:marker>
          <c:xVal>
            <c:numRef>
              <c:f>'All GOR correlations'!$M$3:$M$13</c:f>
              <c:numCache>
                <c:formatCode>General</c:formatCode>
                <c:ptCount val="11"/>
                <c:pt idx="4">
                  <c:v>336</c:v>
                </c:pt>
              </c:numCache>
            </c:numRef>
          </c:xVal>
          <c:yVal>
            <c:numRef>
              <c:f>'All GOR correlations'!$A$3:$A$13</c:f>
              <c:numCache>
                <c:formatCode>General</c:formatCode>
                <c:ptCount val="11"/>
                <c:pt idx="0" formatCode="0">
                  <c:v>9.9999999999999994E-12</c:v>
                </c:pt>
                <c:pt idx="1">
                  <c:v>1500</c:v>
                </c:pt>
                <c:pt idx="2">
                  <c:v>3000</c:v>
                </c:pt>
                <c:pt idx="3" formatCode="0">
                  <c:v>4499.99999999998</c:v>
                </c:pt>
                <c:pt idx="4">
                  <c:v>5999.99999999997</c:v>
                </c:pt>
                <c:pt idx="5">
                  <c:v>7499.99999999996</c:v>
                </c:pt>
                <c:pt idx="6" formatCode="0">
                  <c:v>8999.9999999999509</c:v>
                </c:pt>
                <c:pt idx="7">
                  <c:v>10499.9999999999</c:v>
                </c:pt>
                <c:pt idx="8">
                  <c:v>11999.9999999999</c:v>
                </c:pt>
                <c:pt idx="9" formatCode="0">
                  <c:v>13499.9999999999</c:v>
                </c:pt>
                <c:pt idx="10">
                  <c:v>14999.9999999999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673-4F6C-A4C0-AD6BA67FBF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8905536"/>
        <c:axId val="368911808"/>
      </c:scatterChart>
      <c:valAx>
        <c:axId val="368905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/>
                </a:pPr>
                <a:r>
                  <a:rPr lang="en-US" sz="1100"/>
                  <a:t>GOR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368911808"/>
        <c:crosses val="autoZero"/>
        <c:crossBetween val="midCat"/>
      </c:valAx>
      <c:valAx>
        <c:axId val="3689118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100"/>
                </a:pPr>
                <a:r>
                  <a:rPr lang="en-US" sz="1100"/>
                  <a:t>Pressure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36890553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762454068241464"/>
          <c:y val="0.27995906972636325"/>
          <c:w val="0.15621796314221559"/>
          <c:h val="0.37864145500950402"/>
        </c:manualLayout>
      </c:layout>
      <c:overlay val="0"/>
      <c:spPr>
        <a:solidFill>
          <a:schemeClr val="bg1">
            <a:lumMod val="95000"/>
          </a:schemeClr>
        </a:solidFill>
        <a:ln>
          <a:solidFill>
            <a:schemeClr val="bg1">
              <a:lumMod val="50000"/>
            </a:schemeClr>
          </a:solidFill>
        </a:ln>
      </c:spPr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Standing!$K$1</c:f>
              <c:strCache>
                <c:ptCount val="1"/>
                <c:pt idx="0">
                  <c:v>GOR</c:v>
                </c:pt>
              </c:strCache>
            </c:strRef>
          </c:tx>
          <c:xVal>
            <c:numRef>
              <c:f>Standing!$J$2:$J$10</c:f>
              <c:numCache>
                <c:formatCode>General</c:formatCode>
                <c:ptCount val="9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</c:numCache>
            </c:numRef>
          </c:xVal>
          <c:yVal>
            <c:numRef>
              <c:f>Standing!$K$2:$K$10</c:f>
              <c:numCache>
                <c:formatCode>0.000</c:formatCode>
                <c:ptCount val="9"/>
                <c:pt idx="0">
                  <c:v>2.7082280981502511</c:v>
                </c:pt>
                <c:pt idx="1">
                  <c:v>103.81201246252671</c:v>
                </c:pt>
                <c:pt idx="2">
                  <c:v>232.32299228416895</c:v>
                </c:pt>
                <c:pt idx="3">
                  <c:v>374.88546855570496</c:v>
                </c:pt>
                <c:pt idx="4">
                  <c:v>527.51849663899361</c:v>
                </c:pt>
                <c:pt idx="5">
                  <c:v>688.14288684376243</c:v>
                </c:pt>
                <c:pt idx="6">
                  <c:v>855.4549081493933</c:v>
                </c:pt>
                <c:pt idx="7">
                  <c:v>1028.5514022442449</c:v>
                </c:pt>
                <c:pt idx="8">
                  <c:v>1206.7655111844108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7A-4796-86D5-CD244B3922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8906712"/>
        <c:axId val="368917688"/>
      </c:scatterChart>
      <c:scatterChart>
        <c:scatterStyle val="lineMarker"/>
        <c:varyColors val="0"/>
        <c:ser>
          <c:idx val="1"/>
          <c:order val="1"/>
          <c:tx>
            <c:strRef>
              <c:f>Standing!$M$1</c:f>
              <c:strCache>
                <c:ptCount val="1"/>
                <c:pt idx="0">
                  <c:v>st_Bo</c:v>
                </c:pt>
              </c:strCache>
            </c:strRef>
          </c:tx>
          <c:xVal>
            <c:numRef>
              <c:f>Standing!$J$2:$J$10</c:f>
              <c:numCache>
                <c:formatCode>General</c:formatCode>
                <c:ptCount val="9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</c:numCache>
            </c:numRef>
          </c:xVal>
          <c:yVal>
            <c:numRef>
              <c:f>Standing!$M$2:$M$10</c:f>
              <c:numCache>
                <c:formatCode>General</c:formatCode>
                <c:ptCount val="9"/>
                <c:pt idx="0">
                  <c:v>1.081248337216564</c:v>
                </c:pt>
                <c:pt idx="1">
                  <c:v>1.128171834793384</c:v>
                </c:pt>
                <c:pt idx="2">
                  <c:v>1.190975397908435</c:v>
                </c:pt>
                <c:pt idx="3">
                  <c:v>1.2639421379751445</c:v>
                </c:pt>
                <c:pt idx="4">
                  <c:v>1.3452064882069745</c:v>
                </c:pt>
                <c:pt idx="5">
                  <c:v>1.433679432130093</c:v>
                </c:pt>
                <c:pt idx="6">
                  <c:v>1.528609239606799</c:v>
                </c:pt>
                <c:pt idx="7">
                  <c:v>1.6294321452634453</c:v>
                </c:pt>
                <c:pt idx="8">
                  <c:v>1.7357036412112632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7A-4796-86D5-CD244B3922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8916904"/>
        <c:axId val="368917296"/>
      </c:scatterChart>
      <c:valAx>
        <c:axId val="368906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68917688"/>
        <c:crosses val="autoZero"/>
        <c:crossBetween val="midCat"/>
      </c:valAx>
      <c:valAx>
        <c:axId val="368917688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368906712"/>
        <c:crosses val="autoZero"/>
        <c:crossBetween val="midCat"/>
      </c:valAx>
      <c:valAx>
        <c:axId val="36891729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368916904"/>
        <c:crosses val="max"/>
        <c:crossBetween val="midCat"/>
      </c:valAx>
      <c:valAx>
        <c:axId val="3689169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891729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339693690193092"/>
          <c:y val="3.7101142067467362E-2"/>
          <c:w val="0.80601876862814525"/>
          <c:h val="0.8188637423312235"/>
        </c:manualLayout>
      </c:layout>
      <c:scatterChart>
        <c:scatterStyle val="lineMarker"/>
        <c:varyColors val="0"/>
        <c:ser>
          <c:idx val="0"/>
          <c:order val="0"/>
          <c:tx>
            <c:strRef>
              <c:f>'All GOR correlations'!$F$2</c:f>
              <c:strCache>
                <c:ptCount val="1"/>
                <c:pt idx="0">
                  <c:v>Standing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'All GOR correlations'!$A$3:$A$13</c:f>
              <c:numCache>
                <c:formatCode>General</c:formatCode>
                <c:ptCount val="11"/>
                <c:pt idx="0" formatCode="0">
                  <c:v>9.9999999999999994E-12</c:v>
                </c:pt>
                <c:pt idx="1">
                  <c:v>1500</c:v>
                </c:pt>
                <c:pt idx="2">
                  <c:v>3000</c:v>
                </c:pt>
                <c:pt idx="3" formatCode="0">
                  <c:v>4499.99999999998</c:v>
                </c:pt>
                <c:pt idx="4">
                  <c:v>5999.99999999997</c:v>
                </c:pt>
                <c:pt idx="5">
                  <c:v>7499.99999999996</c:v>
                </c:pt>
                <c:pt idx="6" formatCode="0">
                  <c:v>8999.9999999999509</c:v>
                </c:pt>
                <c:pt idx="7">
                  <c:v>10499.9999999999</c:v>
                </c:pt>
                <c:pt idx="8">
                  <c:v>11999.9999999999</c:v>
                </c:pt>
                <c:pt idx="9" formatCode="0">
                  <c:v>13499.9999999999</c:v>
                </c:pt>
                <c:pt idx="10">
                  <c:v>14999.9999999999</c:v>
                </c:pt>
              </c:numCache>
            </c:numRef>
          </c:xVal>
          <c:yVal>
            <c:numRef>
              <c:f>'All GOR correlations'!$F$3:$F$13</c:f>
              <c:numCache>
                <c:formatCode>0.000</c:formatCode>
                <c:ptCount val="11"/>
                <c:pt idx="0">
                  <c:v>2.7082280981515328</c:v>
                </c:pt>
                <c:pt idx="1">
                  <c:v>374.88546855570496</c:v>
                </c:pt>
                <c:pt idx="2">
                  <c:v>855.4549081493933</c:v>
                </c:pt>
                <c:pt idx="3">
                  <c:v>1389.582408151877</c:v>
                </c:pt>
                <c:pt idx="4">
                  <c:v>1961.8955082918585</c:v>
                </c:pt>
                <c:pt idx="5">
                  <c:v>2564.4380147688325</c:v>
                </c:pt>
                <c:pt idx="6">
                  <c:v>3192.2430040083282</c:v>
                </c:pt>
                <c:pt idx="7">
                  <c:v>3841.8787761967728</c:v>
                </c:pt>
                <c:pt idx="8">
                  <c:v>4510.8160306394029</c:v>
                </c:pt>
                <c:pt idx="9">
                  <c:v>5197.1046261773836</c:v>
                </c:pt>
                <c:pt idx="10">
                  <c:v>5899.1900196861297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D9-4D10-9BDA-14CBBC448C93}"/>
            </c:ext>
          </c:extLst>
        </c:ser>
        <c:ser>
          <c:idx val="1"/>
          <c:order val="1"/>
          <c:tx>
            <c:strRef>
              <c:f>'All GOR correlations'!$G$2</c:f>
              <c:strCache>
                <c:ptCount val="1"/>
                <c:pt idx="0">
                  <c:v>Vasquez</c:v>
                </c:pt>
              </c:strCache>
            </c:strRef>
          </c:tx>
          <c:marker>
            <c:symbol val="square"/>
            <c:size val="3"/>
          </c:marker>
          <c:xVal>
            <c:numRef>
              <c:f>'All GOR correlations'!$A$3:$A$13</c:f>
              <c:numCache>
                <c:formatCode>General</c:formatCode>
                <c:ptCount val="11"/>
                <c:pt idx="0" formatCode="0">
                  <c:v>9.9999999999999994E-12</c:v>
                </c:pt>
                <c:pt idx="1">
                  <c:v>1500</c:v>
                </c:pt>
                <c:pt idx="2">
                  <c:v>3000</c:v>
                </c:pt>
                <c:pt idx="3" formatCode="0">
                  <c:v>4499.99999999998</c:v>
                </c:pt>
                <c:pt idx="4">
                  <c:v>5999.99999999997</c:v>
                </c:pt>
                <c:pt idx="5">
                  <c:v>7499.99999999996</c:v>
                </c:pt>
                <c:pt idx="6" formatCode="0">
                  <c:v>8999.9999999999509</c:v>
                </c:pt>
                <c:pt idx="7">
                  <c:v>10499.9999999999</c:v>
                </c:pt>
                <c:pt idx="8">
                  <c:v>11999.9999999999</c:v>
                </c:pt>
                <c:pt idx="9" formatCode="0">
                  <c:v>13499.9999999999</c:v>
                </c:pt>
                <c:pt idx="10">
                  <c:v>14999.9999999999</c:v>
                </c:pt>
              </c:numCache>
            </c:numRef>
          </c:xVal>
          <c:yVal>
            <c:numRef>
              <c:f>'All GOR correlations'!$G$3:$G$13</c:f>
              <c:numCache>
                <c:formatCode>0.000</c:formatCode>
                <c:ptCount val="11"/>
                <c:pt idx="0">
                  <c:v>5.0141976059709369E-15</c:v>
                </c:pt>
                <c:pt idx="1">
                  <c:v>336.68345073474467</c:v>
                </c:pt>
                <c:pt idx="2">
                  <c:v>766.55686000951744</c:v>
                </c:pt>
                <c:pt idx="3">
                  <c:v>1240.408401276067</c:v>
                </c:pt>
                <c:pt idx="4">
                  <c:v>1745.287504762435</c:v>
                </c:pt>
                <c:pt idx="5">
                  <c:v>2274.5692564890469</c:v>
                </c:pt>
                <c:pt idx="6">
                  <c:v>2824.1470352539814</c:v>
                </c:pt>
                <c:pt idx="7">
                  <c:v>3391.1979669162497</c:v>
                </c:pt>
                <c:pt idx="8">
                  <c:v>3973.649748881086</c:v>
                </c:pt>
                <c:pt idx="9">
                  <c:v>4569.9098028089593</c:v>
                </c:pt>
                <c:pt idx="10">
                  <c:v>5178.7121206088159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D9-4D10-9BDA-14CBBC448C93}"/>
            </c:ext>
          </c:extLst>
        </c:ser>
        <c:ser>
          <c:idx val="2"/>
          <c:order val="2"/>
          <c:tx>
            <c:strRef>
              <c:f>'All GOR correlations'!$H$2</c:f>
              <c:strCache>
                <c:ptCount val="1"/>
                <c:pt idx="0">
                  <c:v>Glaso</c:v>
                </c:pt>
              </c:strCache>
            </c:strRef>
          </c:tx>
          <c:marker>
            <c:symbol val="none"/>
          </c:marker>
          <c:xVal>
            <c:numRef>
              <c:f>'All GOR correlations'!$A$3:$A$13</c:f>
              <c:numCache>
                <c:formatCode>General</c:formatCode>
                <c:ptCount val="11"/>
                <c:pt idx="0" formatCode="0">
                  <c:v>9.9999999999999994E-12</c:v>
                </c:pt>
                <c:pt idx="1">
                  <c:v>1500</c:v>
                </c:pt>
                <c:pt idx="2">
                  <c:v>3000</c:v>
                </c:pt>
                <c:pt idx="3" formatCode="0">
                  <c:v>4499.99999999998</c:v>
                </c:pt>
                <c:pt idx="4">
                  <c:v>5999.99999999997</c:v>
                </c:pt>
                <c:pt idx="5">
                  <c:v>7499.99999999996</c:v>
                </c:pt>
                <c:pt idx="6" formatCode="0">
                  <c:v>8999.9999999999509</c:v>
                </c:pt>
                <c:pt idx="7">
                  <c:v>10499.9999999999</c:v>
                </c:pt>
                <c:pt idx="8">
                  <c:v>11999.9999999999</c:v>
                </c:pt>
                <c:pt idx="9" formatCode="0">
                  <c:v>13499.9999999999</c:v>
                </c:pt>
                <c:pt idx="10">
                  <c:v>14999.9999999999</c:v>
                </c:pt>
              </c:numCache>
            </c:numRef>
          </c:xVal>
          <c:yVal>
            <c:numRef>
              <c:f>'All GOR correlations'!$H$3:$H$13</c:f>
              <c:numCache>
                <c:formatCode>0.000</c:formatCode>
                <c:ptCount val="11"/>
                <c:pt idx="0">
                  <c:v>1.4631275168909051E-4</c:v>
                </c:pt>
                <c:pt idx="1">
                  <c:v>341.4561665735763</c:v>
                </c:pt>
                <c:pt idx="2">
                  <c:v>753.5532168632426</c:v>
                </c:pt>
                <c:pt idx="3">
                  <c:v>1284.8688736802699</c:v>
                </c:pt>
                <c:pt idx="4">
                  <c:v>1966.3907938168575</c:v>
                </c:pt>
                <c:pt idx="5">
                  <c:v>2840.5345129422503</c:v>
                </c:pt>
                <c:pt idx="6">
                  <c:v>3968.1808934408878</c:v>
                </c:pt>
                <c:pt idx="7">
                  <c:v>5440.2204400411529</c:v>
                </c:pt>
                <c:pt idx="8">
                  <c:v>7399.4615367899614</c:v>
                </c:pt>
                <c:pt idx="9">
                  <c:v>10086.731157777749</c:v>
                </c:pt>
                <c:pt idx="10">
                  <c:v>13952.457403566572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AD9-4D10-9BDA-14CBBC448C93}"/>
            </c:ext>
          </c:extLst>
        </c:ser>
        <c:ser>
          <c:idx val="3"/>
          <c:order val="3"/>
          <c:tx>
            <c:strRef>
              <c:f>'All GOR correlations'!$I$2</c:f>
              <c:strCache>
                <c:ptCount val="1"/>
                <c:pt idx="0">
                  <c:v>Lasater</c:v>
                </c:pt>
              </c:strCache>
            </c:strRef>
          </c:tx>
          <c:marker>
            <c:symbol val="none"/>
          </c:marker>
          <c:xVal>
            <c:numRef>
              <c:f>'All GOR correlations'!$A$3:$A$13</c:f>
              <c:numCache>
                <c:formatCode>General</c:formatCode>
                <c:ptCount val="11"/>
                <c:pt idx="0" formatCode="0">
                  <c:v>9.9999999999999994E-12</c:v>
                </c:pt>
                <c:pt idx="1">
                  <c:v>1500</c:v>
                </c:pt>
                <c:pt idx="2">
                  <c:v>3000</c:v>
                </c:pt>
                <c:pt idx="3" formatCode="0">
                  <c:v>4499.99999999998</c:v>
                </c:pt>
                <c:pt idx="4">
                  <c:v>5999.99999999997</c:v>
                </c:pt>
                <c:pt idx="5">
                  <c:v>7499.99999999996</c:v>
                </c:pt>
                <c:pt idx="6" formatCode="0">
                  <c:v>8999.9999999999509</c:v>
                </c:pt>
                <c:pt idx="7">
                  <c:v>10499.9999999999</c:v>
                </c:pt>
                <c:pt idx="8">
                  <c:v>11999.9999999999</c:v>
                </c:pt>
                <c:pt idx="9" formatCode="0">
                  <c:v>13499.9999999999</c:v>
                </c:pt>
                <c:pt idx="10">
                  <c:v>14999.9999999999</c:v>
                </c:pt>
              </c:numCache>
            </c:numRef>
          </c:xVal>
          <c:yVal>
            <c:numRef>
              <c:f>'All GOR correlations'!$I$3:$I$13</c:f>
              <c:numCache>
                <c:formatCode>0.000</c:formatCode>
                <c:ptCount val="11"/>
                <c:pt idx="0">
                  <c:v>-100.20889503709149</c:v>
                </c:pt>
                <c:pt idx="1">
                  <c:v>314.80240673305468</c:v>
                </c:pt>
                <c:pt idx="2">
                  <c:v>780.53318827767305</c:v>
                </c:pt>
                <c:pt idx="3">
                  <c:v>1588.7750299265188</c:v>
                </c:pt>
                <c:pt idx="4">
                  <c:v>3119.8028826261389</c:v>
                </c:pt>
                <c:pt idx="5">
                  <c:v>7948.713388248123</c:v>
                </c:pt>
                <c:pt idx="6">
                  <c:v>-75558.40158260426</c:v>
                </c:pt>
                <c:pt idx="7">
                  <c:v>-8346.1031660033041</c:v>
                </c:pt>
                <c:pt idx="8">
                  <c:v>-4869.3155591319755</c:v>
                </c:pt>
                <c:pt idx="9">
                  <c:v>-3619.2786738240611</c:v>
                </c:pt>
                <c:pt idx="10">
                  <c:v>-2971.4446273924227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AD9-4D10-9BDA-14CBBC448C93}"/>
            </c:ext>
          </c:extLst>
        </c:ser>
        <c:ser>
          <c:idx val="4"/>
          <c:order val="4"/>
          <c:tx>
            <c:strRef>
              <c:f>'All GOR correlations'!$J$2</c:f>
              <c:strCache>
                <c:ptCount val="1"/>
                <c:pt idx="0">
                  <c:v>Al Marhoun</c:v>
                </c:pt>
              </c:strCache>
            </c:strRef>
          </c:tx>
          <c:spPr>
            <a:ln>
              <a:solidFill>
                <a:srgbClr val="FFFF00"/>
              </a:solidFill>
            </a:ln>
          </c:spPr>
          <c:marker>
            <c:symbol val="x"/>
            <c:size val="5"/>
          </c:marker>
          <c:xVal>
            <c:numRef>
              <c:f>'All GOR correlations'!$A$3:$A$13</c:f>
              <c:numCache>
                <c:formatCode>General</c:formatCode>
                <c:ptCount val="11"/>
                <c:pt idx="0" formatCode="0">
                  <c:v>9.9999999999999994E-12</c:v>
                </c:pt>
                <c:pt idx="1">
                  <c:v>1500</c:v>
                </c:pt>
                <c:pt idx="2">
                  <c:v>3000</c:v>
                </c:pt>
                <c:pt idx="3" formatCode="0">
                  <c:v>4499.99999999998</c:v>
                </c:pt>
                <c:pt idx="4">
                  <c:v>5999.99999999997</c:v>
                </c:pt>
                <c:pt idx="5">
                  <c:v>7499.99999999996</c:v>
                </c:pt>
                <c:pt idx="6" formatCode="0">
                  <c:v>8999.9999999999509</c:v>
                </c:pt>
                <c:pt idx="7">
                  <c:v>10499.9999999999</c:v>
                </c:pt>
                <c:pt idx="8">
                  <c:v>11999.9999999999</c:v>
                </c:pt>
                <c:pt idx="9" formatCode="0">
                  <c:v>13499.9999999999</c:v>
                </c:pt>
                <c:pt idx="10">
                  <c:v>14999.9999999999</c:v>
                </c:pt>
              </c:numCache>
            </c:numRef>
          </c:xVal>
          <c:yVal>
            <c:numRef>
              <c:f>'All GOR correlations'!$J$3:$J$13</c:f>
              <c:numCache>
                <c:formatCode>0.000</c:formatCode>
                <c:ptCount val="11"/>
                <c:pt idx="0">
                  <c:v>4.2523924236925182E-18</c:v>
                </c:pt>
                <c:pt idx="1">
                  <c:v>283.83165309096</c:v>
                </c:pt>
                <c:pt idx="2">
                  <c:v>748.22724878513327</c:v>
                </c:pt>
                <c:pt idx="3">
                  <c:v>1319.1274560894385</c:v>
                </c:pt>
                <c:pt idx="4">
                  <c:v>1972.4509572057918</c:v>
                </c:pt>
                <c:pt idx="5">
                  <c:v>2694.8162095589196</c:v>
                </c:pt>
                <c:pt idx="6">
                  <c:v>3477.4384622648995</c:v>
                </c:pt>
                <c:pt idx="7">
                  <c:v>4314.0044621359448</c:v>
                </c:pt>
                <c:pt idx="8">
                  <c:v>5199.7074216409501</c:v>
                </c:pt>
                <c:pt idx="9">
                  <c:v>6130.7370987665872</c:v>
                </c:pt>
                <c:pt idx="10">
                  <c:v>7103.9818727112443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AD9-4D10-9BDA-14CBBC448C93}"/>
            </c:ext>
          </c:extLst>
        </c:ser>
        <c:ser>
          <c:idx val="5"/>
          <c:order val="5"/>
          <c:tx>
            <c:strRef>
              <c:f>'All GOR correlations'!$K$2</c:f>
              <c:strCache>
                <c:ptCount val="1"/>
                <c:pt idx="0">
                  <c:v>Petrosky</c:v>
                </c:pt>
              </c:strCache>
            </c:strRef>
          </c:tx>
          <c:marker>
            <c:symbol val="none"/>
          </c:marker>
          <c:xVal>
            <c:numRef>
              <c:f>'All GOR correlations'!$A$3:$A$13</c:f>
              <c:numCache>
                <c:formatCode>General</c:formatCode>
                <c:ptCount val="11"/>
                <c:pt idx="0" formatCode="0">
                  <c:v>9.9999999999999994E-12</c:v>
                </c:pt>
                <c:pt idx="1">
                  <c:v>1500</c:v>
                </c:pt>
                <c:pt idx="2">
                  <c:v>3000</c:v>
                </c:pt>
                <c:pt idx="3" formatCode="0">
                  <c:v>4499.99999999998</c:v>
                </c:pt>
                <c:pt idx="4">
                  <c:v>5999.99999999997</c:v>
                </c:pt>
                <c:pt idx="5">
                  <c:v>7499.99999999996</c:v>
                </c:pt>
                <c:pt idx="6" formatCode="0">
                  <c:v>8999.9999999999509</c:v>
                </c:pt>
                <c:pt idx="7">
                  <c:v>10499.9999999999</c:v>
                </c:pt>
                <c:pt idx="8">
                  <c:v>11999.9999999999</c:v>
                </c:pt>
                <c:pt idx="9" formatCode="0">
                  <c:v>13499.9999999999</c:v>
                </c:pt>
                <c:pt idx="10">
                  <c:v>14999.9999999999</c:v>
                </c:pt>
              </c:numCache>
            </c:numRef>
          </c:xVal>
          <c:yVal>
            <c:numRef>
              <c:f>'All GOR correlations'!$K$3:$K$13</c:f>
              <c:numCache>
                <c:formatCode>0.000</c:formatCode>
                <c:ptCount val="11"/>
                <c:pt idx="0">
                  <c:v>99.388464805719238</c:v>
                </c:pt>
                <c:pt idx="1">
                  <c:v>352.82836692387741</c:v>
                </c:pt>
                <c:pt idx="2">
                  <c:v>727.6365095825804</c:v>
                </c:pt>
                <c:pt idx="3">
                  <c:v>1210.4290663511415</c:v>
                </c:pt>
                <c:pt idx="4">
                  <c:v>1792.870058938498</c:v>
                </c:pt>
                <c:pt idx="5">
                  <c:v>2469.014309053789</c:v>
                </c:pt>
                <c:pt idx="6">
                  <c:v>3234.2993471090886</c:v>
                </c:pt>
                <c:pt idx="7">
                  <c:v>4085.0566863455119</c:v>
                </c:pt>
                <c:pt idx="8">
                  <c:v>5018.2393364517429</c:v>
                </c:pt>
                <c:pt idx="9">
                  <c:v>6031.255150007576</c:v>
                </c:pt>
                <c:pt idx="10">
                  <c:v>7121.8578985030354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AD9-4D10-9BDA-14CBBC448C93}"/>
            </c:ext>
          </c:extLst>
        </c:ser>
        <c:ser>
          <c:idx val="6"/>
          <c:order val="6"/>
          <c:tx>
            <c:strRef>
              <c:f>'All GOR correlations'!$L$2</c:f>
              <c:strCache>
                <c:ptCount val="1"/>
                <c:pt idx="0">
                  <c:v>Kartoatmodjo</c:v>
                </c:pt>
              </c:strCache>
            </c:strRef>
          </c:tx>
          <c:marker>
            <c:symbol val="none"/>
          </c:marker>
          <c:xVal>
            <c:numRef>
              <c:f>'All GOR correlations'!$A$3:$A$13</c:f>
              <c:numCache>
                <c:formatCode>General</c:formatCode>
                <c:ptCount val="11"/>
                <c:pt idx="0" formatCode="0">
                  <c:v>9.9999999999999994E-12</c:v>
                </c:pt>
                <c:pt idx="1">
                  <c:v>1500</c:v>
                </c:pt>
                <c:pt idx="2">
                  <c:v>3000</c:v>
                </c:pt>
                <c:pt idx="3" formatCode="0">
                  <c:v>4499.99999999998</c:v>
                </c:pt>
                <c:pt idx="4">
                  <c:v>5999.99999999997</c:v>
                </c:pt>
                <c:pt idx="5">
                  <c:v>7499.99999999996</c:v>
                </c:pt>
                <c:pt idx="6" formatCode="0">
                  <c:v>8999.9999999999509</c:v>
                </c:pt>
                <c:pt idx="7">
                  <c:v>10499.9999999999</c:v>
                </c:pt>
                <c:pt idx="8">
                  <c:v>11999.9999999999</c:v>
                </c:pt>
                <c:pt idx="9" formatCode="0">
                  <c:v>13499.9999999999</c:v>
                </c:pt>
                <c:pt idx="10">
                  <c:v>14999.9999999999</c:v>
                </c:pt>
              </c:numCache>
            </c:numRef>
          </c:xVal>
          <c:yVal>
            <c:numRef>
              <c:f>'All GOR correlations'!$L$3:$L$13</c:f>
              <c:numCache>
                <c:formatCode>0.000</c:formatCode>
                <c:ptCount val="11"/>
                <c:pt idx="0">
                  <c:v>1.1281214963004495E-13</c:v>
                </c:pt>
                <c:pt idx="1">
                  <c:v>360.36855205693308</c:v>
                </c:pt>
                <c:pt idx="2">
                  <c:v>769.10102659441532</c:v>
                </c:pt>
                <c:pt idx="3">
                  <c:v>1198.3243963316283</c:v>
                </c:pt>
                <c:pt idx="4">
                  <c:v>1641.4206670706667</c:v>
                </c:pt>
                <c:pt idx="5">
                  <c:v>2095.1271199849593</c:v>
                </c:pt>
                <c:pt idx="6">
                  <c:v>2557.4721161190096</c:v>
                </c:pt>
                <c:pt idx="7">
                  <c:v>3027.1267869865214</c:v>
                </c:pt>
                <c:pt idx="8">
                  <c:v>3503.1312052942153</c:v>
                </c:pt>
                <c:pt idx="9">
                  <c:v>3984.7576894464951</c:v>
                </c:pt>
                <c:pt idx="10">
                  <c:v>4471.4346177789057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AD9-4D10-9BDA-14CBBC448C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8916120"/>
        <c:axId val="368914160"/>
      </c:scatterChart>
      <c:valAx>
        <c:axId val="368916120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368914160"/>
        <c:crosses val="autoZero"/>
        <c:crossBetween val="midCat"/>
      </c:valAx>
      <c:valAx>
        <c:axId val="368914160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36891612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4635187139071362"/>
          <c:y val="0.85836668880424416"/>
          <c:w val="0.77841323020344022"/>
          <c:h val="0.11889852744761448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3937258391477364E-2"/>
          <c:y val="2.7195177722356727E-2"/>
          <c:w val="0.92327379379162244"/>
          <c:h val="0.87083841441737031"/>
        </c:manualLayout>
      </c:layout>
      <c:scatterChart>
        <c:scatterStyle val="lineMarker"/>
        <c:varyColors val="0"/>
        <c:ser>
          <c:idx val="0"/>
          <c:order val="0"/>
          <c:tx>
            <c:strRef>
              <c:f>'All GOR correlations'!$F$2</c:f>
              <c:strCache>
                <c:ptCount val="1"/>
                <c:pt idx="0">
                  <c:v>Standing</c:v>
                </c:pt>
              </c:strCache>
            </c:strRef>
          </c:tx>
          <c:marker>
            <c:symbol val="none"/>
          </c:marker>
          <c:xVal>
            <c:numRef>
              <c:f>'All GOR correlations'!$F$3:$F$13</c:f>
              <c:numCache>
                <c:formatCode>0.000</c:formatCode>
                <c:ptCount val="11"/>
                <c:pt idx="0">
                  <c:v>2.7082280981515328</c:v>
                </c:pt>
                <c:pt idx="1">
                  <c:v>374.88546855570496</c:v>
                </c:pt>
                <c:pt idx="2">
                  <c:v>855.4549081493933</c:v>
                </c:pt>
                <c:pt idx="3">
                  <c:v>1389.582408151877</c:v>
                </c:pt>
                <c:pt idx="4">
                  <c:v>1961.8955082918585</c:v>
                </c:pt>
                <c:pt idx="5">
                  <c:v>2564.4380147688325</c:v>
                </c:pt>
                <c:pt idx="6">
                  <c:v>3192.2430040083282</c:v>
                </c:pt>
                <c:pt idx="7">
                  <c:v>3841.8787761967728</c:v>
                </c:pt>
                <c:pt idx="8">
                  <c:v>4510.8160306394029</c:v>
                </c:pt>
                <c:pt idx="9">
                  <c:v>5197.1046261773836</c:v>
                </c:pt>
                <c:pt idx="10">
                  <c:v>5899.1900196861297</c:v>
                </c:pt>
              </c:numCache>
            </c:numRef>
          </c:xVal>
          <c:yVal>
            <c:numRef>
              <c:f>'All GOR correlations'!$A$3:$A$13</c:f>
              <c:numCache>
                <c:formatCode>General</c:formatCode>
                <c:ptCount val="11"/>
                <c:pt idx="0" formatCode="0">
                  <c:v>9.9999999999999994E-12</c:v>
                </c:pt>
                <c:pt idx="1">
                  <c:v>1500</c:v>
                </c:pt>
                <c:pt idx="2">
                  <c:v>3000</c:v>
                </c:pt>
                <c:pt idx="3" formatCode="0">
                  <c:v>4499.99999999998</c:v>
                </c:pt>
                <c:pt idx="4">
                  <c:v>5999.99999999997</c:v>
                </c:pt>
                <c:pt idx="5">
                  <c:v>7499.99999999996</c:v>
                </c:pt>
                <c:pt idx="6" formatCode="0">
                  <c:v>8999.9999999999509</c:v>
                </c:pt>
                <c:pt idx="7">
                  <c:v>10499.9999999999</c:v>
                </c:pt>
                <c:pt idx="8">
                  <c:v>11999.9999999999</c:v>
                </c:pt>
                <c:pt idx="9" formatCode="0">
                  <c:v>13499.9999999999</c:v>
                </c:pt>
                <c:pt idx="10">
                  <c:v>14999.9999999999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86-4A67-93DA-3E745C52F0A3}"/>
            </c:ext>
          </c:extLst>
        </c:ser>
        <c:ser>
          <c:idx val="1"/>
          <c:order val="1"/>
          <c:tx>
            <c:strRef>
              <c:f>'All GOR correlations'!$G$2</c:f>
              <c:strCache>
                <c:ptCount val="1"/>
                <c:pt idx="0">
                  <c:v>Vasquez</c:v>
                </c:pt>
              </c:strCache>
            </c:strRef>
          </c:tx>
          <c:marker>
            <c:symbol val="none"/>
          </c:marker>
          <c:xVal>
            <c:numRef>
              <c:f>'All GOR correlations'!$G$3:$G$13</c:f>
              <c:numCache>
                <c:formatCode>0.000</c:formatCode>
                <c:ptCount val="11"/>
                <c:pt idx="0">
                  <c:v>5.0141976059709369E-15</c:v>
                </c:pt>
                <c:pt idx="1">
                  <c:v>336.68345073474467</c:v>
                </c:pt>
                <c:pt idx="2">
                  <c:v>766.55686000951744</c:v>
                </c:pt>
                <c:pt idx="3">
                  <c:v>1240.408401276067</c:v>
                </c:pt>
                <c:pt idx="4">
                  <c:v>1745.287504762435</c:v>
                </c:pt>
                <c:pt idx="5">
                  <c:v>2274.5692564890469</c:v>
                </c:pt>
                <c:pt idx="6">
                  <c:v>2824.1470352539814</c:v>
                </c:pt>
                <c:pt idx="7">
                  <c:v>3391.1979669162497</c:v>
                </c:pt>
                <c:pt idx="8">
                  <c:v>3973.649748881086</c:v>
                </c:pt>
                <c:pt idx="9">
                  <c:v>4569.9098028089593</c:v>
                </c:pt>
                <c:pt idx="10">
                  <c:v>5178.7121206088159</c:v>
                </c:pt>
              </c:numCache>
            </c:numRef>
          </c:xVal>
          <c:yVal>
            <c:numRef>
              <c:f>'All GOR correlations'!$A$3:$A$13</c:f>
              <c:numCache>
                <c:formatCode>General</c:formatCode>
                <c:ptCount val="11"/>
                <c:pt idx="0" formatCode="0">
                  <c:v>9.9999999999999994E-12</c:v>
                </c:pt>
                <c:pt idx="1">
                  <c:v>1500</c:v>
                </c:pt>
                <c:pt idx="2">
                  <c:v>3000</c:v>
                </c:pt>
                <c:pt idx="3" formatCode="0">
                  <c:v>4499.99999999998</c:v>
                </c:pt>
                <c:pt idx="4">
                  <c:v>5999.99999999997</c:v>
                </c:pt>
                <c:pt idx="5">
                  <c:v>7499.99999999996</c:v>
                </c:pt>
                <c:pt idx="6" formatCode="0">
                  <c:v>8999.9999999999509</c:v>
                </c:pt>
                <c:pt idx="7">
                  <c:v>10499.9999999999</c:v>
                </c:pt>
                <c:pt idx="8">
                  <c:v>11999.9999999999</c:v>
                </c:pt>
                <c:pt idx="9" formatCode="0">
                  <c:v>13499.9999999999</c:v>
                </c:pt>
                <c:pt idx="10">
                  <c:v>14999.9999999999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C86-4A67-93DA-3E745C52F0A3}"/>
            </c:ext>
          </c:extLst>
        </c:ser>
        <c:ser>
          <c:idx val="2"/>
          <c:order val="2"/>
          <c:tx>
            <c:strRef>
              <c:f>'All GOR correlations'!$H$2</c:f>
              <c:strCache>
                <c:ptCount val="1"/>
                <c:pt idx="0">
                  <c:v>Glaso</c:v>
                </c:pt>
              </c:strCache>
            </c:strRef>
          </c:tx>
          <c:marker>
            <c:symbol val="none"/>
          </c:marker>
          <c:xVal>
            <c:numRef>
              <c:f>'All GOR correlations'!$H$3:$H$13</c:f>
              <c:numCache>
                <c:formatCode>0.000</c:formatCode>
                <c:ptCount val="11"/>
                <c:pt idx="0">
                  <c:v>1.4631275168909051E-4</c:v>
                </c:pt>
                <c:pt idx="1">
                  <c:v>341.4561665735763</c:v>
                </c:pt>
                <c:pt idx="2">
                  <c:v>753.5532168632426</c:v>
                </c:pt>
                <c:pt idx="3">
                  <c:v>1284.8688736802699</c:v>
                </c:pt>
                <c:pt idx="4">
                  <c:v>1966.3907938168575</c:v>
                </c:pt>
                <c:pt idx="5">
                  <c:v>2840.5345129422503</c:v>
                </c:pt>
                <c:pt idx="6">
                  <c:v>3968.1808934408878</c:v>
                </c:pt>
                <c:pt idx="7">
                  <c:v>5440.2204400411529</c:v>
                </c:pt>
                <c:pt idx="8">
                  <c:v>7399.4615367899614</c:v>
                </c:pt>
                <c:pt idx="9">
                  <c:v>10086.731157777749</c:v>
                </c:pt>
                <c:pt idx="10">
                  <c:v>13952.457403566572</c:v>
                </c:pt>
              </c:numCache>
            </c:numRef>
          </c:xVal>
          <c:yVal>
            <c:numRef>
              <c:f>'All GOR correlations'!$A$3:$A$13</c:f>
              <c:numCache>
                <c:formatCode>General</c:formatCode>
                <c:ptCount val="11"/>
                <c:pt idx="0" formatCode="0">
                  <c:v>9.9999999999999994E-12</c:v>
                </c:pt>
                <c:pt idx="1">
                  <c:v>1500</c:v>
                </c:pt>
                <c:pt idx="2">
                  <c:v>3000</c:v>
                </c:pt>
                <c:pt idx="3" formatCode="0">
                  <c:v>4499.99999999998</c:v>
                </c:pt>
                <c:pt idx="4">
                  <c:v>5999.99999999997</c:v>
                </c:pt>
                <c:pt idx="5">
                  <c:v>7499.99999999996</c:v>
                </c:pt>
                <c:pt idx="6" formatCode="0">
                  <c:v>8999.9999999999509</c:v>
                </c:pt>
                <c:pt idx="7">
                  <c:v>10499.9999999999</c:v>
                </c:pt>
                <c:pt idx="8">
                  <c:v>11999.9999999999</c:v>
                </c:pt>
                <c:pt idx="9" formatCode="0">
                  <c:v>13499.9999999999</c:v>
                </c:pt>
                <c:pt idx="10">
                  <c:v>14999.9999999999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C86-4A67-93DA-3E745C52F0A3}"/>
            </c:ext>
          </c:extLst>
        </c:ser>
        <c:ser>
          <c:idx val="3"/>
          <c:order val="3"/>
          <c:tx>
            <c:strRef>
              <c:f>'All GOR correlations'!$I$2</c:f>
              <c:strCache>
                <c:ptCount val="1"/>
                <c:pt idx="0">
                  <c:v>Lasater</c:v>
                </c:pt>
              </c:strCache>
            </c:strRef>
          </c:tx>
          <c:marker>
            <c:symbol val="none"/>
          </c:marker>
          <c:xVal>
            <c:numRef>
              <c:f>'All GOR correlations'!$I$3:$I$13</c:f>
              <c:numCache>
                <c:formatCode>0.000</c:formatCode>
                <c:ptCount val="11"/>
                <c:pt idx="0">
                  <c:v>-100.20889503709149</c:v>
                </c:pt>
                <c:pt idx="1">
                  <c:v>314.80240673305468</c:v>
                </c:pt>
                <c:pt idx="2">
                  <c:v>780.53318827767305</c:v>
                </c:pt>
                <c:pt idx="3">
                  <c:v>1588.7750299265188</c:v>
                </c:pt>
                <c:pt idx="4">
                  <c:v>3119.8028826261389</c:v>
                </c:pt>
                <c:pt idx="5">
                  <c:v>7948.713388248123</c:v>
                </c:pt>
                <c:pt idx="6">
                  <c:v>-75558.40158260426</c:v>
                </c:pt>
                <c:pt idx="7">
                  <c:v>-8346.1031660033041</c:v>
                </c:pt>
                <c:pt idx="8">
                  <c:v>-4869.3155591319755</c:v>
                </c:pt>
                <c:pt idx="9">
                  <c:v>-3619.2786738240611</c:v>
                </c:pt>
                <c:pt idx="10">
                  <c:v>-2971.4446273924227</c:v>
                </c:pt>
              </c:numCache>
            </c:numRef>
          </c:xVal>
          <c:yVal>
            <c:numRef>
              <c:f>'All GOR correlations'!$A$3:$A$13</c:f>
              <c:numCache>
                <c:formatCode>General</c:formatCode>
                <c:ptCount val="11"/>
                <c:pt idx="0" formatCode="0">
                  <c:v>9.9999999999999994E-12</c:v>
                </c:pt>
                <c:pt idx="1">
                  <c:v>1500</c:v>
                </c:pt>
                <c:pt idx="2">
                  <c:v>3000</c:v>
                </c:pt>
                <c:pt idx="3" formatCode="0">
                  <c:v>4499.99999999998</c:v>
                </c:pt>
                <c:pt idx="4">
                  <c:v>5999.99999999997</c:v>
                </c:pt>
                <c:pt idx="5">
                  <c:v>7499.99999999996</c:v>
                </c:pt>
                <c:pt idx="6" formatCode="0">
                  <c:v>8999.9999999999509</c:v>
                </c:pt>
                <c:pt idx="7">
                  <c:v>10499.9999999999</c:v>
                </c:pt>
                <c:pt idx="8">
                  <c:v>11999.9999999999</c:v>
                </c:pt>
                <c:pt idx="9" formatCode="0">
                  <c:v>13499.9999999999</c:v>
                </c:pt>
                <c:pt idx="10">
                  <c:v>14999.9999999999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C86-4A67-93DA-3E745C52F0A3}"/>
            </c:ext>
          </c:extLst>
        </c:ser>
        <c:ser>
          <c:idx val="4"/>
          <c:order val="4"/>
          <c:tx>
            <c:strRef>
              <c:f>'All GOR correlations'!$J$2</c:f>
              <c:strCache>
                <c:ptCount val="1"/>
                <c:pt idx="0">
                  <c:v>Al Marhoun</c:v>
                </c:pt>
              </c:strCache>
            </c:strRef>
          </c:tx>
          <c:marker>
            <c:symbol val="none"/>
          </c:marker>
          <c:xVal>
            <c:numRef>
              <c:f>'All GOR correlations'!$J$3:$J$13</c:f>
              <c:numCache>
                <c:formatCode>0.000</c:formatCode>
                <c:ptCount val="11"/>
                <c:pt idx="0">
                  <c:v>4.2523924236925182E-18</c:v>
                </c:pt>
                <c:pt idx="1">
                  <c:v>283.83165309096</c:v>
                </c:pt>
                <c:pt idx="2">
                  <c:v>748.22724878513327</c:v>
                </c:pt>
                <c:pt idx="3">
                  <c:v>1319.1274560894385</c:v>
                </c:pt>
                <c:pt idx="4">
                  <c:v>1972.4509572057918</c:v>
                </c:pt>
                <c:pt idx="5">
                  <c:v>2694.8162095589196</c:v>
                </c:pt>
                <c:pt idx="6">
                  <c:v>3477.4384622648995</c:v>
                </c:pt>
                <c:pt idx="7">
                  <c:v>4314.0044621359448</c:v>
                </c:pt>
                <c:pt idx="8">
                  <c:v>5199.7074216409501</c:v>
                </c:pt>
                <c:pt idx="9">
                  <c:v>6130.7370987665872</c:v>
                </c:pt>
                <c:pt idx="10">
                  <c:v>7103.9818727112443</c:v>
                </c:pt>
              </c:numCache>
            </c:numRef>
          </c:xVal>
          <c:yVal>
            <c:numRef>
              <c:f>'All GOR correlations'!$A$3:$A$13</c:f>
              <c:numCache>
                <c:formatCode>General</c:formatCode>
                <c:ptCount val="11"/>
                <c:pt idx="0" formatCode="0">
                  <c:v>9.9999999999999994E-12</c:v>
                </c:pt>
                <c:pt idx="1">
                  <c:v>1500</c:v>
                </c:pt>
                <c:pt idx="2">
                  <c:v>3000</c:v>
                </c:pt>
                <c:pt idx="3" formatCode="0">
                  <c:v>4499.99999999998</c:v>
                </c:pt>
                <c:pt idx="4">
                  <c:v>5999.99999999997</c:v>
                </c:pt>
                <c:pt idx="5">
                  <c:v>7499.99999999996</c:v>
                </c:pt>
                <c:pt idx="6" formatCode="0">
                  <c:v>8999.9999999999509</c:v>
                </c:pt>
                <c:pt idx="7">
                  <c:v>10499.9999999999</c:v>
                </c:pt>
                <c:pt idx="8">
                  <c:v>11999.9999999999</c:v>
                </c:pt>
                <c:pt idx="9" formatCode="0">
                  <c:v>13499.9999999999</c:v>
                </c:pt>
                <c:pt idx="10">
                  <c:v>14999.9999999999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C86-4A67-93DA-3E745C52F0A3}"/>
            </c:ext>
          </c:extLst>
        </c:ser>
        <c:ser>
          <c:idx val="5"/>
          <c:order val="5"/>
          <c:tx>
            <c:strRef>
              <c:f>'All GOR correlations'!$K$2</c:f>
              <c:strCache>
                <c:ptCount val="1"/>
                <c:pt idx="0">
                  <c:v>Petrosky</c:v>
                </c:pt>
              </c:strCache>
            </c:strRef>
          </c:tx>
          <c:marker>
            <c:symbol val="none"/>
          </c:marker>
          <c:xVal>
            <c:numRef>
              <c:f>'All GOR correlations'!$K$3:$K$13</c:f>
              <c:numCache>
                <c:formatCode>0.000</c:formatCode>
                <c:ptCount val="11"/>
                <c:pt idx="0">
                  <c:v>99.388464805719238</c:v>
                </c:pt>
                <c:pt idx="1">
                  <c:v>352.82836692387741</c:v>
                </c:pt>
                <c:pt idx="2">
                  <c:v>727.6365095825804</c:v>
                </c:pt>
                <c:pt idx="3">
                  <c:v>1210.4290663511415</c:v>
                </c:pt>
                <c:pt idx="4">
                  <c:v>1792.870058938498</c:v>
                </c:pt>
                <c:pt idx="5">
                  <c:v>2469.014309053789</c:v>
                </c:pt>
                <c:pt idx="6">
                  <c:v>3234.2993471090886</c:v>
                </c:pt>
                <c:pt idx="7">
                  <c:v>4085.0566863455119</c:v>
                </c:pt>
                <c:pt idx="8">
                  <c:v>5018.2393364517429</c:v>
                </c:pt>
                <c:pt idx="9">
                  <c:v>6031.255150007576</c:v>
                </c:pt>
                <c:pt idx="10">
                  <c:v>7121.8578985030354</c:v>
                </c:pt>
              </c:numCache>
            </c:numRef>
          </c:xVal>
          <c:yVal>
            <c:numRef>
              <c:f>'All GOR correlations'!$A$3:$A$13</c:f>
              <c:numCache>
                <c:formatCode>General</c:formatCode>
                <c:ptCount val="11"/>
                <c:pt idx="0" formatCode="0">
                  <c:v>9.9999999999999994E-12</c:v>
                </c:pt>
                <c:pt idx="1">
                  <c:v>1500</c:v>
                </c:pt>
                <c:pt idx="2">
                  <c:v>3000</c:v>
                </c:pt>
                <c:pt idx="3" formatCode="0">
                  <c:v>4499.99999999998</c:v>
                </c:pt>
                <c:pt idx="4">
                  <c:v>5999.99999999997</c:v>
                </c:pt>
                <c:pt idx="5">
                  <c:v>7499.99999999996</c:v>
                </c:pt>
                <c:pt idx="6" formatCode="0">
                  <c:v>8999.9999999999509</c:v>
                </c:pt>
                <c:pt idx="7">
                  <c:v>10499.9999999999</c:v>
                </c:pt>
                <c:pt idx="8">
                  <c:v>11999.9999999999</c:v>
                </c:pt>
                <c:pt idx="9" formatCode="0">
                  <c:v>13499.9999999999</c:v>
                </c:pt>
                <c:pt idx="10">
                  <c:v>14999.9999999999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C86-4A67-93DA-3E745C52F0A3}"/>
            </c:ext>
          </c:extLst>
        </c:ser>
        <c:ser>
          <c:idx val="6"/>
          <c:order val="6"/>
          <c:tx>
            <c:strRef>
              <c:f>'All GOR correlations'!$L$2</c:f>
              <c:strCache>
                <c:ptCount val="1"/>
                <c:pt idx="0">
                  <c:v>Kartoatmodjo</c:v>
                </c:pt>
              </c:strCache>
            </c:strRef>
          </c:tx>
          <c:marker>
            <c:symbol val="none"/>
          </c:marker>
          <c:xVal>
            <c:numRef>
              <c:f>'All GOR correlations'!$L$3:$L$13</c:f>
              <c:numCache>
                <c:formatCode>0.000</c:formatCode>
                <c:ptCount val="11"/>
                <c:pt idx="0">
                  <c:v>1.1281214963004495E-13</c:v>
                </c:pt>
                <c:pt idx="1">
                  <c:v>360.36855205693308</c:v>
                </c:pt>
                <c:pt idx="2">
                  <c:v>769.10102659441532</c:v>
                </c:pt>
                <c:pt idx="3">
                  <c:v>1198.3243963316283</c:v>
                </c:pt>
                <c:pt idx="4">
                  <c:v>1641.4206670706667</c:v>
                </c:pt>
                <c:pt idx="5">
                  <c:v>2095.1271199849593</c:v>
                </c:pt>
                <c:pt idx="6">
                  <c:v>2557.4721161190096</c:v>
                </c:pt>
                <c:pt idx="7">
                  <c:v>3027.1267869865214</c:v>
                </c:pt>
                <c:pt idx="8">
                  <c:v>3503.1312052942153</c:v>
                </c:pt>
                <c:pt idx="9">
                  <c:v>3984.7576894464951</c:v>
                </c:pt>
                <c:pt idx="10">
                  <c:v>4471.4346177789057</c:v>
                </c:pt>
              </c:numCache>
            </c:numRef>
          </c:xVal>
          <c:yVal>
            <c:numRef>
              <c:f>'All GOR correlations'!$A$3:$A$13</c:f>
              <c:numCache>
                <c:formatCode>General</c:formatCode>
                <c:ptCount val="11"/>
                <c:pt idx="0" formatCode="0">
                  <c:v>9.9999999999999994E-12</c:v>
                </c:pt>
                <c:pt idx="1">
                  <c:v>1500</c:v>
                </c:pt>
                <c:pt idx="2">
                  <c:v>3000</c:v>
                </c:pt>
                <c:pt idx="3" formatCode="0">
                  <c:v>4499.99999999998</c:v>
                </c:pt>
                <c:pt idx="4">
                  <c:v>5999.99999999997</c:v>
                </c:pt>
                <c:pt idx="5">
                  <c:v>7499.99999999996</c:v>
                </c:pt>
                <c:pt idx="6" formatCode="0">
                  <c:v>8999.9999999999509</c:v>
                </c:pt>
                <c:pt idx="7">
                  <c:v>10499.9999999999</c:v>
                </c:pt>
                <c:pt idx="8">
                  <c:v>11999.9999999999</c:v>
                </c:pt>
                <c:pt idx="9" formatCode="0">
                  <c:v>13499.9999999999</c:v>
                </c:pt>
                <c:pt idx="10">
                  <c:v>14999.9999999999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C86-4A67-93DA-3E745C52F0A3}"/>
            </c:ext>
          </c:extLst>
        </c:ser>
        <c:ser>
          <c:idx val="7"/>
          <c:order val="7"/>
          <c:tx>
            <c:strRef>
              <c:f>'All GOR correlations'!$M$2</c:f>
              <c:strCache>
                <c:ptCount val="1"/>
                <c:pt idx="0">
                  <c:v>point</c:v>
                </c:pt>
              </c:strCache>
            </c:strRef>
          </c:tx>
          <c:marker>
            <c:symbol val="square"/>
            <c:size val="8"/>
          </c:marker>
          <c:xVal>
            <c:numRef>
              <c:f>'All GOR correlations'!$M$3:$M$13</c:f>
              <c:numCache>
                <c:formatCode>General</c:formatCode>
                <c:ptCount val="11"/>
                <c:pt idx="4">
                  <c:v>336</c:v>
                </c:pt>
              </c:numCache>
            </c:numRef>
          </c:xVal>
          <c:yVal>
            <c:numRef>
              <c:f>'All GOR correlations'!$A$3:$A$13</c:f>
              <c:numCache>
                <c:formatCode>General</c:formatCode>
                <c:ptCount val="11"/>
                <c:pt idx="0" formatCode="0">
                  <c:v>9.9999999999999994E-12</c:v>
                </c:pt>
                <c:pt idx="1">
                  <c:v>1500</c:v>
                </c:pt>
                <c:pt idx="2">
                  <c:v>3000</c:v>
                </c:pt>
                <c:pt idx="3" formatCode="0">
                  <c:v>4499.99999999998</c:v>
                </c:pt>
                <c:pt idx="4">
                  <c:v>5999.99999999997</c:v>
                </c:pt>
                <c:pt idx="5">
                  <c:v>7499.99999999996</c:v>
                </c:pt>
                <c:pt idx="6" formatCode="0">
                  <c:v>8999.9999999999509</c:v>
                </c:pt>
                <c:pt idx="7">
                  <c:v>10499.9999999999</c:v>
                </c:pt>
                <c:pt idx="8">
                  <c:v>11999.9999999999</c:v>
                </c:pt>
                <c:pt idx="9" formatCode="0">
                  <c:v>13499.9999999999</c:v>
                </c:pt>
                <c:pt idx="10">
                  <c:v>14999.9999999999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C86-4A67-93DA-3E745C52F0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8913768"/>
        <c:axId val="368910632"/>
      </c:scatterChart>
      <c:valAx>
        <c:axId val="368913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/>
                </a:pPr>
                <a:r>
                  <a:rPr lang="en-US" sz="1100"/>
                  <a:t>GOR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368910632"/>
        <c:crosses val="autoZero"/>
        <c:crossBetween val="midCat"/>
      </c:valAx>
      <c:valAx>
        <c:axId val="3689106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100"/>
                </a:pPr>
                <a:r>
                  <a:rPr lang="en-US" sz="1100"/>
                  <a:t>Pressure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36891376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762454068241464"/>
          <c:y val="0.27995906972636325"/>
          <c:w val="0.15233073726427512"/>
          <c:h val="0.37864145500950402"/>
        </c:manualLayout>
      </c:layout>
      <c:overlay val="0"/>
      <c:spPr>
        <a:solidFill>
          <a:schemeClr val="bg1">
            <a:lumMod val="95000"/>
          </a:schemeClr>
        </a:solidFill>
        <a:ln>
          <a:solidFill>
            <a:schemeClr val="bg1">
              <a:lumMod val="50000"/>
            </a:schemeClr>
          </a:solidFill>
        </a:ln>
      </c:spPr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251743707200863E-2"/>
          <c:y val="9.4802289860019387E-2"/>
          <c:w val="0.90600144341367317"/>
          <c:h val="0.84590278157936261"/>
        </c:manualLayout>
      </c:layout>
      <c:scatterChart>
        <c:scatterStyle val="lineMarker"/>
        <c:varyColors val="0"/>
        <c:ser>
          <c:idx val="0"/>
          <c:order val="0"/>
          <c:tx>
            <c:strRef>
              <c:f>'All GOR correlations'!$N$2</c:f>
              <c:strCache>
                <c:ptCount val="1"/>
                <c:pt idx="0">
                  <c:v>Bo.Standing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'All GOR correlations'!$A$3:$A$13</c:f>
              <c:numCache>
                <c:formatCode>General</c:formatCode>
                <c:ptCount val="11"/>
                <c:pt idx="0" formatCode="0">
                  <c:v>9.9999999999999994E-12</c:v>
                </c:pt>
                <c:pt idx="1">
                  <c:v>1500</c:v>
                </c:pt>
                <c:pt idx="2">
                  <c:v>3000</c:v>
                </c:pt>
                <c:pt idx="3" formatCode="0">
                  <c:v>4499.99999999998</c:v>
                </c:pt>
                <c:pt idx="4">
                  <c:v>5999.99999999997</c:v>
                </c:pt>
                <c:pt idx="5">
                  <c:v>7499.99999999996</c:v>
                </c:pt>
                <c:pt idx="6" formatCode="0">
                  <c:v>8999.9999999999509</c:v>
                </c:pt>
                <c:pt idx="7">
                  <c:v>10499.9999999999</c:v>
                </c:pt>
                <c:pt idx="8">
                  <c:v>11999.9999999999</c:v>
                </c:pt>
                <c:pt idx="9" formatCode="0">
                  <c:v>13499.9999999999</c:v>
                </c:pt>
                <c:pt idx="10">
                  <c:v>14999.9999999999</c:v>
                </c:pt>
              </c:numCache>
            </c:numRef>
          </c:xVal>
          <c:yVal>
            <c:numRef>
              <c:f>'All GOR correlations'!$N$3:$N$13</c:f>
              <c:numCache>
                <c:formatCode>0.000</c:formatCode>
                <c:ptCount val="11"/>
                <c:pt idx="0">
                  <c:v>1.0800272324392879</c:v>
                </c:pt>
                <c:pt idx="1">
                  <c:v>1.2440884105250811</c:v>
                </c:pt>
                <c:pt idx="2">
                  <c:v>1.4778408536713754</c:v>
                </c:pt>
                <c:pt idx="3">
                  <c:v>1.756025092706768</c:v>
                </c:pt>
                <c:pt idx="4">
                  <c:v>2.069746442572229</c:v>
                </c:pt>
                <c:pt idx="5">
                  <c:v>2.4137403424147243</c:v>
                </c:pt>
                <c:pt idx="6">
                  <c:v>2.7844207401545038</c:v>
                </c:pt>
                <c:pt idx="7">
                  <c:v>3.1791484093834561</c:v>
                </c:pt>
                <c:pt idx="8">
                  <c:v>3.5958805285676023</c:v>
                </c:pt>
                <c:pt idx="9">
                  <c:v>4.0329782575970841</c:v>
                </c:pt>
                <c:pt idx="10">
                  <c:v>4.4890910404455688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50-4AC4-BAF6-F6AA6536CAFF}"/>
            </c:ext>
          </c:extLst>
        </c:ser>
        <c:ser>
          <c:idx val="1"/>
          <c:order val="1"/>
          <c:tx>
            <c:strRef>
              <c:f>'All GOR correlations'!$O$2</c:f>
              <c:strCache>
                <c:ptCount val="1"/>
                <c:pt idx="0">
                  <c:v>Bo.Vazquez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'All GOR correlations'!$A$3:$A$13</c:f>
              <c:numCache>
                <c:formatCode>General</c:formatCode>
                <c:ptCount val="11"/>
                <c:pt idx="0" formatCode="0">
                  <c:v>9.9999999999999994E-12</c:v>
                </c:pt>
                <c:pt idx="1">
                  <c:v>1500</c:v>
                </c:pt>
                <c:pt idx="2">
                  <c:v>3000</c:v>
                </c:pt>
                <c:pt idx="3" formatCode="0">
                  <c:v>4499.99999999998</c:v>
                </c:pt>
                <c:pt idx="4">
                  <c:v>5999.99999999997</c:v>
                </c:pt>
                <c:pt idx="5">
                  <c:v>7499.99999999996</c:v>
                </c:pt>
                <c:pt idx="6" formatCode="0">
                  <c:v>8999.9999999999509</c:v>
                </c:pt>
                <c:pt idx="7">
                  <c:v>10499.9999999999</c:v>
                </c:pt>
                <c:pt idx="8">
                  <c:v>11999.9999999999</c:v>
                </c:pt>
                <c:pt idx="9" formatCode="0">
                  <c:v>13499.9999999999</c:v>
                </c:pt>
                <c:pt idx="10">
                  <c:v>14999.9999999999</c:v>
                </c:pt>
              </c:numCache>
            </c:numRef>
          </c:xVal>
          <c:yVal>
            <c:numRef>
              <c:f>'All GOR correlations'!$O$3:$O$13</c:f>
              <c:numCache>
                <c:formatCode>0.000</c:formatCode>
                <c:ptCount val="11"/>
                <c:pt idx="0">
                  <c:v>1.0018474914502333</c:v>
                </c:pt>
                <c:pt idx="1">
                  <c:v>1.1591542666222814</c:v>
                </c:pt>
                <c:pt idx="2">
                  <c:v>1.3600016786280003</c:v>
                </c:pt>
                <c:pt idx="3">
                  <c:v>1.5813967537476021</c:v>
                </c:pt>
                <c:pt idx="4">
                  <c:v>1.8172886677929014</c:v>
                </c:pt>
                <c:pt idx="5">
                  <c:v>2.0645820982832577</c:v>
                </c:pt>
                <c:pt idx="6">
                  <c:v>2.3213583309583834</c:v>
                </c:pt>
                <c:pt idx="7">
                  <c:v>2.5862984497062262</c:v>
                </c:pt>
                <c:pt idx="8">
                  <c:v>2.858434223870804</c:v>
                </c:pt>
                <c:pt idx="9">
                  <c:v>3.13702156174742</c:v>
                </c:pt>
                <c:pt idx="10">
                  <c:v>3.4214689532701321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50-4AC4-BAF6-F6AA6536CAFF}"/>
            </c:ext>
          </c:extLst>
        </c:ser>
        <c:ser>
          <c:idx val="2"/>
          <c:order val="2"/>
          <c:tx>
            <c:strRef>
              <c:f>'All GOR correlations'!$P$2</c:f>
              <c:strCache>
                <c:ptCount val="1"/>
                <c:pt idx="0">
                  <c:v>gl_y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'All GOR correlations'!$A$3:$A$13</c:f>
              <c:numCache>
                <c:formatCode>General</c:formatCode>
                <c:ptCount val="11"/>
                <c:pt idx="0" formatCode="0">
                  <c:v>9.9999999999999994E-12</c:v>
                </c:pt>
                <c:pt idx="1">
                  <c:v>1500</c:v>
                </c:pt>
                <c:pt idx="2">
                  <c:v>3000</c:v>
                </c:pt>
                <c:pt idx="3" formatCode="0">
                  <c:v>4499.99999999998</c:v>
                </c:pt>
                <c:pt idx="4">
                  <c:v>5999.99999999997</c:v>
                </c:pt>
                <c:pt idx="5">
                  <c:v>7499.99999999996</c:v>
                </c:pt>
                <c:pt idx="6" formatCode="0">
                  <c:v>8999.9999999999509</c:v>
                </c:pt>
                <c:pt idx="7">
                  <c:v>10499.9999999999</c:v>
                </c:pt>
                <c:pt idx="8">
                  <c:v>11999.9999999999</c:v>
                </c:pt>
                <c:pt idx="9" formatCode="0">
                  <c:v>13499.9999999999</c:v>
                </c:pt>
                <c:pt idx="10">
                  <c:v>14999.9999999999</c:v>
                </c:pt>
              </c:numCache>
            </c:numRef>
          </c:xVal>
          <c:yVal>
            <c:numRef>
              <c:f>'All GOR correlations'!$P$3:$P$13</c:f>
            </c:numRef>
          </c:yVal>
          <c:smooth val="0"/>
          <c:extLst>
            <c:ext xmlns:c16="http://schemas.microsoft.com/office/drawing/2014/chart" uri="{C3380CC4-5D6E-409C-BE32-E72D297353CC}">
              <c16:uniqueId val="{00000002-D150-4AC4-BAF6-F6AA6536CAFF}"/>
            </c:ext>
          </c:extLst>
        </c:ser>
        <c:ser>
          <c:idx val="3"/>
          <c:order val="3"/>
          <c:tx>
            <c:strRef>
              <c:f>'All GOR correlations'!$Q$2</c:f>
              <c:strCache>
                <c:ptCount val="1"/>
                <c:pt idx="0">
                  <c:v>Bo.Glaso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'All GOR correlations'!$A$3:$A$13</c:f>
              <c:numCache>
                <c:formatCode>General</c:formatCode>
                <c:ptCount val="11"/>
                <c:pt idx="0" formatCode="0">
                  <c:v>9.9999999999999994E-12</c:v>
                </c:pt>
                <c:pt idx="1">
                  <c:v>1500</c:v>
                </c:pt>
                <c:pt idx="2">
                  <c:v>3000</c:v>
                </c:pt>
                <c:pt idx="3" formatCode="0">
                  <c:v>4499.99999999998</c:v>
                </c:pt>
                <c:pt idx="4">
                  <c:v>5999.99999999997</c:v>
                </c:pt>
                <c:pt idx="5">
                  <c:v>7499.99999999996</c:v>
                </c:pt>
                <c:pt idx="6" formatCode="0">
                  <c:v>8999.9999999999509</c:v>
                </c:pt>
                <c:pt idx="7">
                  <c:v>10499.9999999999</c:v>
                </c:pt>
                <c:pt idx="8">
                  <c:v>11999.9999999999</c:v>
                </c:pt>
                <c:pt idx="9" formatCode="0">
                  <c:v>13499.9999999999</c:v>
                </c:pt>
                <c:pt idx="10">
                  <c:v>14999.9999999999</c:v>
                </c:pt>
              </c:numCache>
            </c:numRef>
          </c:xVal>
          <c:yVal>
            <c:numRef>
              <c:f>'All GOR correlations'!$Q$3:$Q$13</c:f>
              <c:numCache>
                <c:formatCode>0.000</c:formatCode>
                <c:ptCount val="11"/>
                <c:pt idx="0">
                  <c:v>1.0497978110681607</c:v>
                </c:pt>
                <c:pt idx="1">
                  <c:v>1.2064645847754727</c:v>
                </c:pt>
                <c:pt idx="2">
                  <c:v>1.4303517251177513</c:v>
                </c:pt>
                <c:pt idx="3">
                  <c:v>1.7303202017909058</c:v>
                </c:pt>
                <c:pt idx="4">
                  <c:v>2.1082281408232437</c:v>
                </c:pt>
                <c:pt idx="5">
                  <c:v>2.5673984559539234</c:v>
                </c:pt>
                <c:pt idx="6">
                  <c:v>3.113036664759508</c:v>
                </c:pt>
                <c:pt idx="7">
                  <c:v>3.752848825363885</c:v>
                </c:pt>
                <c:pt idx="8">
                  <c:v>4.4982271434837795</c:v>
                </c:pt>
                <c:pt idx="9">
                  <c:v>5.3666434878483873</c:v>
                </c:pt>
                <c:pt idx="10">
                  <c:v>6.3870500883984453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150-4AC4-BAF6-F6AA6536CAFF}"/>
            </c:ext>
          </c:extLst>
        </c:ser>
        <c:ser>
          <c:idx val="4"/>
          <c:order val="4"/>
          <c:tx>
            <c:strRef>
              <c:f>'All GOR correlations'!$R$2</c:f>
              <c:strCache>
                <c:ptCount val="1"/>
                <c:pt idx="0">
                  <c:v>am_F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'All GOR correlations'!$A$3:$A$13</c:f>
              <c:numCache>
                <c:formatCode>General</c:formatCode>
                <c:ptCount val="11"/>
                <c:pt idx="0" formatCode="0">
                  <c:v>9.9999999999999994E-12</c:v>
                </c:pt>
                <c:pt idx="1">
                  <c:v>1500</c:v>
                </c:pt>
                <c:pt idx="2">
                  <c:v>3000</c:v>
                </c:pt>
                <c:pt idx="3" formatCode="0">
                  <c:v>4499.99999999998</c:v>
                </c:pt>
                <c:pt idx="4">
                  <c:v>5999.99999999997</c:v>
                </c:pt>
                <c:pt idx="5">
                  <c:v>7499.99999999996</c:v>
                </c:pt>
                <c:pt idx="6" formatCode="0">
                  <c:v>8999.9999999999509</c:v>
                </c:pt>
                <c:pt idx="7">
                  <c:v>10499.9999999999</c:v>
                </c:pt>
                <c:pt idx="8">
                  <c:v>11999.9999999999</c:v>
                </c:pt>
                <c:pt idx="9" formatCode="0">
                  <c:v>13499.9999999999</c:v>
                </c:pt>
                <c:pt idx="10">
                  <c:v>14999.9999999999</c:v>
                </c:pt>
              </c:numCache>
            </c:numRef>
          </c:xVal>
          <c:yVal>
            <c:numRef>
              <c:f>'All GOR correlations'!$R$3:$R$13</c:f>
            </c:numRef>
          </c:yVal>
          <c:smooth val="0"/>
          <c:extLst>
            <c:ext xmlns:c16="http://schemas.microsoft.com/office/drawing/2014/chart" uri="{C3380CC4-5D6E-409C-BE32-E72D297353CC}">
              <c16:uniqueId val="{00000004-D150-4AC4-BAF6-F6AA6536CAFF}"/>
            </c:ext>
          </c:extLst>
        </c:ser>
        <c:ser>
          <c:idx val="5"/>
          <c:order val="5"/>
          <c:tx>
            <c:strRef>
              <c:f>'All GOR correlations'!$S$2</c:f>
              <c:strCache>
                <c:ptCount val="1"/>
                <c:pt idx="0">
                  <c:v>Bo.Al-Marhoun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'All GOR correlations'!$A$3:$A$13</c:f>
              <c:numCache>
                <c:formatCode>General</c:formatCode>
                <c:ptCount val="11"/>
                <c:pt idx="0" formatCode="0">
                  <c:v>9.9999999999999994E-12</c:v>
                </c:pt>
                <c:pt idx="1">
                  <c:v>1500</c:v>
                </c:pt>
                <c:pt idx="2">
                  <c:v>3000</c:v>
                </c:pt>
                <c:pt idx="3" formatCode="0">
                  <c:v>4499.99999999998</c:v>
                </c:pt>
                <c:pt idx="4">
                  <c:v>5999.99999999997</c:v>
                </c:pt>
                <c:pt idx="5">
                  <c:v>7499.99999999996</c:v>
                </c:pt>
                <c:pt idx="6" formatCode="0">
                  <c:v>8999.9999999999509</c:v>
                </c:pt>
                <c:pt idx="7">
                  <c:v>10499.9999999999</c:v>
                </c:pt>
                <c:pt idx="8">
                  <c:v>11999.9999999999</c:v>
                </c:pt>
                <c:pt idx="9" formatCode="0">
                  <c:v>13499.9999999999</c:v>
                </c:pt>
                <c:pt idx="10">
                  <c:v>14999.9999999999</c:v>
                </c:pt>
              </c:numCache>
            </c:numRef>
          </c:xVal>
          <c:yVal>
            <c:numRef>
              <c:f>'All GOR correlations'!$S$3:$S$13</c:f>
              <c:numCache>
                <c:formatCode>0.000</c:formatCode>
                <c:ptCount val="11"/>
                <c:pt idx="0">
                  <c:v>1.0591309422100001</c:v>
                </c:pt>
                <c:pt idx="1">
                  <c:v>1.21908500229243</c:v>
                </c:pt>
                <c:pt idx="2">
                  <c:v>1.4286576146025256</c:v>
                </c:pt>
                <c:pt idx="3">
                  <c:v>1.685847719082632</c:v>
                </c:pt>
                <c:pt idx="4">
                  <c:v>1.991082452417634</c:v>
                </c:pt>
                <c:pt idx="5">
                  <c:v>2.344908775384881</c:v>
                </c:pt>
                <c:pt idx="6">
                  <c:v>2.7478509731730316</c:v>
                </c:pt>
                <c:pt idx="7">
                  <c:v>3.2003901328024282</c:v>
                </c:pt>
                <c:pt idx="8">
                  <c:v>3.7029648335553813</c:v>
                </c:pt>
                <c:pt idx="9">
                  <c:v>4.2559759653386191</c:v>
                </c:pt>
                <c:pt idx="10">
                  <c:v>4.859791843720501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150-4AC4-BAF6-F6AA6536CAFF}"/>
            </c:ext>
          </c:extLst>
        </c:ser>
        <c:ser>
          <c:idx val="6"/>
          <c:order val="6"/>
          <c:tx>
            <c:strRef>
              <c:f>'All GOR correlations'!$T$2</c:f>
              <c:strCache>
                <c:ptCount val="1"/>
                <c:pt idx="0">
                  <c:v>kar_F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'All GOR correlations'!$A$3:$A$13</c:f>
              <c:numCache>
                <c:formatCode>General</c:formatCode>
                <c:ptCount val="11"/>
                <c:pt idx="0" formatCode="0">
                  <c:v>9.9999999999999994E-12</c:v>
                </c:pt>
                <c:pt idx="1">
                  <c:v>1500</c:v>
                </c:pt>
                <c:pt idx="2">
                  <c:v>3000</c:v>
                </c:pt>
                <c:pt idx="3" formatCode="0">
                  <c:v>4499.99999999998</c:v>
                </c:pt>
                <c:pt idx="4">
                  <c:v>5999.99999999997</c:v>
                </c:pt>
                <c:pt idx="5">
                  <c:v>7499.99999999996</c:v>
                </c:pt>
                <c:pt idx="6" formatCode="0">
                  <c:v>8999.9999999999509</c:v>
                </c:pt>
                <c:pt idx="7">
                  <c:v>10499.9999999999</c:v>
                </c:pt>
                <c:pt idx="8">
                  <c:v>11999.9999999999</c:v>
                </c:pt>
                <c:pt idx="9" formatCode="0">
                  <c:v>13499.9999999999</c:v>
                </c:pt>
                <c:pt idx="10">
                  <c:v>14999.9999999999</c:v>
                </c:pt>
              </c:numCache>
            </c:numRef>
          </c:xVal>
          <c:yVal>
            <c:numRef>
              <c:f>'All GOR correlations'!$T$3:$T$13</c:f>
            </c:numRef>
          </c:yVal>
          <c:smooth val="0"/>
          <c:extLst>
            <c:ext xmlns:c16="http://schemas.microsoft.com/office/drawing/2014/chart" uri="{C3380CC4-5D6E-409C-BE32-E72D297353CC}">
              <c16:uniqueId val="{00000006-D150-4AC4-BAF6-F6AA6536CAFF}"/>
            </c:ext>
          </c:extLst>
        </c:ser>
        <c:ser>
          <c:idx val="7"/>
          <c:order val="7"/>
          <c:tx>
            <c:strRef>
              <c:f>'All GOR correlations'!$U$2</c:f>
              <c:strCache>
                <c:ptCount val="1"/>
                <c:pt idx="0">
                  <c:v>Bo.Kartoatmodjo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GOR correlations'!$A$3:$A$13</c:f>
              <c:numCache>
                <c:formatCode>General</c:formatCode>
                <c:ptCount val="11"/>
                <c:pt idx="0" formatCode="0">
                  <c:v>9.9999999999999994E-12</c:v>
                </c:pt>
                <c:pt idx="1">
                  <c:v>1500</c:v>
                </c:pt>
                <c:pt idx="2">
                  <c:v>3000</c:v>
                </c:pt>
                <c:pt idx="3" formatCode="0">
                  <c:v>4499.99999999998</c:v>
                </c:pt>
                <c:pt idx="4">
                  <c:v>5999.99999999997</c:v>
                </c:pt>
                <c:pt idx="5">
                  <c:v>7499.99999999996</c:v>
                </c:pt>
                <c:pt idx="6" formatCode="0">
                  <c:v>8999.9999999999509</c:v>
                </c:pt>
                <c:pt idx="7">
                  <c:v>10499.9999999999</c:v>
                </c:pt>
                <c:pt idx="8">
                  <c:v>11999.9999999999</c:v>
                </c:pt>
                <c:pt idx="9" formatCode="0">
                  <c:v>13499.9999999999</c:v>
                </c:pt>
                <c:pt idx="10">
                  <c:v>14999.9999999999</c:v>
                </c:pt>
              </c:numCache>
            </c:numRef>
          </c:xVal>
          <c:yVal>
            <c:numRef>
              <c:f>'All GOR correlations'!$U$3:$U$13</c:f>
              <c:numCache>
                <c:formatCode>0.000</c:formatCode>
                <c:ptCount val="11"/>
                <c:pt idx="0">
                  <c:v>1.0834637562735854</c:v>
                </c:pt>
                <c:pt idx="1">
                  <c:v>1.2692136345256204</c:v>
                </c:pt>
                <c:pt idx="2">
                  <c:v>1.4742514042791037</c:v>
                </c:pt>
                <c:pt idx="3">
                  <c:v>1.6998996661809043</c:v>
                </c:pt>
                <c:pt idx="4">
                  <c:v>1.9432132890120759</c:v>
                </c:pt>
                <c:pt idx="5">
                  <c:v>2.2020275352380181</c:v>
                </c:pt>
                <c:pt idx="6">
                  <c:v>2.474725989988027</c:v>
                </c:pt>
                <c:pt idx="7">
                  <c:v>2.7600557010619884</c:v>
                </c:pt>
                <c:pt idx="8">
                  <c:v>3.0570138456754079</c:v>
                </c:pt>
                <c:pt idx="9">
                  <c:v>3.3647768993711109</c:v>
                </c:pt>
                <c:pt idx="10">
                  <c:v>3.682654449986078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150-4AC4-BAF6-F6AA6536CA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8912592"/>
        <c:axId val="368909456"/>
      </c:scatterChart>
      <c:valAx>
        <c:axId val="368912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909456"/>
        <c:crosses val="autoZero"/>
        <c:crossBetween val="midCat"/>
      </c:valAx>
      <c:valAx>
        <c:axId val="368909456"/>
        <c:scaling>
          <c:orientation val="minMax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912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791931508300471"/>
          <c:y val="0.43317873853218397"/>
          <c:w val="0.17391291500310341"/>
          <c:h val="0.2156645778523425"/>
        </c:manualLayout>
      </c:layout>
      <c:overlay val="0"/>
      <c:spPr>
        <a:solidFill>
          <a:schemeClr val="bg1">
            <a:lumMod val="95000"/>
          </a:schemeClr>
        </a:solidFill>
        <a:ln>
          <a:solidFill>
            <a:schemeClr val="bg1">
              <a:lumMod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'All GOR correlations'!$A$3:$A$13</c:f>
              <c:numCache>
                <c:formatCode>General</c:formatCode>
                <c:ptCount val="11"/>
                <c:pt idx="0" formatCode="0">
                  <c:v>9.9999999999999994E-12</c:v>
                </c:pt>
                <c:pt idx="1">
                  <c:v>1500</c:v>
                </c:pt>
                <c:pt idx="2">
                  <c:v>3000</c:v>
                </c:pt>
                <c:pt idx="3" formatCode="0">
                  <c:v>4499.99999999998</c:v>
                </c:pt>
                <c:pt idx="4">
                  <c:v>5999.99999999997</c:v>
                </c:pt>
                <c:pt idx="5">
                  <c:v>7499.99999999996</c:v>
                </c:pt>
                <c:pt idx="6" formatCode="0">
                  <c:v>8999.9999999999509</c:v>
                </c:pt>
                <c:pt idx="7">
                  <c:v>10499.9999999999</c:v>
                </c:pt>
                <c:pt idx="8">
                  <c:v>11999.9999999999</c:v>
                </c:pt>
                <c:pt idx="9" formatCode="0">
                  <c:v>13499.9999999999</c:v>
                </c:pt>
                <c:pt idx="10">
                  <c:v>14999.9999999999</c:v>
                </c:pt>
              </c:numCache>
            </c:numRef>
          </c:xVal>
          <c:yVal>
            <c:numRef>
              <c:f>'All GOR correlations'!$H$3:$H$13</c:f>
              <c:numCache>
                <c:formatCode>0.000</c:formatCode>
                <c:ptCount val="11"/>
                <c:pt idx="0">
                  <c:v>1.4631275168909051E-4</c:v>
                </c:pt>
                <c:pt idx="1">
                  <c:v>341.4561665735763</c:v>
                </c:pt>
                <c:pt idx="2">
                  <c:v>753.5532168632426</c:v>
                </c:pt>
                <c:pt idx="3">
                  <c:v>1284.8688736802699</c:v>
                </c:pt>
                <c:pt idx="4">
                  <c:v>1966.3907938168575</c:v>
                </c:pt>
                <c:pt idx="5">
                  <c:v>2840.5345129422503</c:v>
                </c:pt>
                <c:pt idx="6">
                  <c:v>3968.1808934408878</c:v>
                </c:pt>
                <c:pt idx="7">
                  <c:v>5440.2204400411529</c:v>
                </c:pt>
                <c:pt idx="8">
                  <c:v>7399.4615367899614</c:v>
                </c:pt>
                <c:pt idx="9">
                  <c:v>10086.731157777749</c:v>
                </c:pt>
                <c:pt idx="10">
                  <c:v>13952.457403566572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75-4B6B-BE6E-7E4E94F2D1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8913376"/>
        <c:axId val="368912200"/>
      </c:scatterChart>
      <c:valAx>
        <c:axId val="368913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912200"/>
        <c:crosses val="autoZero"/>
        <c:crossBetween val="midCat"/>
      </c:valAx>
      <c:valAx>
        <c:axId val="368912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913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GOR V&amp;B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Sheet1!#REF!</c:f>
            </c:numRef>
          </c:xVal>
          <c:yVal>
            <c:numRef>
              <c:f>'All GOR correlations'!$G$3:$G$13</c:f>
              <c:numCache>
                <c:formatCode>0.000</c:formatCode>
                <c:ptCount val="11"/>
                <c:pt idx="0">
                  <c:v>5.0141976059709369E-15</c:v>
                </c:pt>
                <c:pt idx="1">
                  <c:v>336.68345073474467</c:v>
                </c:pt>
                <c:pt idx="2">
                  <c:v>766.55686000951744</c:v>
                </c:pt>
                <c:pt idx="3">
                  <c:v>1240.408401276067</c:v>
                </c:pt>
                <c:pt idx="4">
                  <c:v>1745.287504762435</c:v>
                </c:pt>
                <c:pt idx="5">
                  <c:v>2274.5692564890469</c:v>
                </c:pt>
                <c:pt idx="6">
                  <c:v>2824.1470352539814</c:v>
                </c:pt>
                <c:pt idx="7">
                  <c:v>3391.1979669162497</c:v>
                </c:pt>
                <c:pt idx="8">
                  <c:v>3973.649748881086</c:v>
                </c:pt>
                <c:pt idx="9">
                  <c:v>4569.9098028089593</c:v>
                </c:pt>
                <c:pt idx="10">
                  <c:v>5178.7121206088159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61E-4005-80C3-E9F88E5B78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8916512"/>
        <c:axId val="368909064"/>
      </c:scatterChart>
      <c:valAx>
        <c:axId val="368916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68909064"/>
        <c:crosses val="autoZero"/>
        <c:crossBetween val="midCat"/>
      </c:valAx>
      <c:valAx>
        <c:axId val="368909064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3689165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18.png"/><Relationship Id="rId4" Type="http://schemas.openxmlformats.org/officeDocument/2006/relationships/image" Target="../media/image10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4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Relationship Id="rId5" Type="http://schemas.openxmlformats.org/officeDocument/2006/relationships/image" Target="../media/image10.png"/><Relationship Id="rId4" Type="http://schemas.openxmlformats.org/officeDocument/2006/relationships/image" Target="../media/image9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.png"/><Relationship Id="rId2" Type="http://schemas.openxmlformats.org/officeDocument/2006/relationships/image" Target="../media/image13.png"/><Relationship Id="rId1" Type="http://schemas.openxmlformats.org/officeDocument/2006/relationships/image" Target="../media/image12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17.png"/><Relationship Id="rId2" Type="http://schemas.openxmlformats.org/officeDocument/2006/relationships/image" Target="../media/image16.png"/><Relationship Id="rId1" Type="http://schemas.openxmlformats.org/officeDocument/2006/relationships/image" Target="../media/image1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531669</xdr:colOff>
      <xdr:row>0</xdr:row>
      <xdr:rowOff>11257</xdr:rowOff>
    </xdr:from>
    <xdr:to>
      <xdr:col>24</xdr:col>
      <xdr:colOff>274595</xdr:colOff>
      <xdr:row>26</xdr:row>
      <xdr:rowOff>119954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495300</xdr:colOff>
      <xdr:row>1</xdr:row>
      <xdr:rowOff>76200</xdr:rowOff>
    </xdr:from>
    <xdr:to>
      <xdr:col>6</xdr:col>
      <xdr:colOff>285750</xdr:colOff>
      <xdr:row>23</xdr:row>
      <xdr:rowOff>28575</xdr:rowOff>
    </xdr:to>
    <xdr:pic>
      <xdr:nvPicPr>
        <xdr:cNvPr id="6145" name="Picture 1">
          <a:extLst>
            <a:ext uri="{FF2B5EF4-FFF2-40B4-BE49-F238E27FC236}">
              <a16:creationId xmlns:a16="http://schemas.microsoft.com/office/drawing/2014/main" id="{00000000-0008-0000-0900-0000011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95300" y="266700"/>
          <a:ext cx="3448050" cy="41433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7</xdr:col>
      <xdr:colOff>381000</xdr:colOff>
      <xdr:row>2</xdr:row>
      <xdr:rowOff>9525</xdr:rowOff>
    </xdr:from>
    <xdr:to>
      <xdr:col>16</xdr:col>
      <xdr:colOff>542925</xdr:colOff>
      <xdr:row>29</xdr:row>
      <xdr:rowOff>180975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GrpSpPr/>
      </xdr:nvGrpSpPr>
      <xdr:grpSpPr>
        <a:xfrm>
          <a:off x="4648200" y="390525"/>
          <a:ext cx="5648325" cy="5314950"/>
          <a:chOff x="4648200" y="390525"/>
          <a:chExt cx="5648325" cy="5314950"/>
        </a:xfrm>
      </xdr:grpSpPr>
      <xdr:pic>
        <xdr:nvPicPr>
          <xdr:cNvPr id="6146" name="Picture 2">
            <a:extLst>
              <a:ext uri="{FF2B5EF4-FFF2-40B4-BE49-F238E27FC236}">
                <a16:creationId xmlns:a16="http://schemas.microsoft.com/office/drawing/2014/main" id="{00000000-0008-0000-0900-00000218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/>
          <a:srcRect/>
          <a:stretch>
            <a:fillRect/>
          </a:stretch>
        </xdr:blipFill>
        <xdr:spPr bwMode="auto">
          <a:xfrm>
            <a:off x="4648200" y="390525"/>
            <a:ext cx="5114925" cy="3038475"/>
          </a:xfrm>
          <a:prstGeom prst="rect">
            <a:avLst/>
          </a:prstGeom>
          <a:noFill/>
          <a:ln w="1">
            <a:noFill/>
            <a:miter lim="800000"/>
            <a:headEnd/>
            <a:tailEnd type="none" w="med" len="med"/>
          </a:ln>
          <a:effectLst/>
        </xdr:spPr>
      </xdr:pic>
      <xdr:pic>
        <xdr:nvPicPr>
          <xdr:cNvPr id="6147" name="Picture 3">
            <a:extLst>
              <a:ext uri="{FF2B5EF4-FFF2-40B4-BE49-F238E27FC236}">
                <a16:creationId xmlns:a16="http://schemas.microsoft.com/office/drawing/2014/main" id="{00000000-0008-0000-0900-00000318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/>
          <a:srcRect/>
          <a:stretch>
            <a:fillRect/>
          </a:stretch>
        </xdr:blipFill>
        <xdr:spPr bwMode="auto">
          <a:xfrm>
            <a:off x="4686300" y="3524250"/>
            <a:ext cx="5305425" cy="771525"/>
          </a:xfrm>
          <a:prstGeom prst="rect">
            <a:avLst/>
          </a:prstGeom>
          <a:noFill/>
          <a:ln w="1">
            <a:noFill/>
            <a:miter lim="800000"/>
            <a:headEnd/>
            <a:tailEnd type="none" w="med" len="med"/>
          </a:ln>
          <a:effectLst/>
        </xdr:spPr>
      </xdr:pic>
      <xdr:pic>
        <xdr:nvPicPr>
          <xdr:cNvPr id="6148" name="Picture 4">
            <a:extLst>
              <a:ext uri="{FF2B5EF4-FFF2-40B4-BE49-F238E27FC236}">
                <a16:creationId xmlns:a16="http://schemas.microsoft.com/office/drawing/2014/main" id="{00000000-0008-0000-0900-00000418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4" cstate="print"/>
          <a:srcRect/>
          <a:stretch>
            <a:fillRect/>
          </a:stretch>
        </xdr:blipFill>
        <xdr:spPr bwMode="auto">
          <a:xfrm>
            <a:off x="4657725" y="4400550"/>
            <a:ext cx="5638800" cy="1304925"/>
          </a:xfrm>
          <a:prstGeom prst="rect">
            <a:avLst/>
          </a:prstGeom>
          <a:noFill/>
          <a:ln w="1">
            <a:noFill/>
            <a:miter lim="800000"/>
            <a:headEnd/>
            <a:tailEnd type="none" w="med" len="med"/>
          </a:ln>
          <a:effectLst/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113434</xdr:colOff>
      <xdr:row>13</xdr:row>
      <xdr:rowOff>87457</xdr:rowOff>
    </xdr:from>
    <xdr:to>
      <xdr:col>13</xdr:col>
      <xdr:colOff>389660</xdr:colOff>
      <xdr:row>42</xdr:row>
      <xdr:rowOff>49357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00000000-0008-0000-01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02502" y="2615912"/>
          <a:ext cx="6034522" cy="54864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14</xdr:col>
      <xdr:colOff>295275</xdr:colOff>
      <xdr:row>1</xdr:row>
      <xdr:rowOff>85725</xdr:rowOff>
    </xdr:from>
    <xdr:to>
      <xdr:col>21</xdr:col>
      <xdr:colOff>466725</xdr:colOff>
      <xdr:row>17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504265</xdr:colOff>
      <xdr:row>31</xdr:row>
      <xdr:rowOff>62472</xdr:rowOff>
    </xdr:from>
    <xdr:to>
      <xdr:col>27</xdr:col>
      <xdr:colOff>290233</xdr:colOff>
      <xdr:row>63</xdr:row>
      <xdr:rowOff>174392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705972</xdr:colOff>
      <xdr:row>14</xdr:row>
      <xdr:rowOff>100852</xdr:rowOff>
    </xdr:from>
    <xdr:to>
      <xdr:col>11</xdr:col>
      <xdr:colOff>0</xdr:colOff>
      <xdr:row>39</xdr:row>
      <xdr:rowOff>190499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560294</xdr:colOff>
      <xdr:row>14</xdr:row>
      <xdr:rowOff>6724</xdr:rowOff>
    </xdr:from>
    <xdr:to>
      <xdr:col>22</xdr:col>
      <xdr:colOff>437029</xdr:colOff>
      <xdr:row>40</xdr:row>
      <xdr:rowOff>22412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380999</xdr:colOff>
      <xdr:row>13</xdr:row>
      <xdr:rowOff>85164</xdr:rowOff>
    </xdr:from>
    <xdr:to>
      <xdr:col>14</xdr:col>
      <xdr:colOff>313764</xdr:colOff>
      <xdr:row>31</xdr:row>
      <xdr:rowOff>134470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123825</xdr:colOff>
      <xdr:row>0</xdr:row>
      <xdr:rowOff>0</xdr:rowOff>
    </xdr:from>
    <xdr:to>
      <xdr:col>23</xdr:col>
      <xdr:colOff>133350</xdr:colOff>
      <xdr:row>58</xdr:row>
      <xdr:rowOff>76200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pSpPr/>
      </xdr:nvGrpSpPr>
      <xdr:grpSpPr>
        <a:xfrm>
          <a:off x="9382125" y="0"/>
          <a:ext cx="6105525" cy="11268075"/>
          <a:chOff x="3848100" y="3333750"/>
          <a:chExt cx="6105525" cy="11268075"/>
        </a:xfrm>
      </xdr:grpSpPr>
      <xdr:pic>
        <xdr:nvPicPr>
          <xdr:cNvPr id="2049" name="Picture 1">
            <a:extLst>
              <a:ext uri="{FF2B5EF4-FFF2-40B4-BE49-F238E27FC236}">
                <a16:creationId xmlns:a16="http://schemas.microsoft.com/office/drawing/2014/main" id="{00000000-0008-0000-0300-00000108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3914775" y="3333750"/>
            <a:ext cx="5953125" cy="5762625"/>
          </a:xfrm>
          <a:prstGeom prst="rect">
            <a:avLst/>
          </a:prstGeom>
          <a:noFill/>
          <a:ln w="1">
            <a:noFill/>
            <a:miter lim="800000"/>
            <a:headEnd/>
            <a:tailEnd type="none" w="med" len="med"/>
          </a:ln>
          <a:effectLst/>
        </xdr:spPr>
      </xdr:pic>
      <xdr:pic>
        <xdr:nvPicPr>
          <xdr:cNvPr id="2050" name="Picture 2">
            <a:extLst>
              <a:ext uri="{FF2B5EF4-FFF2-40B4-BE49-F238E27FC236}">
                <a16:creationId xmlns:a16="http://schemas.microsoft.com/office/drawing/2014/main" id="{00000000-0008-0000-0300-00000208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/>
          <a:srcRect b="33209"/>
          <a:stretch>
            <a:fillRect/>
          </a:stretch>
        </xdr:blipFill>
        <xdr:spPr bwMode="auto">
          <a:xfrm>
            <a:off x="3848100" y="11191875"/>
            <a:ext cx="5619750" cy="3409950"/>
          </a:xfrm>
          <a:prstGeom prst="rect">
            <a:avLst/>
          </a:prstGeom>
          <a:noFill/>
          <a:ln w="1">
            <a:noFill/>
            <a:miter lim="800000"/>
            <a:headEnd/>
            <a:tailEnd type="none" w="med" len="med"/>
          </a:ln>
          <a:effectLst/>
        </xdr:spPr>
      </xdr:pic>
      <xdr:pic>
        <xdr:nvPicPr>
          <xdr:cNvPr id="2052" name="Picture 4">
            <a:extLst>
              <a:ext uri="{FF2B5EF4-FFF2-40B4-BE49-F238E27FC236}">
                <a16:creationId xmlns:a16="http://schemas.microsoft.com/office/drawing/2014/main" id="{00000000-0008-0000-0300-00000408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/>
          <a:srcRect/>
          <a:stretch>
            <a:fillRect/>
          </a:stretch>
        </xdr:blipFill>
        <xdr:spPr bwMode="auto">
          <a:xfrm>
            <a:off x="3848100" y="9096375"/>
            <a:ext cx="6105525" cy="2162175"/>
          </a:xfrm>
          <a:prstGeom prst="rect">
            <a:avLst/>
          </a:prstGeom>
          <a:noFill/>
          <a:ln w="1">
            <a:noFill/>
            <a:miter lim="800000"/>
            <a:headEnd/>
            <a:tailEnd type="none" w="med" len="med"/>
          </a:ln>
          <a:effectLst/>
        </xdr:spPr>
      </xdr:pic>
    </xdr:grpSp>
    <xdr:clientData/>
  </xdr:twoCellAnchor>
  <xdr:twoCellAnchor>
    <xdr:from>
      <xdr:col>5</xdr:col>
      <xdr:colOff>561975</xdr:colOff>
      <xdr:row>0</xdr:row>
      <xdr:rowOff>85725</xdr:rowOff>
    </xdr:from>
    <xdr:to>
      <xdr:col>11</xdr:col>
      <xdr:colOff>333375</xdr:colOff>
      <xdr:row>14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171450</xdr:colOff>
      <xdr:row>0</xdr:row>
      <xdr:rowOff>76200</xdr:rowOff>
    </xdr:from>
    <xdr:to>
      <xdr:col>13</xdr:col>
      <xdr:colOff>152400</xdr:colOff>
      <xdr:row>42</xdr:row>
      <xdr:rowOff>142875</xdr:rowOff>
    </xdr:to>
    <xdr:pic>
      <xdr:nvPicPr>
        <xdr:cNvPr id="3073" name="Picture 1">
          <a:extLst>
            <a:ext uri="{FF2B5EF4-FFF2-40B4-BE49-F238E27FC236}">
              <a16:creationId xmlns:a16="http://schemas.microsoft.com/office/drawing/2014/main" id="{00000000-0008-0000-0400-00000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00350" y="76200"/>
          <a:ext cx="6610350" cy="82296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47625</xdr:colOff>
      <xdr:row>29</xdr:row>
      <xdr:rowOff>152400</xdr:rowOff>
    </xdr:from>
    <xdr:to>
      <xdr:col>23</xdr:col>
      <xdr:colOff>66675</xdr:colOff>
      <xdr:row>67</xdr:row>
      <xdr:rowOff>85725</xdr:rowOff>
    </xdr:to>
    <xdr:grpSp>
      <xdr:nvGrpSpPr>
        <xdr:cNvPr id="4" name="Group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pSpPr/>
      </xdr:nvGrpSpPr>
      <xdr:grpSpPr>
        <a:xfrm>
          <a:off x="7696200" y="5876925"/>
          <a:ext cx="6724650" cy="7172325"/>
          <a:chOff x="3590925" y="190500"/>
          <a:chExt cx="6391275" cy="7172325"/>
        </a:xfrm>
      </xdr:grpSpPr>
      <xdr:pic>
        <xdr:nvPicPr>
          <xdr:cNvPr id="5121" name="Picture 1">
            <a:extLst>
              <a:ext uri="{FF2B5EF4-FFF2-40B4-BE49-F238E27FC236}">
                <a16:creationId xmlns:a16="http://schemas.microsoft.com/office/drawing/2014/main" id="{00000000-0008-0000-0500-00000114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3590925" y="5257800"/>
            <a:ext cx="6219825" cy="2105025"/>
          </a:xfrm>
          <a:prstGeom prst="rect">
            <a:avLst/>
          </a:prstGeom>
          <a:noFill/>
          <a:ln w="1">
            <a:noFill/>
            <a:miter lim="800000"/>
            <a:headEnd/>
            <a:tailEnd type="none" w="med" len="med"/>
          </a:ln>
          <a:effectLst/>
        </xdr:spPr>
      </xdr:pic>
      <xdr:pic>
        <xdr:nvPicPr>
          <xdr:cNvPr id="5122" name="Picture 2">
            <a:extLst>
              <a:ext uri="{FF2B5EF4-FFF2-40B4-BE49-F238E27FC236}">
                <a16:creationId xmlns:a16="http://schemas.microsoft.com/office/drawing/2014/main" id="{00000000-0008-0000-0500-00000214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/>
          <a:srcRect/>
          <a:stretch>
            <a:fillRect/>
          </a:stretch>
        </xdr:blipFill>
        <xdr:spPr bwMode="auto">
          <a:xfrm>
            <a:off x="3724275" y="190500"/>
            <a:ext cx="6257925" cy="4914900"/>
          </a:xfrm>
          <a:prstGeom prst="rect">
            <a:avLst/>
          </a:prstGeom>
          <a:noFill/>
          <a:ln w="1">
            <a:noFill/>
            <a:miter lim="800000"/>
            <a:headEnd/>
            <a:tailEnd type="none" w="med" len="med"/>
          </a:ln>
          <a:effectLst/>
        </xdr:spPr>
      </xdr:pic>
    </xdr:grpSp>
    <xdr:clientData/>
  </xdr:twoCellAnchor>
  <xdr:twoCellAnchor>
    <xdr:from>
      <xdr:col>12</xdr:col>
      <xdr:colOff>447675</xdr:colOff>
      <xdr:row>0</xdr:row>
      <xdr:rowOff>152400</xdr:rowOff>
    </xdr:from>
    <xdr:to>
      <xdr:col>22</xdr:col>
      <xdr:colOff>333375</xdr:colOff>
      <xdr:row>29</xdr:row>
      <xdr:rowOff>28575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pSpPr/>
      </xdr:nvGrpSpPr>
      <xdr:grpSpPr>
        <a:xfrm>
          <a:off x="8096250" y="152400"/>
          <a:ext cx="5981700" cy="5600700"/>
          <a:chOff x="4648200" y="390525"/>
          <a:chExt cx="5648325" cy="5314950"/>
        </a:xfrm>
      </xdr:grpSpPr>
      <xdr:pic>
        <xdr:nvPicPr>
          <xdr:cNvPr id="6" name="Picture 2">
            <a:extLst>
              <a:ext uri="{FF2B5EF4-FFF2-40B4-BE49-F238E27FC236}">
                <a16:creationId xmlns:a16="http://schemas.microsoft.com/office/drawing/2014/main" id="{00000000-0008-0000-0500-000006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/>
          <a:srcRect/>
          <a:stretch>
            <a:fillRect/>
          </a:stretch>
        </xdr:blipFill>
        <xdr:spPr bwMode="auto">
          <a:xfrm>
            <a:off x="4648200" y="390525"/>
            <a:ext cx="5114925" cy="3038475"/>
          </a:xfrm>
          <a:prstGeom prst="rect">
            <a:avLst/>
          </a:prstGeom>
          <a:noFill/>
          <a:ln w="1">
            <a:noFill/>
            <a:miter lim="800000"/>
            <a:headEnd/>
            <a:tailEnd type="none" w="med" len="med"/>
          </a:ln>
          <a:effectLst/>
        </xdr:spPr>
      </xdr:pic>
      <xdr:pic>
        <xdr:nvPicPr>
          <xdr:cNvPr id="7" name="Picture 3">
            <a:extLst>
              <a:ext uri="{FF2B5EF4-FFF2-40B4-BE49-F238E27FC236}">
                <a16:creationId xmlns:a16="http://schemas.microsoft.com/office/drawing/2014/main" id="{00000000-0008-0000-0500-000007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4" cstate="print"/>
          <a:srcRect/>
          <a:stretch>
            <a:fillRect/>
          </a:stretch>
        </xdr:blipFill>
        <xdr:spPr bwMode="auto">
          <a:xfrm>
            <a:off x="4686300" y="3524250"/>
            <a:ext cx="5305425" cy="771525"/>
          </a:xfrm>
          <a:prstGeom prst="rect">
            <a:avLst/>
          </a:prstGeom>
          <a:noFill/>
          <a:ln w="1">
            <a:noFill/>
            <a:miter lim="800000"/>
            <a:headEnd/>
            <a:tailEnd type="none" w="med" len="med"/>
          </a:ln>
          <a:effectLst/>
        </xdr:spPr>
      </xdr:pic>
      <xdr:pic>
        <xdr:nvPicPr>
          <xdr:cNvPr id="8" name="Picture 4">
            <a:extLst>
              <a:ext uri="{FF2B5EF4-FFF2-40B4-BE49-F238E27FC236}">
                <a16:creationId xmlns:a16="http://schemas.microsoft.com/office/drawing/2014/main" id="{00000000-0008-0000-0500-000008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5" cstate="print"/>
          <a:srcRect/>
          <a:stretch>
            <a:fillRect/>
          </a:stretch>
        </xdr:blipFill>
        <xdr:spPr bwMode="auto">
          <a:xfrm>
            <a:off x="4657725" y="4400550"/>
            <a:ext cx="5638800" cy="1304925"/>
          </a:xfrm>
          <a:prstGeom prst="rect">
            <a:avLst/>
          </a:prstGeom>
          <a:noFill/>
          <a:ln w="1">
            <a:noFill/>
            <a:miter lim="800000"/>
            <a:headEnd/>
            <a:tailEnd type="none" w="med" len="med"/>
          </a:ln>
          <a:effectLst/>
        </xdr:spPr>
      </xdr:pic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0</xdr:row>
      <xdr:rowOff>142875</xdr:rowOff>
    </xdr:from>
    <xdr:to>
      <xdr:col>15</xdr:col>
      <xdr:colOff>495300</xdr:colOff>
      <xdr:row>29</xdr:row>
      <xdr:rowOff>76200</xdr:rowOff>
    </xdr:to>
    <xdr:pic>
      <xdr:nvPicPr>
        <xdr:cNvPr id="6145" name="Picture 1">
          <a:extLst>
            <a:ext uri="{FF2B5EF4-FFF2-40B4-BE49-F238E27FC236}">
              <a16:creationId xmlns:a16="http://schemas.microsoft.com/office/drawing/2014/main" id="{00000000-0008-0000-0600-0000011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38500" y="142875"/>
          <a:ext cx="6591300" cy="55054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0</xdr:row>
      <xdr:rowOff>57150</xdr:rowOff>
    </xdr:from>
    <xdr:to>
      <xdr:col>20</xdr:col>
      <xdr:colOff>200025</xdr:colOff>
      <xdr:row>38</xdr:row>
      <xdr:rowOff>161925</xdr:rowOff>
    </xdr:to>
    <xdr:grpSp>
      <xdr:nvGrpSpPr>
        <xdr:cNvPr id="8" name="Group 7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GrpSpPr/>
      </xdr:nvGrpSpPr>
      <xdr:grpSpPr>
        <a:xfrm>
          <a:off x="6210300" y="57150"/>
          <a:ext cx="6238875" cy="7467600"/>
          <a:chOff x="3714750" y="285750"/>
          <a:chExt cx="6238875" cy="7467600"/>
        </a:xfrm>
      </xdr:grpSpPr>
      <xdr:pic>
        <xdr:nvPicPr>
          <xdr:cNvPr id="7169" name="Picture 1">
            <a:extLst>
              <a:ext uri="{FF2B5EF4-FFF2-40B4-BE49-F238E27FC236}">
                <a16:creationId xmlns:a16="http://schemas.microsoft.com/office/drawing/2014/main" id="{00000000-0008-0000-0700-0000011C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/>
          <a:srcRect b="39279"/>
          <a:stretch>
            <a:fillRect/>
          </a:stretch>
        </xdr:blipFill>
        <xdr:spPr bwMode="auto">
          <a:xfrm>
            <a:off x="3800475" y="285750"/>
            <a:ext cx="6057900" cy="3048000"/>
          </a:xfrm>
          <a:prstGeom prst="rect">
            <a:avLst/>
          </a:prstGeom>
          <a:noFill/>
          <a:ln w="1">
            <a:noFill/>
            <a:miter lim="800000"/>
            <a:headEnd/>
            <a:tailEnd type="none" w="med" len="med"/>
          </a:ln>
          <a:effectLst/>
        </xdr:spPr>
      </xdr:pic>
      <xdr:grpSp>
        <xdr:nvGrpSpPr>
          <xdr:cNvPr id="6" name="Group 5">
            <a:extLst>
              <a:ext uri="{FF2B5EF4-FFF2-40B4-BE49-F238E27FC236}">
                <a16:creationId xmlns:a16="http://schemas.microsoft.com/office/drawing/2014/main" id="{00000000-0008-0000-0700-000006000000}"/>
              </a:ext>
            </a:extLst>
          </xdr:cNvPr>
          <xdr:cNvGrpSpPr/>
        </xdr:nvGrpSpPr>
        <xdr:grpSpPr>
          <a:xfrm>
            <a:off x="3876675" y="5133975"/>
            <a:ext cx="6076950" cy="2619375"/>
            <a:chOff x="3771900" y="3467100"/>
            <a:chExt cx="6076950" cy="2619375"/>
          </a:xfrm>
        </xdr:grpSpPr>
        <xdr:pic>
          <xdr:nvPicPr>
            <xdr:cNvPr id="4" name="Picture 1">
              <a:extLst>
                <a:ext uri="{FF2B5EF4-FFF2-40B4-BE49-F238E27FC236}">
                  <a16:creationId xmlns:a16="http://schemas.microsoft.com/office/drawing/2014/main" id="{00000000-0008-0000-0700-000004000000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/>
            <a:srcRect t="60152" b="19734"/>
            <a:stretch>
              <a:fillRect/>
            </a:stretch>
          </xdr:blipFill>
          <xdr:spPr bwMode="auto">
            <a:xfrm>
              <a:off x="3790950" y="5076825"/>
              <a:ext cx="6057900" cy="1009650"/>
            </a:xfrm>
            <a:prstGeom prst="rect">
              <a:avLst/>
            </a:prstGeom>
            <a:noFill/>
            <a:ln w="1">
              <a:noFill/>
              <a:miter lim="800000"/>
              <a:headEnd/>
              <a:tailEnd type="none" w="med" len="med"/>
            </a:ln>
            <a:effectLst/>
          </xdr:spPr>
        </xdr:pic>
        <xdr:pic>
          <xdr:nvPicPr>
            <xdr:cNvPr id="1026" name="Picture 2">
              <a:extLst>
                <a:ext uri="{FF2B5EF4-FFF2-40B4-BE49-F238E27FC236}">
                  <a16:creationId xmlns:a16="http://schemas.microsoft.com/office/drawing/2014/main" id="{00000000-0008-0000-0700-000002040000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2" cstate="print"/>
            <a:srcRect/>
            <a:stretch>
              <a:fillRect/>
            </a:stretch>
          </xdr:blipFill>
          <xdr:spPr bwMode="auto">
            <a:xfrm>
              <a:off x="3771900" y="3467100"/>
              <a:ext cx="5695950" cy="1581150"/>
            </a:xfrm>
            <a:prstGeom prst="rect">
              <a:avLst/>
            </a:prstGeom>
            <a:noFill/>
            <a:ln w="1">
              <a:noFill/>
              <a:miter lim="800000"/>
              <a:headEnd/>
              <a:tailEnd type="none" w="med" len="med"/>
            </a:ln>
            <a:effectLst/>
          </xdr:spPr>
        </xdr:pic>
      </xdr:grpSp>
      <xdr:pic>
        <xdr:nvPicPr>
          <xdr:cNvPr id="1027" name="Picture 3">
            <a:extLst>
              <a:ext uri="{FF2B5EF4-FFF2-40B4-BE49-F238E27FC236}">
                <a16:creationId xmlns:a16="http://schemas.microsoft.com/office/drawing/2014/main" id="{00000000-0008-0000-0700-00000304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/>
          <a:srcRect/>
          <a:stretch>
            <a:fillRect/>
          </a:stretch>
        </xdr:blipFill>
        <xdr:spPr bwMode="auto">
          <a:xfrm>
            <a:off x="3714750" y="3467100"/>
            <a:ext cx="5467350" cy="1571625"/>
          </a:xfrm>
          <a:prstGeom prst="rect">
            <a:avLst/>
          </a:prstGeom>
          <a:noFill/>
          <a:ln w="1">
            <a:noFill/>
            <a:miter lim="800000"/>
            <a:headEnd/>
            <a:tailEnd type="none" w="med" len="med"/>
          </a:ln>
          <a:effectLst/>
        </xdr:spPr>
      </xdr:pic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352425</xdr:colOff>
      <xdr:row>0</xdr:row>
      <xdr:rowOff>0</xdr:rowOff>
    </xdr:from>
    <xdr:to>
      <xdr:col>19</xdr:col>
      <xdr:colOff>561975</xdr:colOff>
      <xdr:row>35</xdr:row>
      <xdr:rowOff>104775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pSpPr/>
      </xdr:nvGrpSpPr>
      <xdr:grpSpPr>
        <a:xfrm>
          <a:off x="6029325" y="0"/>
          <a:ext cx="6305550" cy="6819900"/>
          <a:chOff x="3019425" y="304800"/>
          <a:chExt cx="6305550" cy="6819900"/>
        </a:xfrm>
      </xdr:grpSpPr>
      <xdr:pic>
        <xdr:nvPicPr>
          <xdr:cNvPr id="8193" name="Picture 1">
            <a:extLst>
              <a:ext uri="{FF2B5EF4-FFF2-40B4-BE49-F238E27FC236}">
                <a16:creationId xmlns:a16="http://schemas.microsoft.com/office/drawing/2014/main" id="{00000000-0008-0000-0800-0000012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3171825" y="3019425"/>
            <a:ext cx="6153150" cy="4105275"/>
          </a:xfrm>
          <a:prstGeom prst="rect">
            <a:avLst/>
          </a:prstGeom>
          <a:noFill/>
          <a:ln w="1">
            <a:noFill/>
            <a:miter lim="800000"/>
            <a:headEnd/>
            <a:tailEnd type="none" w="med" len="med"/>
          </a:ln>
          <a:effectLst/>
        </xdr:spPr>
      </xdr:pic>
      <xdr:pic>
        <xdr:nvPicPr>
          <xdr:cNvPr id="8194" name="Picture 2">
            <a:extLst>
              <a:ext uri="{FF2B5EF4-FFF2-40B4-BE49-F238E27FC236}">
                <a16:creationId xmlns:a16="http://schemas.microsoft.com/office/drawing/2014/main" id="{00000000-0008-0000-0800-0000022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/>
          <a:srcRect/>
          <a:stretch>
            <a:fillRect/>
          </a:stretch>
        </xdr:blipFill>
        <xdr:spPr bwMode="auto">
          <a:xfrm>
            <a:off x="3019425" y="304800"/>
            <a:ext cx="6248400" cy="1571625"/>
          </a:xfrm>
          <a:prstGeom prst="rect">
            <a:avLst/>
          </a:prstGeom>
          <a:noFill/>
          <a:ln w="1">
            <a:noFill/>
            <a:miter lim="800000"/>
            <a:headEnd/>
            <a:tailEnd type="none" w="med" len="med"/>
          </a:ln>
          <a:effectLst/>
        </xdr:spPr>
      </xdr:pic>
      <xdr:pic>
        <xdr:nvPicPr>
          <xdr:cNvPr id="8195" name="Picture 3">
            <a:extLst>
              <a:ext uri="{FF2B5EF4-FFF2-40B4-BE49-F238E27FC236}">
                <a16:creationId xmlns:a16="http://schemas.microsoft.com/office/drawing/2014/main" id="{00000000-0008-0000-0800-0000032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/>
          <a:srcRect/>
          <a:stretch>
            <a:fillRect/>
          </a:stretch>
        </xdr:blipFill>
        <xdr:spPr bwMode="auto">
          <a:xfrm>
            <a:off x="3124200" y="1381125"/>
            <a:ext cx="6048375" cy="1552575"/>
          </a:xfrm>
          <a:prstGeom prst="rect">
            <a:avLst/>
          </a:prstGeom>
          <a:noFill/>
          <a:ln w="1">
            <a:noFill/>
            <a:miter lim="800000"/>
            <a:headEnd/>
            <a:tailEnd type="none" w="med" len="med"/>
          </a:ln>
          <a:effectLst/>
        </xdr:spPr>
      </xdr:pic>
    </xdr:grpSp>
    <xdr:clientData/>
  </xdr:twoCellAnchor>
</xdr:wsDr>
</file>

<file path=xl/tables/table1.xml><?xml version="1.0" encoding="utf-8"?>
<table xmlns="http://schemas.openxmlformats.org/spreadsheetml/2006/main" id="1" name="Table1" displayName="Table1" ref="A2:U13" totalsRowShown="0" headerRowDxfId="18">
  <autoFilter ref="A2:U13"/>
  <sortState ref="A3:M13">
    <sortCondition ref="A2:A13"/>
  </sortState>
  <tableColumns count="21">
    <tableColumn id="1" name="P" dataDxfId="17"/>
    <tableColumn id="2" name="gla_c" dataDxfId="16">
      <calculatedColumnFormula>1.7669-LOG10(A3)</calculatedColumnFormula>
    </tableColumn>
    <tableColumn id="3" name="gla_chigor" dataDxfId="15">
      <calculatedColumnFormula>10^((-b+SQRT(b^2-4*a*B3))/(2*a))</calculatedColumnFormula>
    </tableColumn>
    <tableColumn id="4" name="las_PbSGgTR">
      <calculatedColumnFormula>A3*SGg/(T+460)</calculatedColumnFormula>
    </tableColumn>
    <tableColumn id="5" name="las_ygGOR">
      <calculatedColumnFormula>IF(D3&lt;3.29,0.359*LN(1.473*A3*SGg/(T+460)+0.476),(0.121*A3*SGg/(T+460)-0.236)^0.281)</calculatedColumnFormula>
    </tableColumn>
    <tableColumn id="6" name="Standing" dataDxfId="14">
      <calculatedColumnFormula>((A3/18.2+1.4)*10^(0.0125*API)/10^(0.00091*T))^(1/0.83)*SGg</calculatedColumnFormula>
    </tableColumn>
    <tableColumn id="7" name="Vasquez" dataDxfId="13">
      <calculatedColumnFormula>IF(API&gt;30,'Vasquez and Beggs'!$J$18*SGg*A3^'Vasquez and Beggs'!$J$19*EXP('Vasquez and Beggs'!$J$20*API/(T+460)),'Vasquez and Beggs'!$I$18*SGg*A3^'Vasquez and Beggs'!$I$19*EXP('Vasquez and Beggs'!$I$20*API/(T+460)))</calculatedColumnFormula>
    </tableColumn>
    <tableColumn id="8" name="Glaso" dataDxfId="12">
      <calculatedColumnFormula>(C3*API^0.989/T^0.172)^(1/0.816)*SGg</calculatedColumnFormula>
    </tableColumn>
    <tableColumn id="9" name="Lasater" dataDxfId="11">
      <calculatedColumnFormula>132755*SGo*E3/(Mo*(1-E3))</calculatedColumnFormula>
    </tableColumn>
    <tableColumn id="10" name="Al Marhoun" dataDxfId="10">
      <calculatedColumnFormula>(A3*SGg^1.87784/(0.00538088*SGo^3.1437*(T+459.67)^1.32657))^(1/0.715082)</calculatedColumnFormula>
    </tableColumn>
    <tableColumn id="11" name="Petrosky" dataDxfId="9">
      <calculatedColumnFormula>((A3/112.727+12.34)*SGg^0.8439*10^chigorpet)^1.73184</calculatedColumnFormula>
    </tableColumn>
    <tableColumn id="12" name="Kartoatmodjo" dataDxfId="8">
      <calculatedColumnFormula>IF(API&gt;30,0.0315*SGg^0.7587*A3^1.0937*10^(11.2895*API/(T+460)),0.05958*SGg^0.7972*A3^1.0014*10^(13.1405*API/(T+460)))</calculatedColumnFormula>
    </tableColumn>
    <tableColumn id="13" name="point"/>
    <tableColumn id="15" name="Bo.Standing" dataDxfId="7">
      <calculatedColumnFormula>0.972+0.000147*(G3*(SGg/SGo)^0.5+1.25*T)^1.175</calculatedColumnFormula>
    </tableColumn>
    <tableColumn id="16" name="Bo.Vazquez" dataDxfId="6">
      <calculatedColumnFormula>IF(API&gt;30,1+'Vasquez and Beggs'!$J$23*G3+'Vasquez and Beggs'!$J$24*(T-60)*(SGo/SGg)+'Vasquez and Beggs'!$J$25*G3*(T-60)*(SGo/SGg),1+'Vasquez and Beggs'!$I$23*G3+'Vasquez and Beggs'!$I$24*(T-60)*(SGo/SGg)+'Vasquez and Beggs'!$I$25*G3*(T-60)*(SGo/SGg))</calculatedColumnFormula>
    </tableColumn>
    <tableColumn id="17" name="gl_y" dataDxfId="5">
      <calculatedColumnFormula>H3*(SGg/SGo)^0.526+0.968*T</calculatedColumnFormula>
    </tableColumn>
    <tableColumn id="18" name="Bo.Glaso" dataDxfId="4">
      <calculatedColumnFormula>10^(-6.58511+2.91329*LOG(P3)-0.27683*LOG(P3)^2)+1</calculatedColumnFormula>
    </tableColumn>
    <tableColumn id="19" name="am_F" dataDxfId="3">
      <calculatedColumnFormula>J3^0.74239*SGg^0.323294*SGo^-1.20204</calculatedColumnFormula>
    </tableColumn>
    <tableColumn id="20" name="Bo.Al-Marhoun" dataDxfId="2">
      <calculatedColumnFormula>0.497069+0.000826963*(T+459.67)+0.00182594*R3+0.00000318099*R3^2</calculatedColumnFormula>
    </tableColumn>
    <tableColumn id="21" name="kar_F" dataDxfId="1">
      <calculatedColumnFormula>G3^0.755*SGg^0.25*SGo^(-1.5)+0.45*T</calculatedColumnFormula>
    </tableColumn>
    <tableColumn id="22" name="Bo.Kartoatmodjo" dataDxfId="0">
      <calculatedColumnFormula>0.98496+0.0001*T3^1.5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H22"/>
  <sheetViews>
    <sheetView zoomScale="110" zoomScaleNormal="110" workbookViewId="0">
      <selection activeCell="C6" sqref="C6"/>
    </sheetView>
  </sheetViews>
  <sheetFormatPr defaultRowHeight="15" x14ac:dyDescent="0.25"/>
  <cols>
    <col min="3" max="3" width="12.28515625" customWidth="1"/>
    <col min="6" max="6" width="25.85546875" bestFit="1" customWidth="1"/>
  </cols>
  <sheetData>
    <row r="2" spans="1:8" x14ac:dyDescent="0.25">
      <c r="B2" t="s">
        <v>5</v>
      </c>
      <c r="C2" s="25">
        <v>220</v>
      </c>
      <c r="D2" t="s">
        <v>36</v>
      </c>
      <c r="F2" s="26" t="s">
        <v>75</v>
      </c>
      <c r="G2">
        <f>Standing!C9</f>
        <v>2666.00144528497</v>
      </c>
    </row>
    <row r="3" spans="1:8" x14ac:dyDescent="0.25">
      <c r="B3" t="s">
        <v>35</v>
      </c>
      <c r="C3" s="25">
        <v>2620</v>
      </c>
      <c r="D3" t="s">
        <v>11</v>
      </c>
      <c r="F3" s="26" t="s">
        <v>76</v>
      </c>
      <c r="G3">
        <f>'Vasquez and Beggs'!C4</f>
        <v>2920.4593613561051</v>
      </c>
    </row>
    <row r="4" spans="1:8" x14ac:dyDescent="0.25">
      <c r="B4" t="s">
        <v>3</v>
      </c>
      <c r="C4" s="25">
        <v>0.78600000000000003</v>
      </c>
      <c r="F4" s="26" t="s">
        <v>77</v>
      </c>
      <c r="G4">
        <f>Glaso!C3</f>
        <v>2966.0190231166298</v>
      </c>
    </row>
    <row r="5" spans="1:8" x14ac:dyDescent="0.25">
      <c r="B5" t="s">
        <v>4</v>
      </c>
      <c r="C5" s="25">
        <v>40</v>
      </c>
      <c r="F5" s="26" t="s">
        <v>78</v>
      </c>
      <c r="G5">
        <f>'Al-Marhoun'!C3</f>
        <v>2984.9979688722042</v>
      </c>
    </row>
    <row r="6" spans="1:8" x14ac:dyDescent="0.25">
      <c r="B6" t="s">
        <v>26</v>
      </c>
      <c r="C6" s="20">
        <f>141.5/(API+131.5)</f>
        <v>0.82507288629737607</v>
      </c>
      <c r="F6" s="26" t="s">
        <v>79</v>
      </c>
      <c r="G6">
        <f>Petrosky!C3</f>
        <v>3052.6946927042873</v>
      </c>
    </row>
    <row r="7" spans="1:8" x14ac:dyDescent="0.25">
      <c r="B7" t="s">
        <v>25</v>
      </c>
      <c r="C7" s="25">
        <v>743</v>
      </c>
      <c r="D7" t="s">
        <v>7</v>
      </c>
      <c r="F7" s="26" t="s">
        <v>89</v>
      </c>
      <c r="G7">
        <f>Lasater!C3</f>
        <v>2911.1385784414192</v>
      </c>
    </row>
    <row r="8" spans="1:8" x14ac:dyDescent="0.25">
      <c r="F8" s="26" t="s">
        <v>97</v>
      </c>
      <c r="G8">
        <f>Kartoatmodjo!C3</f>
        <v>2906.0587974575124</v>
      </c>
    </row>
    <row r="9" spans="1:8" x14ac:dyDescent="0.25">
      <c r="G9" s="17" t="s">
        <v>85</v>
      </c>
      <c r="H9" s="17" t="s">
        <v>86</v>
      </c>
    </row>
    <row r="10" spans="1:8" x14ac:dyDescent="0.25">
      <c r="F10" s="26" t="s">
        <v>91</v>
      </c>
      <c r="H10">
        <f>Standing!C16</f>
        <v>1.4645111759155238</v>
      </c>
    </row>
    <row r="11" spans="1:8" x14ac:dyDescent="0.25">
      <c r="F11" s="26" t="s">
        <v>92</v>
      </c>
      <c r="H11">
        <f>'Vasquez and Beggs'!C5</f>
        <v>1.4446371099236641</v>
      </c>
    </row>
    <row r="12" spans="1:8" x14ac:dyDescent="0.25">
      <c r="F12" s="26" t="s">
        <v>93</v>
      </c>
      <c r="G12">
        <f>Glaso!C5</f>
        <v>1.4244424089307175</v>
      </c>
    </row>
    <row r="13" spans="1:8" x14ac:dyDescent="0.25">
      <c r="F13" s="26" t="s">
        <v>94</v>
      </c>
      <c r="H13">
        <f>'Al-Marhoun'!C7</f>
        <v>1.4263262859596895</v>
      </c>
    </row>
    <row r="14" spans="1:8" x14ac:dyDescent="0.25">
      <c r="F14" s="26" t="s">
        <v>95</v>
      </c>
    </row>
    <row r="15" spans="1:8" x14ac:dyDescent="0.25">
      <c r="B15" s="17" t="s">
        <v>58</v>
      </c>
      <c r="C15" s="17"/>
      <c r="F15" s="26" t="s">
        <v>90</v>
      </c>
    </row>
    <row r="16" spans="1:8" x14ac:dyDescent="0.25">
      <c r="A16" t="s">
        <v>1</v>
      </c>
      <c r="B16">
        <v>1833</v>
      </c>
    </row>
    <row r="17" spans="1:8" x14ac:dyDescent="0.25">
      <c r="A17" t="s">
        <v>3</v>
      </c>
      <c r="B17">
        <v>0.65</v>
      </c>
      <c r="F17" s="26" t="s">
        <v>80</v>
      </c>
      <c r="H17">
        <f>Standing!C13</f>
        <v>727.72692427843378</v>
      </c>
    </row>
    <row r="18" spans="1:8" x14ac:dyDescent="0.25">
      <c r="A18" t="s">
        <v>4</v>
      </c>
      <c r="B18">
        <v>31</v>
      </c>
      <c r="F18" s="26" t="s">
        <v>81</v>
      </c>
      <c r="H18">
        <f>'Vasquez and Beggs'!C3</f>
        <v>652.71723139198673</v>
      </c>
    </row>
    <row r="19" spans="1:8" x14ac:dyDescent="0.25">
      <c r="A19" t="s">
        <v>5</v>
      </c>
      <c r="B19">
        <v>162</v>
      </c>
      <c r="F19" s="26" t="s">
        <v>82</v>
      </c>
      <c r="H19">
        <f>Glaso!C4</f>
        <v>638.940695344966</v>
      </c>
    </row>
    <row r="20" spans="1:8" x14ac:dyDescent="0.25">
      <c r="A20" t="s">
        <v>25</v>
      </c>
      <c r="B20">
        <v>336</v>
      </c>
      <c r="F20" s="26" t="s">
        <v>83</v>
      </c>
      <c r="H20">
        <f>'Al-Marhoun'!C5</f>
        <v>619.12347421402023</v>
      </c>
    </row>
    <row r="21" spans="1:8" x14ac:dyDescent="0.25">
      <c r="F21" s="26" t="s">
        <v>84</v>
      </c>
      <c r="H21">
        <f>Petrosky!C4</f>
        <v>622.0643881883143</v>
      </c>
    </row>
    <row r="22" spans="1:8" x14ac:dyDescent="0.25">
      <c r="F22" s="26" t="s">
        <v>96</v>
      </c>
      <c r="H22">
        <f>Lasater!C5</f>
        <v>639.6492245900381</v>
      </c>
    </row>
  </sheetData>
  <pageMargins left="0.7" right="0.7" top="0.75" bottom="0.75" header="0.3" footer="0.3"/>
  <pageSetup orientation="portrait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T9" sqref="T9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topLeftCell="A13" zoomScale="110" zoomScaleNormal="110" workbookViewId="0">
      <selection activeCell="C16" sqref="C16"/>
    </sheetView>
  </sheetViews>
  <sheetFormatPr defaultRowHeight="15" x14ac:dyDescent="0.25"/>
  <cols>
    <col min="3" max="3" width="11.5703125" customWidth="1"/>
    <col min="11" max="11" width="11.140625" customWidth="1"/>
    <col min="12" max="12" width="11.5703125" bestFit="1" customWidth="1"/>
  </cols>
  <sheetData>
    <row r="1" spans="1:14" ht="18.75" x14ac:dyDescent="0.3">
      <c r="A1" s="2" t="s">
        <v>0</v>
      </c>
      <c r="J1" s="17" t="s">
        <v>35</v>
      </c>
      <c r="K1" s="17" t="s">
        <v>25</v>
      </c>
      <c r="L1" s="17" t="s">
        <v>64</v>
      </c>
      <c r="M1" s="1" t="s">
        <v>65</v>
      </c>
      <c r="N1" s="1"/>
    </row>
    <row r="2" spans="1:14" x14ac:dyDescent="0.25">
      <c r="A2" s="3" t="s">
        <v>6</v>
      </c>
      <c r="J2" s="14">
        <v>0</v>
      </c>
      <c r="K2" s="18">
        <f t="shared" ref="K2:K10" si="0">((J2/18.2+1.4)*10^(0.0125*API)/10^(0.00091*T))^(1/0.83)*SGg</f>
        <v>2.7082280981502511</v>
      </c>
      <c r="L2" s="7">
        <f t="shared" ref="L2:L10" si="1">((J2/18.2+1.4)*10^(0.0125*API)/10^(0.00091*T))^(1/0.83)*SGg</f>
        <v>2.7082280981502511</v>
      </c>
      <c r="M2">
        <f t="shared" ref="M2:M10" si="2">0.972+0.000147*(L2*(SGg/SGo)^0.5+1.25*T)^1.175</f>
        <v>1.081248337216564</v>
      </c>
    </row>
    <row r="3" spans="1:14" x14ac:dyDescent="0.25">
      <c r="B3" t="s">
        <v>2</v>
      </c>
      <c r="C3">
        <f>GOR</f>
        <v>743</v>
      </c>
      <c r="D3" t="s">
        <v>7</v>
      </c>
      <c r="J3" s="14">
        <v>500</v>
      </c>
      <c r="K3" s="18">
        <f t="shared" si="0"/>
        <v>103.81201246252671</v>
      </c>
      <c r="L3" s="7">
        <f t="shared" si="1"/>
        <v>103.81201246252671</v>
      </c>
      <c r="M3">
        <f t="shared" si="2"/>
        <v>1.128171834793384</v>
      </c>
    </row>
    <row r="4" spans="1:14" x14ac:dyDescent="0.25">
      <c r="B4" t="s">
        <v>3</v>
      </c>
      <c r="C4">
        <f>SGg</f>
        <v>0.78600000000000003</v>
      </c>
      <c r="J4" s="14">
        <v>1000</v>
      </c>
      <c r="K4" s="18">
        <f t="shared" si="0"/>
        <v>232.32299228416895</v>
      </c>
      <c r="L4" s="7">
        <f t="shared" si="1"/>
        <v>232.32299228416895</v>
      </c>
      <c r="M4">
        <f t="shared" si="2"/>
        <v>1.190975397908435</v>
      </c>
    </row>
    <row r="5" spans="1:14" x14ac:dyDescent="0.25">
      <c r="B5" t="s">
        <v>4</v>
      </c>
      <c r="C5">
        <f>API</f>
        <v>40</v>
      </c>
      <c r="J5" s="14">
        <v>1500</v>
      </c>
      <c r="K5" s="18">
        <f t="shared" si="0"/>
        <v>374.88546855570496</v>
      </c>
      <c r="L5" s="7">
        <f t="shared" si="1"/>
        <v>374.88546855570496</v>
      </c>
      <c r="M5">
        <f t="shared" si="2"/>
        <v>1.2639421379751445</v>
      </c>
    </row>
    <row r="6" spans="1:14" x14ac:dyDescent="0.25">
      <c r="B6" t="s">
        <v>5</v>
      </c>
      <c r="C6">
        <f>T</f>
        <v>220</v>
      </c>
      <c r="D6" t="s">
        <v>8</v>
      </c>
      <c r="E6">
        <f>C6</f>
        <v>220</v>
      </c>
      <c r="J6" s="14">
        <v>2000</v>
      </c>
      <c r="K6" s="18">
        <f t="shared" si="0"/>
        <v>527.51849663899361</v>
      </c>
      <c r="L6" s="7">
        <f t="shared" si="1"/>
        <v>527.51849663899361</v>
      </c>
      <c r="M6">
        <f t="shared" si="2"/>
        <v>1.3452064882069745</v>
      </c>
    </row>
    <row r="7" spans="1:14" x14ac:dyDescent="0.25">
      <c r="C7">
        <f>SGo</f>
        <v>0.82507288629737607</v>
      </c>
      <c r="J7" s="14">
        <v>2500</v>
      </c>
      <c r="K7" s="18">
        <f t="shared" si="0"/>
        <v>688.14288684376243</v>
      </c>
      <c r="L7" s="7">
        <f t="shared" si="1"/>
        <v>688.14288684376243</v>
      </c>
      <c r="M7">
        <f t="shared" si="2"/>
        <v>1.433679432130093</v>
      </c>
    </row>
    <row r="8" spans="1:14" x14ac:dyDescent="0.25">
      <c r="A8" t="s">
        <v>9</v>
      </c>
      <c r="J8" s="14">
        <v>3000</v>
      </c>
      <c r="K8" s="18">
        <f t="shared" si="0"/>
        <v>855.4549081493933</v>
      </c>
      <c r="L8" s="7">
        <f t="shared" si="1"/>
        <v>855.4549081493933</v>
      </c>
      <c r="M8">
        <f t="shared" si="2"/>
        <v>1.528609239606799</v>
      </c>
    </row>
    <row r="9" spans="1:14" x14ac:dyDescent="0.25">
      <c r="B9" s="1" t="s">
        <v>10</v>
      </c>
      <c r="C9" s="10">
        <f>18.2*((GOR/SGg)^0.83*10^(0.00091*T)/10^(0.0125*API)-1.4)</f>
        <v>2666.00144528497</v>
      </c>
      <c r="D9" t="s">
        <v>11</v>
      </c>
      <c r="J9" s="14">
        <v>3500</v>
      </c>
      <c r="K9" s="18">
        <f t="shared" si="0"/>
        <v>1028.5514022442449</v>
      </c>
      <c r="L9" s="7">
        <f t="shared" si="1"/>
        <v>1028.5514022442449</v>
      </c>
      <c r="M9">
        <f t="shared" si="2"/>
        <v>1.6294321452634453</v>
      </c>
    </row>
    <row r="10" spans="1:14" x14ac:dyDescent="0.25">
      <c r="J10" s="14">
        <v>4000</v>
      </c>
      <c r="K10" s="18">
        <f t="shared" si="0"/>
        <v>1206.7655111844108</v>
      </c>
      <c r="L10" s="7">
        <f t="shared" si="1"/>
        <v>1206.7655111844108</v>
      </c>
      <c r="M10">
        <f t="shared" si="2"/>
        <v>1.7357036412112632</v>
      </c>
    </row>
    <row r="11" spans="1:14" x14ac:dyDescent="0.25">
      <c r="A11" s="3" t="s">
        <v>98</v>
      </c>
      <c r="K11" s="13"/>
    </row>
    <row r="12" spans="1:14" x14ac:dyDescent="0.25">
      <c r="A12" t="s">
        <v>9</v>
      </c>
    </row>
    <row r="13" spans="1:14" x14ac:dyDescent="0.25">
      <c r="B13" s="1" t="s">
        <v>99</v>
      </c>
      <c r="C13" s="10">
        <f>((P/18.2+1.4)*10^(0.0125*API)/10^(0.00091*T))^(1/0.83)*SGg</f>
        <v>727.72692427843378</v>
      </c>
      <c r="D13" t="s">
        <v>7</v>
      </c>
      <c r="F13">
        <f>P</f>
        <v>2620</v>
      </c>
    </row>
    <row r="15" spans="1:14" x14ac:dyDescent="0.25">
      <c r="A15" s="3" t="s">
        <v>23</v>
      </c>
    </row>
    <row r="16" spans="1:14" x14ac:dyDescent="0.25">
      <c r="B16" t="s">
        <v>28</v>
      </c>
      <c r="C16">
        <f>0.972+1.47*10^-4*(GOR*(SGg/SGo)^0.5+1.25*T)^1.175</f>
        <v>1.4645111759155238</v>
      </c>
    </row>
    <row r="17" spans="2:3" x14ac:dyDescent="0.25">
      <c r="B17" t="s">
        <v>27</v>
      </c>
    </row>
    <row r="19" spans="2:3" x14ac:dyDescent="0.25">
      <c r="B19" t="s">
        <v>3</v>
      </c>
      <c r="C19">
        <f>SGg</f>
        <v>0.78600000000000003</v>
      </c>
    </row>
    <row r="20" spans="2:3" x14ac:dyDescent="0.25">
      <c r="B20" t="s">
        <v>25</v>
      </c>
      <c r="C20">
        <f>GOR</f>
        <v>743</v>
      </c>
    </row>
    <row r="21" spans="2:3" x14ac:dyDescent="0.25">
      <c r="B21" t="s">
        <v>100</v>
      </c>
      <c r="C21">
        <f>SGo</f>
        <v>0.82507288629737607</v>
      </c>
    </row>
    <row r="22" spans="2:3" x14ac:dyDescent="0.25">
      <c r="B22" t="s">
        <v>5</v>
      </c>
      <c r="C22">
        <f>T</f>
        <v>220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"/>
  <sheetViews>
    <sheetView zoomScale="85" zoomScaleNormal="85" workbookViewId="0">
      <selection activeCell="N5" sqref="N5"/>
    </sheetView>
  </sheetViews>
  <sheetFormatPr defaultRowHeight="15" x14ac:dyDescent="0.25"/>
  <cols>
    <col min="1" max="1" width="10.7109375" customWidth="1"/>
    <col min="2" max="2" width="11" customWidth="1"/>
    <col min="3" max="3" width="11.7109375" customWidth="1"/>
    <col min="4" max="4" width="14.140625" customWidth="1"/>
    <col min="5" max="5" width="12.42578125" customWidth="1"/>
    <col min="6" max="6" width="10.5703125" bestFit="1" customWidth="1"/>
    <col min="7" max="7" width="12.7109375" customWidth="1"/>
    <col min="8" max="8" width="9.5703125" bestFit="1" customWidth="1"/>
    <col min="9" max="9" width="11.5703125" customWidth="1"/>
    <col min="10" max="10" width="12.7109375" customWidth="1"/>
    <col min="11" max="11" width="12.140625" bestFit="1" customWidth="1"/>
    <col min="12" max="12" width="14.5703125" customWidth="1"/>
    <col min="14" max="15" width="14.140625" customWidth="1"/>
    <col min="16" max="16" width="14.140625" hidden="1" customWidth="1"/>
    <col min="17" max="17" width="14.140625" customWidth="1"/>
    <col min="18" max="18" width="14.140625" hidden="1" customWidth="1"/>
    <col min="19" max="19" width="14.140625" customWidth="1"/>
    <col min="20" max="20" width="14.140625" hidden="1" customWidth="1"/>
    <col min="21" max="21" width="14.140625" customWidth="1"/>
    <col min="25" max="25" width="12" bestFit="1" customWidth="1"/>
  </cols>
  <sheetData>
    <row r="1" spans="1:27" x14ac:dyDescent="0.25">
      <c r="F1" t="s">
        <v>25</v>
      </c>
      <c r="N1" t="s">
        <v>0</v>
      </c>
      <c r="O1" t="s">
        <v>69</v>
      </c>
      <c r="Q1" t="s">
        <v>29</v>
      </c>
      <c r="S1" t="s">
        <v>44</v>
      </c>
      <c r="U1" t="s">
        <v>52</v>
      </c>
      <c r="W1" s="14"/>
      <c r="X1" s="14"/>
    </row>
    <row r="2" spans="1:27" x14ac:dyDescent="0.25">
      <c r="A2" s="21" t="s">
        <v>35</v>
      </c>
      <c r="B2" s="14" t="s">
        <v>59</v>
      </c>
      <c r="C2" s="14" t="s">
        <v>60</v>
      </c>
      <c r="D2" s="17" t="s">
        <v>61</v>
      </c>
      <c r="E2" s="17" t="s">
        <v>62</v>
      </c>
      <c r="F2" s="22" t="s">
        <v>0</v>
      </c>
      <c r="G2" s="22" t="s">
        <v>49</v>
      </c>
      <c r="H2" s="22" t="s">
        <v>29</v>
      </c>
      <c r="I2" s="22" t="s">
        <v>39</v>
      </c>
      <c r="J2" s="22" t="s">
        <v>50</v>
      </c>
      <c r="K2" s="22" t="s">
        <v>46</v>
      </c>
      <c r="L2" s="22" t="s">
        <v>52</v>
      </c>
      <c r="M2" s="22" t="s">
        <v>63</v>
      </c>
      <c r="N2" s="21" t="s">
        <v>70</v>
      </c>
      <c r="O2" s="21" t="s">
        <v>71</v>
      </c>
      <c r="P2" s="21" t="s">
        <v>66</v>
      </c>
      <c r="Q2" s="21" t="s">
        <v>72</v>
      </c>
      <c r="R2" s="21" t="s">
        <v>67</v>
      </c>
      <c r="S2" s="21" t="s">
        <v>73</v>
      </c>
      <c r="T2" s="21" t="s">
        <v>68</v>
      </c>
      <c r="U2" s="21" t="s">
        <v>74</v>
      </c>
      <c r="V2" s="24"/>
      <c r="AA2" s="17" t="s">
        <v>25</v>
      </c>
    </row>
    <row r="3" spans="1:27" x14ac:dyDescent="0.25">
      <c r="A3" s="15">
        <v>9.9999999999999994E-12</v>
      </c>
      <c r="B3" s="14">
        <f t="shared" ref="B3:B13" si="0">1.7669-LOG10(A3)</f>
        <v>12.7669</v>
      </c>
      <c r="C3" s="14">
        <f t="shared" ref="C3:C13" si="1">10^((-b+SQRT(b^2-4*a*B3))/(2*a))</f>
        <v>5.9520261343465924E-5</v>
      </c>
      <c r="D3">
        <f t="shared" ref="D3:D13" si="2">A3*SGg/(T+460)</f>
        <v>1.1558823529411764E-14</v>
      </c>
      <c r="E3">
        <f t="shared" ref="E3:E13" si="3">IF(D3&lt;3.29,0.359*LN(1.473*A3*SGg/(T+460)+0.476),(0.121*A3*SGg/(T+460)-0.236)^0.281)</f>
        <v>-0.26649913548549459</v>
      </c>
      <c r="F3" s="18">
        <f t="shared" ref="F3:F13" si="4">((A3/18.2+1.4)*10^(0.0125*API)/10^(0.00091*T))^(1/0.83)*SGg</f>
        <v>2.7082280981515328</v>
      </c>
      <c r="G3" s="19">
        <f>IF(API&gt;30,'Vasquez and Beggs'!$J$18*SGg*A3^'Vasquez and Beggs'!$J$19*EXP('Vasquez and Beggs'!$J$20*API/(T+460)),'Vasquez and Beggs'!$I$18*SGg*A3^'Vasquez and Beggs'!$I$19*EXP('Vasquez and Beggs'!$I$20*API/(T+460)))</f>
        <v>5.0141976059709369E-15</v>
      </c>
      <c r="H3" s="19">
        <f t="shared" ref="H3:H13" si="5">(C3*API^0.989/T^0.172)^(1/0.816)*SGg</f>
        <v>1.4631275168909051E-4</v>
      </c>
      <c r="I3" s="7">
        <f t="shared" ref="I3:I13" si="6">132755*SGo*E3/(Mo*(1-E3))</f>
        <v>-100.20889503709149</v>
      </c>
      <c r="J3" s="7">
        <f t="shared" ref="J3:J13" si="7">(A3*SGg^1.87784/(0.00538088*SGo^3.1437*(T+459.67)^1.32657))^(1/0.715082)</f>
        <v>4.2523924236925182E-18</v>
      </c>
      <c r="K3" s="7">
        <f t="shared" ref="K3:K13" si="8">((A3/112.727+12.34)*SGg^0.8439*10^chigorpet)^1.73184</f>
        <v>99.388464805719238</v>
      </c>
      <c r="L3" s="7">
        <f t="shared" ref="L3:L13" si="9">IF(API&gt;30,0.0315*SGg^0.7587*A3^1.0937*10^(11.2895*API/(T+460)),0.05958*SGg^0.7972*A3^1.0014*10^(13.1405*API/(T+460)))</f>
        <v>1.1281214963004495E-13</v>
      </c>
      <c r="N3" s="7">
        <f t="shared" ref="N3:N13" si="10">0.972+0.000147*(G3*(SGg/SGo)^0.5+1.25*T)^1.175</f>
        <v>1.0800272324392879</v>
      </c>
      <c r="O3" s="7">
        <f>IF(API&gt;30,1+'Vasquez and Beggs'!$J$23*G3+'Vasquez and Beggs'!$J$24*(T-60)*(SGo/SGg)+'Vasquez and Beggs'!$J$25*G3*(T-60)*(SGo/SGg),1+'Vasquez and Beggs'!$I$23*G3+'Vasquez and Beggs'!$I$24*(T-60)*(SGo/SGg)+'Vasquez and Beggs'!$I$25*G3*(T-60)*(SGo/SGg))</f>
        <v>1.0018474914502333</v>
      </c>
      <c r="P3" s="7">
        <f t="shared" ref="P3:P13" si="11">H3*(SGg/SGo)^0.526+0.968*T</f>
        <v>212.96014262625513</v>
      </c>
      <c r="Q3" s="7">
        <f t="shared" ref="Q3:Q13" si="12">10^(-6.58511+2.91329*LOG(P3)-0.27683*LOG(P3)^2)+1</f>
        <v>1.0497978110681607</v>
      </c>
      <c r="R3" s="7">
        <f t="shared" ref="R3:R13" si="13">J3^0.74239*SGg^0.323294*SGo^-1.20204</f>
        <v>1.4799308241279076E-13</v>
      </c>
      <c r="S3" s="7">
        <f t="shared" ref="S3:S13" si="14">0.497069+0.000826963*(T+459.67)+0.00182594*R3+0.00000318099*R3^2</f>
        <v>1.0591309422100001</v>
      </c>
      <c r="T3" s="7">
        <f t="shared" ref="T3:T13" si="15">G3^0.755*SGg^0.25*SGo^(-1.5)+0.45*T</f>
        <v>99.00000000002008</v>
      </c>
      <c r="U3" s="7">
        <f t="shared" ref="U3:U13" si="16">0.98496+0.0001*T3^1.5</f>
        <v>1.0834637562735854</v>
      </c>
    </row>
    <row r="4" spans="1:27" x14ac:dyDescent="0.25">
      <c r="A4" s="14">
        <v>1500</v>
      </c>
      <c r="B4" s="14">
        <f t="shared" si="0"/>
        <v>-1.4091912590556814</v>
      </c>
      <c r="C4" s="14">
        <f t="shared" si="1"/>
        <v>9.3539684282871107</v>
      </c>
      <c r="D4">
        <f t="shared" si="2"/>
        <v>1.7338235294117648</v>
      </c>
      <c r="E4">
        <f t="shared" si="3"/>
        <v>0.39796474567472701</v>
      </c>
      <c r="F4" s="18">
        <f t="shared" si="4"/>
        <v>374.88546855570496</v>
      </c>
      <c r="G4" s="19">
        <f>IF(API&gt;30,'Vasquez and Beggs'!$J$18*SGg*A4^'Vasquez and Beggs'!$J$19*EXP('Vasquez and Beggs'!$J$20*API/(T+460)),'Vasquez and Beggs'!$I$18*SGg*A4^'Vasquez and Beggs'!$I$19*EXP('Vasquez and Beggs'!$I$20*API/(T+460)))</f>
        <v>336.68345073474467</v>
      </c>
      <c r="H4" s="19">
        <f t="shared" si="5"/>
        <v>341.4561665735763</v>
      </c>
      <c r="I4" s="7">
        <f t="shared" si="6"/>
        <v>314.80240673305468</v>
      </c>
      <c r="J4" s="7">
        <f t="shared" si="7"/>
        <v>283.83165309096</v>
      </c>
      <c r="K4" s="7">
        <f t="shared" si="8"/>
        <v>352.82836692387741</v>
      </c>
      <c r="L4" s="7">
        <f t="shared" si="9"/>
        <v>360.36855205693308</v>
      </c>
      <c r="N4" s="7">
        <f t="shared" si="10"/>
        <v>1.2440884105250811</v>
      </c>
      <c r="O4" s="7">
        <f>IF(API&gt;30,1+'Vasquez and Beggs'!$J$23*G4+'Vasquez and Beggs'!$J$24*(T-60)*(SGo/SGg)+'Vasquez and Beggs'!$J$25*G4*(T-60)*(SGo/SGg),1+'Vasquez and Beggs'!$I$23*G4+'Vasquez and Beggs'!$I$24*(T-60)*(SGo/SGg)+'Vasquez and Beggs'!$I$25*G4*(T-60)*(SGo/SGg))</f>
        <v>1.1591542666222814</v>
      </c>
      <c r="P4" s="7">
        <f t="shared" si="11"/>
        <v>545.81283598731056</v>
      </c>
      <c r="Q4" s="7">
        <f t="shared" si="12"/>
        <v>1.2064645847754727</v>
      </c>
      <c r="R4" s="7">
        <f t="shared" si="13"/>
        <v>77.214371499490966</v>
      </c>
      <c r="S4" s="7">
        <f t="shared" si="14"/>
        <v>1.21908500229243</v>
      </c>
      <c r="T4" s="7">
        <f t="shared" si="15"/>
        <v>200.66456328322857</v>
      </c>
      <c r="U4" s="7">
        <f t="shared" si="16"/>
        <v>1.2692136345256204</v>
      </c>
    </row>
    <row r="5" spans="1:27" x14ac:dyDescent="0.25">
      <c r="A5" s="14">
        <v>3000</v>
      </c>
      <c r="B5" s="14">
        <f t="shared" si="0"/>
        <v>-1.7102212547196627</v>
      </c>
      <c r="C5" s="14">
        <f t="shared" si="1"/>
        <v>17.845122660684225</v>
      </c>
      <c r="D5">
        <f t="shared" si="2"/>
        <v>3.4676470588235295</v>
      </c>
      <c r="E5">
        <f t="shared" si="3"/>
        <v>0.62106699010964483</v>
      </c>
      <c r="F5" s="18">
        <f t="shared" si="4"/>
        <v>855.4549081493933</v>
      </c>
      <c r="G5" s="19">
        <f>IF(API&gt;30,'Vasquez and Beggs'!$J$18*SGg*A5^'Vasquez and Beggs'!$J$19*EXP('Vasquez and Beggs'!$J$20*API/(T+460)),'Vasquez and Beggs'!$I$18*SGg*A5^'Vasquez and Beggs'!$I$19*EXP('Vasquez and Beggs'!$I$20*API/(T+460)))</f>
        <v>766.55686000951744</v>
      </c>
      <c r="H5" s="19">
        <f t="shared" si="5"/>
        <v>753.5532168632426</v>
      </c>
      <c r="I5" s="7">
        <f t="shared" si="6"/>
        <v>780.53318827767305</v>
      </c>
      <c r="J5" s="7">
        <f t="shared" si="7"/>
        <v>748.22724878513327</v>
      </c>
      <c r="K5" s="7">
        <f t="shared" si="8"/>
        <v>727.6365095825804</v>
      </c>
      <c r="L5" s="7">
        <f t="shared" si="9"/>
        <v>769.10102659441532</v>
      </c>
      <c r="N5" s="7">
        <f>0.972+0.000147*(G5*(SGg/SGo)^0.5+1.25*T)^1.175</f>
        <v>1.4778408536713754</v>
      </c>
      <c r="O5" s="7">
        <f>IF(API&gt;30,1+'Vasquez and Beggs'!$J$23*G5+'Vasquez and Beggs'!$J$24*(T-60)*(SGo/SGg)+'Vasquez and Beggs'!$J$25*G5*(T-60)*(SGo/SGg),1+'Vasquez and Beggs'!$I$23*G5+'Vasquez and Beggs'!$I$24*(T-60)*(SGo/SGg)+'Vasquez and Beggs'!$I$25*G5*(T-60)*(SGo/SGg))</f>
        <v>1.3600016786280003</v>
      </c>
      <c r="P5" s="7">
        <f t="shared" si="11"/>
        <v>947.52668777497229</v>
      </c>
      <c r="Q5" s="7">
        <f t="shared" si="12"/>
        <v>1.4303517251177513</v>
      </c>
      <c r="R5" s="7">
        <f t="shared" si="13"/>
        <v>158.57110725673263</v>
      </c>
      <c r="S5" s="7">
        <f t="shared" si="14"/>
        <v>1.4286576146025256</v>
      </c>
      <c r="T5" s="7">
        <f t="shared" si="15"/>
        <v>288.21177770712268</v>
      </c>
      <c r="U5" s="7">
        <f t="shared" si="16"/>
        <v>1.4742514042791037</v>
      </c>
    </row>
    <row r="6" spans="1:27" x14ac:dyDescent="0.25">
      <c r="A6" s="15">
        <v>4499.99999999998</v>
      </c>
      <c r="B6" s="14">
        <f t="shared" si="0"/>
        <v>-1.8863125137753418</v>
      </c>
      <c r="C6" s="14">
        <f t="shared" si="1"/>
        <v>27.581847930835398</v>
      </c>
      <c r="D6">
        <f t="shared" si="2"/>
        <v>5.2014705882352716</v>
      </c>
      <c r="E6">
        <f t="shared" si="3"/>
        <v>0.76938127233871101</v>
      </c>
      <c r="F6" s="18">
        <f t="shared" si="4"/>
        <v>1389.582408151877</v>
      </c>
      <c r="G6" s="19">
        <f>IF(API&gt;30,'Vasquez and Beggs'!$J$18*SGg*A6^'Vasquez and Beggs'!$J$19*EXP('Vasquez and Beggs'!$J$20*API/(T+460)),'Vasquez and Beggs'!$I$18*SGg*A6^'Vasquez and Beggs'!$I$19*EXP('Vasquez and Beggs'!$I$20*API/(T+460)))</f>
        <v>1240.408401276067</v>
      </c>
      <c r="H6" s="19">
        <f t="shared" si="5"/>
        <v>1284.8688736802699</v>
      </c>
      <c r="I6" s="7">
        <f t="shared" si="6"/>
        <v>1588.7750299265188</v>
      </c>
      <c r="J6" s="7">
        <f t="shared" si="7"/>
        <v>1319.1274560894385</v>
      </c>
      <c r="K6" s="7">
        <f t="shared" si="8"/>
        <v>1210.4290663511415</v>
      </c>
      <c r="L6" s="7">
        <f t="shared" si="9"/>
        <v>1198.3243963316283</v>
      </c>
      <c r="N6" s="7">
        <f t="shared" si="10"/>
        <v>1.756025092706768</v>
      </c>
      <c r="O6" s="7">
        <f>IF(API&gt;30,1+'Vasquez and Beggs'!$J$23*G6+'Vasquez and Beggs'!$J$24*(T-60)*(SGo/SGg)+'Vasquez and Beggs'!$J$25*G6*(T-60)*(SGo/SGg),1+'Vasquez and Beggs'!$I$23*G6+'Vasquez and Beggs'!$I$24*(T-60)*(SGo/SGg)+'Vasquez and Beggs'!$I$25*G6*(T-60)*(SGo/SGg))</f>
        <v>1.5813967537476021</v>
      </c>
      <c r="P6" s="7">
        <f t="shared" si="11"/>
        <v>1465.455313726148</v>
      </c>
      <c r="Q6" s="7">
        <f t="shared" si="12"/>
        <v>1.7303202017909058</v>
      </c>
      <c r="R6" s="7">
        <f t="shared" si="13"/>
        <v>241.56833239662961</v>
      </c>
      <c r="S6" s="7">
        <f t="shared" si="14"/>
        <v>1.685847719082632</v>
      </c>
      <c r="T6" s="7">
        <f t="shared" si="15"/>
        <v>371.11877740868255</v>
      </c>
      <c r="U6" s="7">
        <f t="shared" si="16"/>
        <v>1.6998996661809043</v>
      </c>
      <c r="W6" s="7">
        <f>G5</f>
        <v>766.55686000951744</v>
      </c>
    </row>
    <row r="7" spans="1:27" x14ac:dyDescent="0.25">
      <c r="A7" s="14">
        <v>5999.99999999997</v>
      </c>
      <c r="B7" s="23">
        <f t="shared" si="0"/>
        <v>-2.0112512503836415</v>
      </c>
      <c r="C7" s="14">
        <f t="shared" si="1"/>
        <v>39.03275047255952</v>
      </c>
      <c r="D7">
        <f t="shared" si="2"/>
        <v>6.9352941176470244</v>
      </c>
      <c r="E7">
        <f t="shared" si="3"/>
        <v>0.86756831787128297</v>
      </c>
      <c r="F7" s="19">
        <f t="shared" si="4"/>
        <v>1961.8955082918585</v>
      </c>
      <c r="G7" s="19">
        <f>IF(API&gt;30,'Vasquez and Beggs'!$J$18*SGg*A7^'Vasquez and Beggs'!$J$19*EXP('Vasquez and Beggs'!$J$20*API/(T+460)),'Vasquez and Beggs'!$I$18*SGg*A7^'Vasquez and Beggs'!$I$19*EXP('Vasquez and Beggs'!$I$20*API/(T+460)))</f>
        <v>1745.287504762435</v>
      </c>
      <c r="H7" s="19">
        <f t="shared" si="5"/>
        <v>1966.3907938168575</v>
      </c>
      <c r="I7" s="7">
        <f t="shared" si="6"/>
        <v>3119.8028826261389</v>
      </c>
      <c r="J7" s="7">
        <f t="shared" si="7"/>
        <v>1972.4509572057918</v>
      </c>
      <c r="K7" s="7">
        <f t="shared" si="8"/>
        <v>1792.870058938498</v>
      </c>
      <c r="L7" s="7">
        <f t="shared" si="9"/>
        <v>1641.4206670706667</v>
      </c>
      <c r="M7">
        <v>336</v>
      </c>
      <c r="N7" s="7">
        <f t="shared" si="10"/>
        <v>2.069746442572229</v>
      </c>
      <c r="O7" s="7">
        <f>IF(API&gt;30,1+'Vasquez and Beggs'!$J$23*G7+'Vasquez and Beggs'!$J$24*(T-60)*(SGo/SGg)+'Vasquez and Beggs'!$J$25*G7*(T-60)*(SGo/SGg),1+'Vasquez and Beggs'!$I$23*G7+'Vasquez and Beggs'!$I$24*(T-60)*(SGo/SGg)+'Vasquez and Beggs'!$I$25*G7*(T-60)*(SGo/SGg))</f>
        <v>1.8172886677929014</v>
      </c>
      <c r="P7" s="7">
        <f t="shared" si="11"/>
        <v>2129.8056055405441</v>
      </c>
      <c r="Q7" s="7">
        <f t="shared" si="12"/>
        <v>2.1082281408232437</v>
      </c>
      <c r="R7" s="7">
        <f t="shared" si="13"/>
        <v>325.64917085146351</v>
      </c>
      <c r="S7" s="7">
        <f t="shared" si="14"/>
        <v>1.991082452417634</v>
      </c>
      <c r="T7" s="7">
        <f t="shared" si="15"/>
        <v>451.14922158619612</v>
      </c>
      <c r="U7" s="7">
        <f t="shared" si="16"/>
        <v>1.9432132890120759</v>
      </c>
      <c r="W7">
        <f>+T</f>
        <v>220</v>
      </c>
    </row>
    <row r="8" spans="1:27" x14ac:dyDescent="0.25">
      <c r="A8" s="14">
        <v>7499.99999999996</v>
      </c>
      <c r="B8" s="14">
        <f t="shared" si="0"/>
        <v>-2.1081612633916977</v>
      </c>
      <c r="C8" s="14">
        <f t="shared" si="1"/>
        <v>52.694953977989222</v>
      </c>
      <c r="D8">
        <f t="shared" si="2"/>
        <v>8.6691176470587781</v>
      </c>
      <c r="E8">
        <f t="shared" si="3"/>
        <v>0.94347397406506039</v>
      </c>
      <c r="F8" s="18">
        <f t="shared" si="4"/>
        <v>2564.4380147688325</v>
      </c>
      <c r="G8" s="19">
        <f>IF(API&gt;30,'Vasquez and Beggs'!$J$18*SGg*A8^'Vasquez and Beggs'!$J$19*EXP('Vasquez and Beggs'!$J$20*API/(T+460)),'Vasquez and Beggs'!$I$18*SGg*A8^'Vasquez and Beggs'!$I$19*EXP('Vasquez and Beggs'!$I$20*API/(T+460)))</f>
        <v>2274.5692564890469</v>
      </c>
      <c r="H8" s="19">
        <f t="shared" si="5"/>
        <v>2840.5345129422503</v>
      </c>
      <c r="I8" s="7">
        <f t="shared" si="6"/>
        <v>7948.713388248123</v>
      </c>
      <c r="J8" s="7">
        <f t="shared" si="7"/>
        <v>2694.8162095589196</v>
      </c>
      <c r="K8" s="7">
        <f t="shared" si="8"/>
        <v>2469.014309053789</v>
      </c>
      <c r="L8" s="7">
        <f t="shared" si="9"/>
        <v>2095.1271199849593</v>
      </c>
      <c r="N8" s="7">
        <f t="shared" si="10"/>
        <v>2.4137403424147243</v>
      </c>
      <c r="O8" s="7">
        <f>IF(API&gt;30,1+'Vasquez and Beggs'!$J$23*G8+'Vasquez and Beggs'!$J$24*(T-60)*(SGo/SGg)+'Vasquez and Beggs'!$J$25*G8*(T-60)*(SGo/SGg),1+'Vasquez and Beggs'!$I$23*G8+'Vasquez and Beggs'!$I$24*(T-60)*(SGo/SGg)+'Vasquez and Beggs'!$I$25*G8*(T-60)*(SGo/SGg))</f>
        <v>2.0645820982832577</v>
      </c>
      <c r="P8" s="7">
        <f t="shared" si="11"/>
        <v>2981.924396924815</v>
      </c>
      <c r="Q8" s="7">
        <f t="shared" si="12"/>
        <v>2.5673984559539234</v>
      </c>
      <c r="R8" s="7">
        <f t="shared" si="13"/>
        <v>410.54507832908479</v>
      </c>
      <c r="S8" s="7">
        <f t="shared" si="14"/>
        <v>2.344908775384881</v>
      </c>
      <c r="T8" s="7">
        <f t="shared" si="15"/>
        <v>529.10652659032007</v>
      </c>
      <c r="U8" s="7">
        <f t="shared" si="16"/>
        <v>2.2020275352380181</v>
      </c>
    </row>
    <row r="9" spans="1:27" x14ac:dyDescent="0.25">
      <c r="A9" s="15">
        <v>8999.9999999999509</v>
      </c>
      <c r="B9" s="14">
        <f t="shared" si="0"/>
        <v>-2.1873425094393228</v>
      </c>
      <c r="C9" s="14">
        <f t="shared" si="1"/>
        <v>69.222169243782133</v>
      </c>
      <c r="D9">
        <f t="shared" si="2"/>
        <v>10.402941176470533</v>
      </c>
      <c r="E9">
        <f t="shared" si="3"/>
        <v>1.0063427637085536</v>
      </c>
      <c r="F9" s="18">
        <f t="shared" si="4"/>
        <v>3192.2430040083282</v>
      </c>
      <c r="G9" s="19">
        <f>IF(API&gt;30,'Vasquez and Beggs'!$J$18*SGg*A9^'Vasquez and Beggs'!$J$19*EXP('Vasquez and Beggs'!$J$20*API/(T+460)),'Vasquez and Beggs'!$I$18*SGg*A9^'Vasquez and Beggs'!$I$19*EXP('Vasquez and Beggs'!$I$20*API/(T+460)))</f>
        <v>2824.1470352539814</v>
      </c>
      <c r="H9" s="19">
        <f t="shared" si="5"/>
        <v>3968.1808934408878</v>
      </c>
      <c r="I9" s="7">
        <f t="shared" si="6"/>
        <v>-75558.40158260426</v>
      </c>
      <c r="J9" s="7">
        <f t="shared" si="7"/>
        <v>3477.4384622648995</v>
      </c>
      <c r="K9" s="7">
        <f t="shared" si="8"/>
        <v>3234.2993471090886</v>
      </c>
      <c r="L9" s="7">
        <f t="shared" si="9"/>
        <v>2557.4721161190096</v>
      </c>
      <c r="N9" s="7">
        <f t="shared" si="10"/>
        <v>2.7844207401545038</v>
      </c>
      <c r="O9" s="7">
        <f>IF(API&gt;30,1+'Vasquez and Beggs'!$J$23*G9+'Vasquez and Beggs'!$J$24*(T-60)*(SGo/SGg)+'Vasquez and Beggs'!$J$25*G9*(T-60)*(SGo/SGg),1+'Vasquez and Beggs'!$I$23*G9+'Vasquez and Beggs'!$I$24*(T-60)*(SGo/SGg)+'Vasquez and Beggs'!$I$25*G9*(T-60)*(SGo/SGg))</f>
        <v>2.3213583309583834</v>
      </c>
      <c r="P9" s="7">
        <f t="shared" si="11"/>
        <v>4081.1585958740957</v>
      </c>
      <c r="Q9" s="7">
        <f t="shared" si="12"/>
        <v>3.113036664759508</v>
      </c>
      <c r="R9" s="7">
        <f t="shared" si="13"/>
        <v>496.09622149872138</v>
      </c>
      <c r="S9" s="7">
        <f t="shared" si="14"/>
        <v>2.7478509731730316</v>
      </c>
      <c r="T9" s="7">
        <f t="shared" si="15"/>
        <v>605.45058571239269</v>
      </c>
      <c r="U9" s="7">
        <f t="shared" si="16"/>
        <v>2.474725989988027</v>
      </c>
    </row>
    <row r="10" spans="1:27" x14ac:dyDescent="0.25">
      <c r="A10" s="14">
        <v>10499.9999999999</v>
      </c>
      <c r="B10" s="14">
        <f t="shared" si="0"/>
        <v>-2.2542892990699341</v>
      </c>
      <c r="C10" s="14">
        <f t="shared" si="1"/>
        <v>89.548359551103118</v>
      </c>
      <c r="D10">
        <f t="shared" si="2"/>
        <v>12.136764705882237</v>
      </c>
      <c r="E10">
        <f t="shared" si="3"/>
        <v>1.0605128419271574</v>
      </c>
      <c r="F10" s="18">
        <f t="shared" si="4"/>
        <v>3841.8787761967728</v>
      </c>
      <c r="G10" s="19">
        <f>IF(API&gt;30,'Vasquez and Beggs'!$J$18*SGg*A10^'Vasquez and Beggs'!$J$19*EXP('Vasquez and Beggs'!$J$20*API/(T+460)),'Vasquez and Beggs'!$I$18*SGg*A10^'Vasquez and Beggs'!$I$19*EXP('Vasquez and Beggs'!$I$20*API/(T+460)))</f>
        <v>3391.1979669162497</v>
      </c>
      <c r="H10" s="19">
        <f t="shared" si="5"/>
        <v>5440.2204400411529</v>
      </c>
      <c r="I10" s="7">
        <f t="shared" si="6"/>
        <v>-8346.1031660033041</v>
      </c>
      <c r="J10" s="7">
        <f t="shared" si="7"/>
        <v>4314.0044621359448</v>
      </c>
      <c r="K10" s="7">
        <f t="shared" si="8"/>
        <v>4085.0566863455119</v>
      </c>
      <c r="L10" s="7">
        <f t="shared" si="9"/>
        <v>3027.1267869865214</v>
      </c>
      <c r="N10" s="7">
        <f t="shared" si="10"/>
        <v>3.1791484093834561</v>
      </c>
      <c r="O10" s="7">
        <f>IF(API&gt;30,1+'Vasquez and Beggs'!$J$23*G10+'Vasquez and Beggs'!$J$24*(T-60)*(SGo/SGg)+'Vasquez and Beggs'!$J$25*G10*(T-60)*(SGo/SGg),1+'Vasquez and Beggs'!$I$23*G10+'Vasquez and Beggs'!$I$24*(T-60)*(SGo/SGg)+'Vasquez and Beggs'!$I$25*G10*(T-60)*(SGo/SGg))</f>
        <v>2.5862984497062262</v>
      </c>
      <c r="P10" s="7">
        <f t="shared" si="11"/>
        <v>5516.1086296899139</v>
      </c>
      <c r="Q10" s="7">
        <f t="shared" si="12"/>
        <v>3.752848825363885</v>
      </c>
      <c r="R10" s="7">
        <f t="shared" si="13"/>
        <v>582.19613085484843</v>
      </c>
      <c r="S10" s="7">
        <f t="shared" si="14"/>
        <v>3.2003901328024282</v>
      </c>
      <c r="T10" s="7">
        <f t="shared" si="15"/>
        <v>680.47866729638577</v>
      </c>
      <c r="U10" s="7">
        <f t="shared" si="16"/>
        <v>2.7600557010619884</v>
      </c>
    </row>
    <row r="11" spans="1:27" x14ac:dyDescent="0.25">
      <c r="A11" s="14">
        <v>11999.9999999999</v>
      </c>
      <c r="B11" s="14">
        <f t="shared" si="0"/>
        <v>-2.3122812460476219</v>
      </c>
      <c r="C11" s="14">
        <f t="shared" si="1"/>
        <v>115.09643383483919</v>
      </c>
      <c r="D11">
        <f t="shared" si="2"/>
        <v>13.870588235294003</v>
      </c>
      <c r="E11">
        <f t="shared" si="3"/>
        <v>1.108404061747835</v>
      </c>
      <c r="F11" s="18">
        <f t="shared" si="4"/>
        <v>4510.8160306394029</v>
      </c>
      <c r="G11" s="19">
        <f>IF(API&gt;30,'Vasquez and Beggs'!$J$18*SGg*A11^'Vasquez and Beggs'!$J$19*EXP('Vasquez and Beggs'!$J$20*API/(T+460)),'Vasquez and Beggs'!$I$18*SGg*A11^'Vasquez and Beggs'!$I$19*EXP('Vasquez and Beggs'!$I$20*API/(T+460)))</f>
        <v>3973.649748881086</v>
      </c>
      <c r="H11" s="19">
        <f t="shared" si="5"/>
        <v>7399.4615367899614</v>
      </c>
      <c r="I11" s="7">
        <f t="shared" si="6"/>
        <v>-4869.3155591319755</v>
      </c>
      <c r="J11" s="7">
        <f t="shared" si="7"/>
        <v>5199.7074216409501</v>
      </c>
      <c r="K11" s="7">
        <f t="shared" si="8"/>
        <v>5018.2393364517429</v>
      </c>
      <c r="L11" s="7">
        <f t="shared" si="9"/>
        <v>3503.1312052942153</v>
      </c>
      <c r="N11" s="7">
        <f t="shared" si="10"/>
        <v>3.5958805285676023</v>
      </c>
      <c r="O11" s="7">
        <f>IF(API&gt;30,1+'Vasquez and Beggs'!$J$23*G11+'Vasquez and Beggs'!$J$24*(T-60)*(SGo/SGg)+'Vasquez and Beggs'!$J$25*G11*(T-60)*(SGo/SGg),1+'Vasquez and Beggs'!$I$23*G11+'Vasquez and Beggs'!$I$24*(T-60)*(SGo/SGg)+'Vasquez and Beggs'!$I$25*G11*(T-60)*(SGo/SGg))</f>
        <v>2.858434223870804</v>
      </c>
      <c r="P11" s="7">
        <f t="shared" si="11"/>
        <v>7425.984681950953</v>
      </c>
      <c r="Q11" s="7">
        <f t="shared" si="12"/>
        <v>4.4982271434837795</v>
      </c>
      <c r="R11" s="7">
        <f t="shared" si="13"/>
        <v>668.76863200905234</v>
      </c>
      <c r="S11" s="7">
        <f t="shared" si="14"/>
        <v>3.7029648335553813</v>
      </c>
      <c r="T11" s="7">
        <f t="shared" si="15"/>
        <v>754.39828316456783</v>
      </c>
      <c r="U11" s="7">
        <f t="shared" si="16"/>
        <v>3.0570138456754079</v>
      </c>
    </row>
    <row r="12" spans="1:27" x14ac:dyDescent="0.25">
      <c r="A12" s="15">
        <v>13499.9999999999</v>
      </c>
      <c r="B12" s="14">
        <f t="shared" si="0"/>
        <v>-2.3634337684950033</v>
      </c>
      <c r="C12" s="14">
        <f t="shared" si="1"/>
        <v>148.20229732218127</v>
      </c>
      <c r="D12">
        <f t="shared" si="2"/>
        <v>15.604411764705768</v>
      </c>
      <c r="E12">
        <f t="shared" si="3"/>
        <v>1.1515179375887477</v>
      </c>
      <c r="F12" s="18">
        <f t="shared" si="4"/>
        <v>5197.1046261773836</v>
      </c>
      <c r="G12" s="19">
        <f>IF(API&gt;30,'Vasquez and Beggs'!$J$18*SGg*A12^'Vasquez and Beggs'!$J$19*EXP('Vasquez and Beggs'!$J$20*API/(T+460)),'Vasquez and Beggs'!$I$18*SGg*A12^'Vasquez and Beggs'!$I$19*EXP('Vasquez and Beggs'!$I$20*API/(T+460)))</f>
        <v>4569.9098028089593</v>
      </c>
      <c r="H12" s="19">
        <f t="shared" si="5"/>
        <v>10086.731157777749</v>
      </c>
      <c r="I12" s="7">
        <f t="shared" si="6"/>
        <v>-3619.2786738240611</v>
      </c>
      <c r="J12" s="7">
        <f t="shared" si="7"/>
        <v>6130.7370987665872</v>
      </c>
      <c r="K12" s="7">
        <f t="shared" si="8"/>
        <v>6031.255150007576</v>
      </c>
      <c r="L12" s="7">
        <f t="shared" si="9"/>
        <v>3984.7576894464951</v>
      </c>
      <c r="N12" s="7">
        <f t="shared" si="10"/>
        <v>4.0329782575970841</v>
      </c>
      <c r="O12" s="7">
        <f>IF(API&gt;30,1+'Vasquez and Beggs'!$J$23*G12+'Vasquez and Beggs'!$J$24*(T-60)*(SGo/SGg)+'Vasquez and Beggs'!$J$25*G12*(T-60)*(SGo/SGg),1+'Vasquez and Beggs'!$I$23*G12+'Vasquez and Beggs'!$I$24*(T-60)*(SGo/SGg)+'Vasquez and Beggs'!$I$25*G12*(T-60)*(SGo/SGg))</f>
        <v>3.13702156174742</v>
      </c>
      <c r="P12" s="7">
        <f t="shared" si="11"/>
        <v>10045.545849593806</v>
      </c>
      <c r="Q12" s="7">
        <f t="shared" si="12"/>
        <v>5.3666434878483873</v>
      </c>
      <c r="R12" s="7">
        <f t="shared" si="13"/>
        <v>755.7564490086329</v>
      </c>
      <c r="S12" s="7">
        <f t="shared" si="14"/>
        <v>4.2559759653386191</v>
      </c>
      <c r="T12" s="7">
        <f t="shared" si="15"/>
        <v>827.36223977182124</v>
      </c>
      <c r="U12" s="7">
        <f t="shared" si="16"/>
        <v>3.3647768993711109</v>
      </c>
    </row>
    <row r="13" spans="1:27" x14ac:dyDescent="0.25">
      <c r="A13" s="14">
        <v>14999.9999999999</v>
      </c>
      <c r="B13" s="14">
        <f t="shared" si="0"/>
        <v>-2.409191259055679</v>
      </c>
      <c r="C13" s="14">
        <f t="shared" si="1"/>
        <v>193.12102048061661</v>
      </c>
      <c r="D13">
        <f t="shared" si="2"/>
        <v>17.338235294117531</v>
      </c>
      <c r="E13">
        <f t="shared" si="3"/>
        <v>1.190856605232345</v>
      </c>
      <c r="F13" s="18">
        <f t="shared" si="4"/>
        <v>5899.1900196861297</v>
      </c>
      <c r="G13" s="19">
        <f>IF(API&gt;30,'Vasquez and Beggs'!$J$18*SGg*A13^'Vasquez and Beggs'!$J$19*EXP('Vasquez and Beggs'!$J$20*API/(T+460)),'Vasquez and Beggs'!$I$18*SGg*A13^'Vasquez and Beggs'!$I$19*EXP('Vasquez and Beggs'!$I$20*API/(T+460)))</f>
        <v>5178.7121206088159</v>
      </c>
      <c r="H13" s="19">
        <f t="shared" si="5"/>
        <v>13952.457403566572</v>
      </c>
      <c r="I13" s="7">
        <f t="shared" si="6"/>
        <v>-2971.4446273924227</v>
      </c>
      <c r="J13" s="7">
        <f t="shared" si="7"/>
        <v>7103.9818727112443</v>
      </c>
      <c r="K13" s="7">
        <f t="shared" si="8"/>
        <v>7121.8578985030354</v>
      </c>
      <c r="L13" s="7">
        <f t="shared" si="9"/>
        <v>4471.4346177789057</v>
      </c>
      <c r="N13" s="7">
        <f t="shared" si="10"/>
        <v>4.4890910404455688</v>
      </c>
      <c r="O13" s="7">
        <f>IF(API&gt;30,1+'Vasquez and Beggs'!$J$23*G13+'Vasquez and Beggs'!$J$24*(T-60)*(SGo/SGg)+'Vasquez and Beggs'!$J$25*G13*(T-60)*(SGo/SGg),1+'Vasquez and Beggs'!$I$23*G13+'Vasquez and Beggs'!$I$24*(T-60)*(SGo/SGg)+'Vasquez and Beggs'!$I$25*G13*(T-60)*(SGo/SGg))</f>
        <v>3.4214689532701321</v>
      </c>
      <c r="P13" s="7">
        <f t="shared" si="11"/>
        <v>13813.871245422115</v>
      </c>
      <c r="Q13" s="7">
        <f t="shared" si="12"/>
        <v>6.3870500883984453</v>
      </c>
      <c r="R13" s="7">
        <f t="shared" si="13"/>
        <v>843.11490704647019</v>
      </c>
      <c r="S13" s="7">
        <f t="shared" si="14"/>
        <v>4.859791843720501</v>
      </c>
      <c r="T13" s="7">
        <f t="shared" si="15"/>
        <v>899.48758260898887</v>
      </c>
      <c r="U13" s="7">
        <f t="shared" si="16"/>
        <v>3.682654449986078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workbookViewId="0">
      <selection activeCell="C5" sqref="C5"/>
    </sheetView>
  </sheetViews>
  <sheetFormatPr defaultRowHeight="15" x14ac:dyDescent="0.25"/>
  <cols>
    <col min="3" max="3" width="12" bestFit="1" customWidth="1"/>
    <col min="8" max="10" width="14.85546875" customWidth="1"/>
  </cols>
  <sheetData>
    <row r="1" spans="1:4" ht="18.75" x14ac:dyDescent="0.3">
      <c r="A1" s="4" t="s">
        <v>13</v>
      </c>
    </row>
    <row r="3" spans="1:4" x14ac:dyDescent="0.25">
      <c r="B3" s="1" t="s">
        <v>25</v>
      </c>
      <c r="C3" s="10">
        <f>IF(API&gt;30,$J$18*SGg*P^$J$19*EXP($J$20*API/(T+460)),$I$18*SGg*P^$I$19*EXP(I20*API/(T+460)))</f>
        <v>652.71723139198673</v>
      </c>
      <c r="D3" t="s">
        <v>7</v>
      </c>
    </row>
    <row r="4" spans="1:4" x14ac:dyDescent="0.25">
      <c r="B4" s="1" t="s">
        <v>1</v>
      </c>
      <c r="C4" s="10">
        <f>IF(API&gt;30,(GOR/(J18*SGg*EXP(J20*API/(T+459.67))))^(1/J19),(GOR/(I18*SGg*EXP(I20*API/(T+459.67))))^(1/I19))</f>
        <v>2920.4593613561051</v>
      </c>
      <c r="D4" t="s">
        <v>11</v>
      </c>
    </row>
    <row r="5" spans="1:4" x14ac:dyDescent="0.25">
      <c r="B5" s="1" t="s">
        <v>87</v>
      </c>
      <c r="C5" s="10">
        <f>1+J23*GOR+J24*(T-60)*API/SGg+J25*GOR*(T-60)*API/SGg</f>
        <v>1.4446371099236641</v>
      </c>
      <c r="D5" t="s">
        <v>42</v>
      </c>
    </row>
    <row r="6" spans="1:4" x14ac:dyDescent="0.25">
      <c r="B6" s="12" t="s">
        <v>88</v>
      </c>
    </row>
    <row r="7" spans="1:4" x14ac:dyDescent="0.25">
      <c r="B7" s="12"/>
    </row>
    <row r="8" spans="1:4" x14ac:dyDescent="0.25">
      <c r="B8" s="12"/>
    </row>
    <row r="9" spans="1:4" x14ac:dyDescent="0.25">
      <c r="B9" s="12"/>
    </row>
    <row r="10" spans="1:4" x14ac:dyDescent="0.25">
      <c r="B10" s="12"/>
    </row>
    <row r="11" spans="1:4" x14ac:dyDescent="0.25">
      <c r="B11" s="12"/>
    </row>
    <row r="12" spans="1:4" x14ac:dyDescent="0.25">
      <c r="B12" s="12"/>
    </row>
    <row r="13" spans="1:4" x14ac:dyDescent="0.25">
      <c r="B13" s="12"/>
    </row>
    <row r="17" spans="8:13" ht="18.75" x14ac:dyDescent="0.35">
      <c r="H17" s="5" t="s">
        <v>14</v>
      </c>
      <c r="I17" s="5" t="s">
        <v>15</v>
      </c>
      <c r="J17" s="5" t="s">
        <v>16</v>
      </c>
    </row>
    <row r="18" spans="8:13" x14ac:dyDescent="0.25">
      <c r="H18" s="5" t="s">
        <v>17</v>
      </c>
      <c r="I18" s="5">
        <v>3.6200000000000003E-2</v>
      </c>
      <c r="J18" s="5">
        <v>1.78E-2</v>
      </c>
    </row>
    <row r="19" spans="8:13" x14ac:dyDescent="0.25">
      <c r="H19" s="5" t="s">
        <v>18</v>
      </c>
      <c r="I19" s="5">
        <v>1.0936999999999999</v>
      </c>
      <c r="J19" s="5">
        <v>1.1870000000000001</v>
      </c>
    </row>
    <row r="20" spans="8:13" x14ac:dyDescent="0.25">
      <c r="H20" s="5" t="s">
        <v>19</v>
      </c>
      <c r="I20" s="5">
        <v>25.724</v>
      </c>
      <c r="J20" s="5">
        <v>23.931000000000001</v>
      </c>
    </row>
    <row r="21" spans="8:13" x14ac:dyDescent="0.25">
      <c r="H21" s="6"/>
    </row>
    <row r="22" spans="8:13" ht="18.75" x14ac:dyDescent="0.35">
      <c r="H22" s="5" t="s">
        <v>14</v>
      </c>
      <c r="I22" s="5" t="s">
        <v>15</v>
      </c>
      <c r="J22" s="5" t="s">
        <v>16</v>
      </c>
    </row>
    <row r="23" spans="8:13" x14ac:dyDescent="0.25">
      <c r="H23" s="5" t="s">
        <v>20</v>
      </c>
      <c r="I23" s="11">
        <v>4.6769999999999998E-4</v>
      </c>
      <c r="J23" s="11">
        <v>4.6700000000000002E-4</v>
      </c>
      <c r="L23" s="5">
        <v>3.6200000000000003E-2</v>
      </c>
      <c r="M23" s="5">
        <v>1.78E-2</v>
      </c>
    </row>
    <row r="24" spans="8:13" x14ac:dyDescent="0.25">
      <c r="H24" s="5" t="s">
        <v>21</v>
      </c>
      <c r="I24" s="11">
        <v>1.751E-5</v>
      </c>
      <c r="J24" s="11">
        <v>1.1E-5</v>
      </c>
      <c r="L24" s="5">
        <v>1.0936999999999999</v>
      </c>
      <c r="M24" s="5">
        <v>1.1870000000000001</v>
      </c>
    </row>
    <row r="25" spans="8:13" x14ac:dyDescent="0.25">
      <c r="H25" s="5" t="s">
        <v>22</v>
      </c>
      <c r="I25" s="11">
        <v>-1.8106E-8</v>
      </c>
      <c r="J25" s="11">
        <v>1.337E-9</v>
      </c>
      <c r="L25" s="5">
        <v>25.724</v>
      </c>
      <c r="M25" s="5">
        <v>23.931000000000001</v>
      </c>
    </row>
    <row r="27" spans="8:13" x14ac:dyDescent="0.25">
      <c r="H27" s="5" t="s">
        <v>14</v>
      </c>
      <c r="I27" s="5" t="s">
        <v>40</v>
      </c>
      <c r="J27" s="5" t="s">
        <v>41</v>
      </c>
    </row>
    <row r="28" spans="8:13" x14ac:dyDescent="0.25">
      <c r="H28" s="5" t="s">
        <v>17</v>
      </c>
      <c r="I28" s="11">
        <v>4.6769999999999998E-4</v>
      </c>
      <c r="J28" s="11">
        <v>4.6700000000000002E-4</v>
      </c>
    </row>
    <row r="29" spans="8:13" x14ac:dyDescent="0.25">
      <c r="H29" s="5" t="s">
        <v>18</v>
      </c>
      <c r="I29" s="11">
        <v>1.751E-5</v>
      </c>
      <c r="J29" s="11">
        <v>1.1E-5</v>
      </c>
    </row>
    <row r="30" spans="8:13" x14ac:dyDescent="0.25">
      <c r="H30" s="5" t="s">
        <v>19</v>
      </c>
      <c r="I30" s="11">
        <v>-1.8106E-8</v>
      </c>
      <c r="J30" s="11">
        <v>1.337E-9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tabSelected="1" zoomScale="110" zoomScaleNormal="110" workbookViewId="0">
      <selection activeCell="B16" sqref="B16"/>
    </sheetView>
  </sheetViews>
  <sheetFormatPr defaultRowHeight="15" x14ac:dyDescent="0.25"/>
  <cols>
    <col min="3" max="3" width="12" bestFit="1" customWidth="1"/>
    <col min="8" max="10" width="14.85546875" customWidth="1"/>
  </cols>
  <sheetData>
    <row r="1" spans="1:3" ht="18.75" x14ac:dyDescent="0.3">
      <c r="A1" s="4" t="s">
        <v>29</v>
      </c>
    </row>
    <row r="3" spans="1:3" x14ac:dyDescent="0.25">
      <c r="A3" s="3"/>
      <c r="B3" s="1" t="s">
        <v>1</v>
      </c>
      <c r="C3" s="8">
        <f>10^(1.7669+1.7447*LOG10(chi)-0.30218*(LOG10(chi))^2)</f>
        <v>2966.0190231166298</v>
      </c>
    </row>
    <row r="4" spans="1:3" x14ac:dyDescent="0.25">
      <c r="B4" s="1" t="s">
        <v>12</v>
      </c>
      <c r="C4" s="8">
        <f>(chigor*API^0.989/T^0.172)^(1/0.816)*SGg</f>
        <v>638.940695344966</v>
      </c>
    </row>
    <row r="5" spans="1:3" x14ac:dyDescent="0.25">
      <c r="B5" s="1" t="s">
        <v>24</v>
      </c>
      <c r="C5" s="8">
        <f>10^(-6.58511+2.91329*LOG(y)-0.27683*LOG(y)^2)+1</f>
        <v>1.4244424089307175</v>
      </c>
    </row>
    <row r="6" spans="1:3" ht="15.75" thickBot="1" x14ac:dyDescent="0.3"/>
    <row r="7" spans="1:3" ht="16.5" thickTop="1" thickBot="1" x14ac:dyDescent="0.3">
      <c r="B7" t="s">
        <v>30</v>
      </c>
      <c r="C7" s="9">
        <f>(GOR/SGg)^0.816*T^0.172/API^0.989</f>
        <v>17.64092867857854</v>
      </c>
    </row>
    <row r="8" spans="1:3" ht="15.75" thickTop="1" x14ac:dyDescent="0.25">
      <c r="B8" s="1"/>
      <c r="C8" s="7"/>
    </row>
    <row r="9" spans="1:3" x14ac:dyDescent="0.25">
      <c r="B9" t="s">
        <v>32</v>
      </c>
      <c r="C9">
        <v>-0.30218</v>
      </c>
    </row>
    <row r="10" spans="1:3" x14ac:dyDescent="0.25">
      <c r="B10" t="s">
        <v>33</v>
      </c>
      <c r="C10">
        <v>1.7446999999999999</v>
      </c>
    </row>
    <row r="11" spans="1:3" ht="15.75" thickBot="1" x14ac:dyDescent="0.3">
      <c r="B11" t="s">
        <v>34</v>
      </c>
      <c r="C11">
        <f>1.7669-LOG10(P)</f>
        <v>-1.6514012913197453</v>
      </c>
    </row>
    <row r="12" spans="1:3" ht="16.5" thickTop="1" thickBot="1" x14ac:dyDescent="0.3">
      <c r="B12" t="s">
        <v>31</v>
      </c>
      <c r="C12" s="9">
        <f>10^((-b+SQRT(b^2-4*a*cc))/(2*a))</f>
        <v>15.59733431440595</v>
      </c>
    </row>
    <row r="13" spans="1:3" ht="16.5" thickTop="1" thickBot="1" x14ac:dyDescent="0.3"/>
    <row r="14" spans="1:3" ht="16.5" thickTop="1" thickBot="1" x14ac:dyDescent="0.3">
      <c r="B14" t="s">
        <v>43</v>
      </c>
      <c r="C14" s="9">
        <f>GOR*(SGg/SGo)^0.526+0.968*T</f>
        <v>937.23936979513269</v>
      </c>
    </row>
    <row r="15" spans="1:3" ht="15.75" thickTop="1" x14ac:dyDescent="0.25"/>
    <row r="16" spans="1:3" x14ac:dyDescent="0.25">
      <c r="B16" t="s">
        <v>25</v>
      </c>
      <c r="C16">
        <f>GOR</f>
        <v>743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workbookViewId="0">
      <selection activeCell="J22" sqref="J22"/>
    </sheetView>
  </sheetViews>
  <sheetFormatPr defaultRowHeight="15" x14ac:dyDescent="0.25"/>
  <cols>
    <col min="2" max="2" width="11.42578125" customWidth="1"/>
    <col min="3" max="3" width="11.85546875" customWidth="1"/>
  </cols>
  <sheetData>
    <row r="1" spans="1:12" ht="18.75" x14ac:dyDescent="0.3">
      <c r="A1" s="4" t="s">
        <v>39</v>
      </c>
    </row>
    <row r="2" spans="1:12" x14ac:dyDescent="0.25">
      <c r="I2" s="17" t="s">
        <v>35</v>
      </c>
      <c r="J2" s="17" t="s">
        <v>54</v>
      </c>
      <c r="K2" s="17" t="s">
        <v>53</v>
      </c>
      <c r="L2" s="17" t="s">
        <v>25</v>
      </c>
    </row>
    <row r="3" spans="1:12" x14ac:dyDescent="0.25">
      <c r="B3" s="1" t="s">
        <v>1</v>
      </c>
      <c r="C3" s="8">
        <f>IF(SGg&lt;=0.7,0.2268*10^(4.258*yg)*(T+459.67)/SGg,(8.26*yg^3.56+1.95)*(T+459.67)/SGg)</f>
        <v>2911.1385784414192</v>
      </c>
      <c r="D3" t="s">
        <v>11</v>
      </c>
      <c r="I3" s="15">
        <v>1.0000000000000001E-5</v>
      </c>
      <c r="J3">
        <f t="shared" ref="J3:J12" si="0">I3*SGg/(T+460)</f>
        <v>1.1558823529411766E-8</v>
      </c>
      <c r="K3">
        <f t="shared" ref="K3:K12" si="1">IF(J3&lt;3.29,0.359*LN(1.473*I3*SGg/(T+460)+0.476),(0.121*I3*SGg/(T+460)-0.236)^0.281)</f>
        <v>-0.26649912264435893</v>
      </c>
      <c r="L3">
        <f t="shared" ref="L3:L12" si="2">132755*SGo*K3/(Mo*(1-K3))</f>
        <v>-100.2088912245989</v>
      </c>
    </row>
    <row r="4" spans="1:12" x14ac:dyDescent="0.25">
      <c r="B4" s="1"/>
      <c r="C4" s="1"/>
      <c r="I4" s="14">
        <v>500</v>
      </c>
      <c r="J4">
        <f t="shared" si="0"/>
        <v>0.57794117647058818</v>
      </c>
      <c r="K4">
        <f t="shared" si="1"/>
        <v>0.10165169128348345</v>
      </c>
      <c r="L4">
        <f t="shared" si="2"/>
        <v>53.887150711870149</v>
      </c>
    </row>
    <row r="5" spans="1:12" x14ac:dyDescent="0.25">
      <c r="B5" s="1" t="s">
        <v>25</v>
      </c>
      <c r="C5" s="8">
        <f>132755*SGo*ygGOR/(Mo*(1-ygGOR))</f>
        <v>639.6492245900381</v>
      </c>
      <c r="D5" t="s">
        <v>7</v>
      </c>
      <c r="I5" s="14">
        <v>1000</v>
      </c>
      <c r="J5">
        <f t="shared" si="0"/>
        <v>1.1558823529411764</v>
      </c>
      <c r="K5">
        <f t="shared" si="1"/>
        <v>0.27954942954775658</v>
      </c>
      <c r="L5">
        <f t="shared" si="2"/>
        <v>184.7863075309815</v>
      </c>
    </row>
    <row r="6" spans="1:12" ht="15.75" thickBot="1" x14ac:dyDescent="0.3">
      <c r="I6" s="14">
        <v>1500</v>
      </c>
      <c r="J6">
        <f t="shared" si="0"/>
        <v>1.7338235294117648</v>
      </c>
      <c r="K6">
        <f t="shared" si="1"/>
        <v>0.39796474567472701</v>
      </c>
      <c r="L6">
        <f t="shared" si="2"/>
        <v>314.80240673305468</v>
      </c>
    </row>
    <row r="7" spans="1:12" ht="16.5" thickTop="1" thickBot="1" x14ac:dyDescent="0.3">
      <c r="B7" t="s">
        <v>37</v>
      </c>
      <c r="C7" s="9">
        <f>(GOR/379.3)/(GOR/379.3+350*SGo/Mo)</f>
        <v>0.60940177378089411</v>
      </c>
      <c r="D7" t="s">
        <v>56</v>
      </c>
      <c r="I7" s="14">
        <v>2000</v>
      </c>
      <c r="J7">
        <f t="shared" si="0"/>
        <v>2.3117647058823527</v>
      </c>
      <c r="K7">
        <f t="shared" si="1"/>
        <v>0.48685855441124287</v>
      </c>
      <c r="L7">
        <f t="shared" si="2"/>
        <v>451.83625810912037</v>
      </c>
    </row>
    <row r="8" spans="1:12" ht="16.5" thickTop="1" thickBot="1" x14ac:dyDescent="0.3">
      <c r="I8" s="14">
        <v>2500</v>
      </c>
      <c r="J8">
        <f t="shared" si="0"/>
        <v>2.8897058823529411</v>
      </c>
      <c r="K8">
        <f t="shared" si="1"/>
        <v>0.55805163277426095</v>
      </c>
      <c r="L8">
        <f t="shared" si="2"/>
        <v>601.3374005908762</v>
      </c>
    </row>
    <row r="9" spans="1:12" ht="16.5" thickTop="1" thickBot="1" x14ac:dyDescent="0.3">
      <c r="B9" t="s">
        <v>38</v>
      </c>
      <c r="C9" s="9">
        <f>IF(API&lt;=40,630-10*API,73110*API^-1.562)</f>
        <v>230</v>
      </c>
      <c r="D9" t="s">
        <v>57</v>
      </c>
      <c r="I9" s="14">
        <v>3000</v>
      </c>
      <c r="J9">
        <f t="shared" si="0"/>
        <v>3.4676470588235295</v>
      </c>
      <c r="K9">
        <f t="shared" si="1"/>
        <v>0.62106699010964483</v>
      </c>
      <c r="L9">
        <f t="shared" si="2"/>
        <v>780.53318827767305</v>
      </c>
    </row>
    <row r="10" spans="1:12" ht="16.5" thickTop="1" thickBot="1" x14ac:dyDescent="0.3">
      <c r="I10" s="14">
        <v>3256</v>
      </c>
      <c r="J10">
        <f t="shared" si="0"/>
        <v>3.7635529411764703</v>
      </c>
      <c r="K10">
        <f t="shared" si="1"/>
        <v>0.6529529319922287</v>
      </c>
      <c r="L10">
        <f t="shared" si="2"/>
        <v>896.00176097304507</v>
      </c>
    </row>
    <row r="11" spans="1:12" ht="16.5" thickTop="1" thickBot="1" x14ac:dyDescent="0.3">
      <c r="B11" t="s">
        <v>53</v>
      </c>
      <c r="C11" s="9">
        <f>IF(PbSGgTR&lt;3.29,0.359*LN(1.473*P*SGg/(T+460)+0.476),(0.121*P*SGg/(T+460)-0.236)^0.281)</f>
        <v>0.57322520237897001</v>
      </c>
      <c r="D11" t="s">
        <v>55</v>
      </c>
      <c r="I11" s="14">
        <v>3500</v>
      </c>
      <c r="J11">
        <f t="shared" si="0"/>
        <v>4.0455882352941179</v>
      </c>
      <c r="K11">
        <f t="shared" si="1"/>
        <v>0.68002612095559312</v>
      </c>
      <c r="L11">
        <f t="shared" si="2"/>
        <v>1012.1070155615872</v>
      </c>
    </row>
    <row r="12" spans="1:12" ht="16.5" thickTop="1" thickBot="1" x14ac:dyDescent="0.3">
      <c r="I12" s="14">
        <v>4000</v>
      </c>
      <c r="J12">
        <f t="shared" si="0"/>
        <v>4.6235294117647054</v>
      </c>
      <c r="K12">
        <f t="shared" si="1"/>
        <v>0.72820675124796241</v>
      </c>
      <c r="L12">
        <f t="shared" si="2"/>
        <v>1275.943379127955</v>
      </c>
    </row>
    <row r="13" spans="1:12" ht="16.5" thickTop="1" thickBot="1" x14ac:dyDescent="0.3">
      <c r="B13" t="s">
        <v>54</v>
      </c>
      <c r="C13" s="9">
        <f>P*SGg/(T+460)</f>
        <v>3.0284117647058828</v>
      </c>
      <c r="D13" t="s">
        <v>55</v>
      </c>
    </row>
    <row r="14" spans="1:12" ht="15.75" thickTop="1" x14ac:dyDescent="0.25"/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C7" sqref="C7"/>
    </sheetView>
  </sheetViews>
  <sheetFormatPr defaultRowHeight="15" x14ac:dyDescent="0.25"/>
  <cols>
    <col min="3" max="3" width="12" bestFit="1" customWidth="1"/>
  </cols>
  <sheetData>
    <row r="1" spans="1:4" ht="18.75" x14ac:dyDescent="0.3">
      <c r="A1" s="4" t="s">
        <v>44</v>
      </c>
    </row>
    <row r="3" spans="1:4" x14ac:dyDescent="0.25">
      <c r="B3" s="1" t="s">
        <v>1</v>
      </c>
      <c r="C3" s="8">
        <f>0.00538088*GOR^0.715082*SGg^-1.87784*SGo^3.1437*(T+459.67)^1.32657</f>
        <v>2984.9979688722042</v>
      </c>
      <c r="D3" t="s">
        <v>11</v>
      </c>
    </row>
    <row r="5" spans="1:4" x14ac:dyDescent="0.25">
      <c r="B5" s="1" t="s">
        <v>45</v>
      </c>
      <c r="C5" s="8">
        <f>(P*SGg^1.87784/(0.00538088*SGo^3.1437*(T+459.67)^1.32657))^(1/0.715082)</f>
        <v>619.12347421402023</v>
      </c>
      <c r="D5" t="s">
        <v>7</v>
      </c>
    </row>
    <row r="7" spans="1:4" x14ac:dyDescent="0.25">
      <c r="B7" t="s">
        <v>24</v>
      </c>
      <c r="C7" s="8">
        <f>0.497069+0.000826963*(T+459.67)+0.00182594*F+0.00000318099*F^2</f>
        <v>1.4263262859596895</v>
      </c>
      <c r="D7" t="s">
        <v>42</v>
      </c>
    </row>
    <row r="10" spans="1:4" x14ac:dyDescent="0.25">
      <c r="B10" t="s">
        <v>8</v>
      </c>
      <c r="C10">
        <f>GOR^0.74239*SGg^0.323294*SGo^-1.20204</f>
        <v>157.7479409300297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B7" sqref="B7"/>
    </sheetView>
  </sheetViews>
  <sheetFormatPr defaultRowHeight="15" x14ac:dyDescent="0.25"/>
  <cols>
    <col min="3" max="3" width="10" bestFit="1" customWidth="1"/>
  </cols>
  <sheetData>
    <row r="1" spans="1:9" ht="18.75" x14ac:dyDescent="0.3">
      <c r="A1" s="4" t="s">
        <v>46</v>
      </c>
    </row>
    <row r="2" spans="1:9" x14ac:dyDescent="0.25">
      <c r="H2" s="17" t="s">
        <v>35</v>
      </c>
      <c r="I2" s="17" t="s">
        <v>25</v>
      </c>
    </row>
    <row r="3" spans="1:9" x14ac:dyDescent="0.25">
      <c r="B3" t="s">
        <v>1</v>
      </c>
      <c r="C3" s="8">
        <f>112.727*(GOR^0.5774/SGg^0.8439*10^chipet-12.34)</f>
        <v>3052.6946927042873</v>
      </c>
      <c r="H3" s="15">
        <v>9.9999999999999994E-12</v>
      </c>
      <c r="I3">
        <f t="shared" ref="I3:I12" si="0">((H3/112.727+12.34)*SGg^0.8439*10^chigorpet)^1.73184</f>
        <v>99.388464805719238</v>
      </c>
    </row>
    <row r="4" spans="1:9" x14ac:dyDescent="0.25">
      <c r="B4" t="s">
        <v>45</v>
      </c>
      <c r="C4" s="8">
        <f>((P/112.727+12.34)*SGg^0.8439*10^chigorpet)^1.73184</f>
        <v>622.0643881883143</v>
      </c>
      <c r="H4" s="14">
        <v>500</v>
      </c>
      <c r="I4">
        <f t="shared" si="0"/>
        <v>169.15874948024702</v>
      </c>
    </row>
    <row r="5" spans="1:9" x14ac:dyDescent="0.25">
      <c r="H5" s="14">
        <v>1000</v>
      </c>
      <c r="I5">
        <f t="shared" si="0"/>
        <v>253.94753694922565</v>
      </c>
    </row>
    <row r="6" spans="1:9" x14ac:dyDescent="0.25">
      <c r="H6" s="14">
        <v>1500</v>
      </c>
      <c r="I6">
        <f t="shared" si="0"/>
        <v>352.82836692387741</v>
      </c>
    </row>
    <row r="7" spans="1:9" x14ac:dyDescent="0.25">
      <c r="B7" t="s">
        <v>48</v>
      </c>
      <c r="H7" s="14">
        <v>2000</v>
      </c>
      <c r="I7">
        <f t="shared" si="0"/>
        <v>465.09629902766517</v>
      </c>
    </row>
    <row r="8" spans="1:9" x14ac:dyDescent="0.25">
      <c r="H8" s="14">
        <v>2500</v>
      </c>
      <c r="I8">
        <f t="shared" si="0"/>
        <v>590.1877451936964</v>
      </c>
    </row>
    <row r="9" spans="1:9" ht="15.75" thickBot="1" x14ac:dyDescent="0.3">
      <c r="H9" s="14">
        <v>3000</v>
      </c>
      <c r="I9">
        <f t="shared" si="0"/>
        <v>727.6365095825804</v>
      </c>
    </row>
    <row r="10" spans="1:9" ht="16.5" thickTop="1" thickBot="1" x14ac:dyDescent="0.3">
      <c r="B10" t="s">
        <v>47</v>
      </c>
      <c r="C10" s="9">
        <f>0.00004561*T^1.3911-0.0007916*API^1.541</f>
        <v>-0.15024058904624893</v>
      </c>
      <c r="H10" s="14">
        <v>3256</v>
      </c>
      <c r="I10">
        <f t="shared" si="0"/>
        <v>802.6630244141553</v>
      </c>
    </row>
    <row r="11" spans="1:9" ht="15.75" thickTop="1" x14ac:dyDescent="0.25">
      <c r="H11" s="14">
        <v>3500</v>
      </c>
      <c r="I11">
        <f t="shared" si="0"/>
        <v>877.04720969583218</v>
      </c>
    </row>
    <row r="12" spans="1:9" ht="15.75" thickBot="1" x14ac:dyDescent="0.3">
      <c r="H12" s="14">
        <v>4000</v>
      </c>
      <c r="I12">
        <f t="shared" si="0"/>
        <v>1038.0780510878583</v>
      </c>
    </row>
    <row r="13" spans="1:9" ht="16.5" thickTop="1" thickBot="1" x14ac:dyDescent="0.3">
      <c r="B13" t="s">
        <v>51</v>
      </c>
      <c r="C13" s="9">
        <f>7.916*10^-4*API^1.541-4.561*10^-5*T^1.3911</f>
        <v>0.15024058904624893</v>
      </c>
    </row>
    <row r="14" spans="1:9" ht="15.75" thickTop="1" x14ac:dyDescent="0.25"/>
    <row r="16" spans="1:9" x14ac:dyDescent="0.25">
      <c r="C16" s="16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workbookViewId="0">
      <selection activeCell="C3" sqref="C3"/>
    </sheetView>
  </sheetViews>
  <sheetFormatPr defaultRowHeight="15" x14ac:dyDescent="0.25"/>
  <cols>
    <col min="3" max="3" width="12" bestFit="1" customWidth="1"/>
  </cols>
  <sheetData>
    <row r="1" spans="1:9" ht="18.75" x14ac:dyDescent="0.3">
      <c r="A1" s="4" t="s">
        <v>52</v>
      </c>
    </row>
    <row r="2" spans="1:9" x14ac:dyDescent="0.25">
      <c r="H2" s="17" t="s">
        <v>35</v>
      </c>
      <c r="I2" t="s">
        <v>25</v>
      </c>
    </row>
    <row r="3" spans="1:9" x14ac:dyDescent="0.25">
      <c r="B3" s="1" t="s">
        <v>1</v>
      </c>
      <c r="C3">
        <f>IF(API&lt;=30,(GOR*1/(0.05958*SGg^0.7972*10^(13.1405*API/(T+460))))^0.9986,(GOR/(0.0315*SGg^0.7587*10^(11.28955*API/(T+460))))^0.9143)</f>
        <v>2906.0587974575124</v>
      </c>
      <c r="H3" s="15">
        <v>9.9999999999999994E-12</v>
      </c>
      <c r="I3">
        <f t="shared" ref="I3:I12" si="0">IF(API&gt;30,0.0315*SGg^0.7587*H3^1.0937*10^(11.2895*API/(T+460)),0.05958*SGg^0.7972*H3^1.0014*10^(13.1405*API/(T+460)))</f>
        <v>1.1281214963004495E-13</v>
      </c>
    </row>
    <row r="4" spans="1:9" x14ac:dyDescent="0.25">
      <c r="B4" s="1" t="s">
        <v>25</v>
      </c>
      <c r="C4" s="8">
        <f>IF(API&gt;30,0.0315*SGg^0.7587*P^1.0937*10^(11.2895*API/(T+460)),0.05958*SGg^0.7972*P^1.0014*10^(13.1405*API/(T+460)))</f>
        <v>663.21142190961848</v>
      </c>
      <c r="H4" s="14">
        <v>500</v>
      </c>
      <c r="I4">
        <f t="shared" si="0"/>
        <v>108.37256898813109</v>
      </c>
    </row>
    <row r="5" spans="1:9" x14ac:dyDescent="0.25">
      <c r="B5" t="s">
        <v>8</v>
      </c>
      <c r="C5">
        <f>GOR^0.755*SGg^0.25*SGo^(-1.5)+0.45*T</f>
        <v>283.80500023823276</v>
      </c>
      <c r="H5" s="14">
        <v>1000</v>
      </c>
      <c r="I5">
        <f t="shared" si="0"/>
        <v>231.28947736337906</v>
      </c>
    </row>
    <row r="6" spans="1:9" x14ac:dyDescent="0.25">
      <c r="B6" t="s">
        <v>24</v>
      </c>
      <c r="C6">
        <f>0.98496+0.0001*C5^1.5</f>
        <v>1.4630724625802034</v>
      </c>
      <c r="H6" s="14">
        <v>1500</v>
      </c>
      <c r="I6">
        <f t="shared" si="0"/>
        <v>360.36855205693308</v>
      </c>
    </row>
    <row r="7" spans="1:9" x14ac:dyDescent="0.25">
      <c r="H7" s="14">
        <v>2000</v>
      </c>
      <c r="I7">
        <f t="shared" si="0"/>
        <v>493.61958324420459</v>
      </c>
    </row>
    <row r="8" spans="1:9" x14ac:dyDescent="0.25">
      <c r="H8" s="14">
        <v>2500</v>
      </c>
      <c r="I8">
        <f t="shared" si="0"/>
        <v>630.06138314090197</v>
      </c>
    </row>
    <row r="9" spans="1:9" x14ac:dyDescent="0.25">
      <c r="H9" s="14">
        <v>3000</v>
      </c>
      <c r="I9">
        <f t="shared" si="0"/>
        <v>769.10102659441532</v>
      </c>
    </row>
    <row r="10" spans="1:9" x14ac:dyDescent="0.25">
      <c r="H10" s="14">
        <v>3256</v>
      </c>
      <c r="I10">
        <f t="shared" si="0"/>
        <v>841.16036135904801</v>
      </c>
    </row>
    <row r="11" spans="1:9" x14ac:dyDescent="0.25">
      <c r="H11" s="14">
        <v>3500</v>
      </c>
      <c r="I11">
        <f t="shared" si="0"/>
        <v>910.33888691456013</v>
      </c>
    </row>
    <row r="12" spans="1:9" x14ac:dyDescent="0.25">
      <c r="H12" s="14">
        <v>4000</v>
      </c>
      <c r="I12">
        <f t="shared" si="0"/>
        <v>1053.4862880050839</v>
      </c>
    </row>
    <row r="27" spans="3:3" x14ac:dyDescent="0.25">
      <c r="C27">
        <f>0.05958*SGg^0.7972*P^1.0014*10^(13.1405*API/(T+460))</f>
        <v>772.30501319459938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20</vt:i4>
      </vt:variant>
    </vt:vector>
  </HeadingPairs>
  <TitlesOfParts>
    <vt:vector size="30" baseType="lpstr">
      <vt:lpstr>input</vt:lpstr>
      <vt:lpstr>Standing</vt:lpstr>
      <vt:lpstr>All GOR correlations</vt:lpstr>
      <vt:lpstr>Vasquez and Beggs</vt:lpstr>
      <vt:lpstr>Glaso</vt:lpstr>
      <vt:lpstr>Lasater</vt:lpstr>
      <vt:lpstr>Al-Marhoun</vt:lpstr>
      <vt:lpstr>Petrosky</vt:lpstr>
      <vt:lpstr>Kartoatmodjo</vt:lpstr>
      <vt:lpstr>sources</vt:lpstr>
      <vt:lpstr>a</vt:lpstr>
      <vt:lpstr>API</vt:lpstr>
      <vt:lpstr>b</vt:lpstr>
      <vt:lpstr>cc</vt:lpstr>
      <vt:lpstr>chi</vt:lpstr>
      <vt:lpstr>chigor</vt:lpstr>
      <vt:lpstr>chigorpet</vt:lpstr>
      <vt:lpstr>chipet</vt:lpstr>
      <vt:lpstr>F</vt:lpstr>
      <vt:lpstr>GOR</vt:lpstr>
      <vt:lpstr>Mo</vt:lpstr>
      <vt:lpstr>P</vt:lpstr>
      <vt:lpstr>PbSGgTR</vt:lpstr>
      <vt:lpstr>SGg</vt:lpstr>
      <vt:lpstr>SGo</vt:lpstr>
      <vt:lpstr>startCell</vt:lpstr>
      <vt:lpstr>T</vt:lpstr>
      <vt:lpstr>y</vt:lpstr>
      <vt:lpstr>yg</vt:lpstr>
      <vt:lpstr>ygGOR</vt:lpstr>
    </vt:vector>
  </TitlesOfParts>
  <Company>IHS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Alfonso Reyes</dc:creator>
  <cp:lastModifiedBy>Alfonso Reyes</cp:lastModifiedBy>
  <dcterms:created xsi:type="dcterms:W3CDTF">2011-08-19T19:23:05Z</dcterms:created>
  <dcterms:modified xsi:type="dcterms:W3CDTF">2017-04-10T22:33:37Z</dcterms:modified>
</cp:coreProperties>
</file>