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ENG-ABELRHMAN_ASHRAF\Studying\2nd term\الترم التاني\Civil_engineering\توزيع - عبدالمنعم شعبان\Report 1\training\"/>
    </mc:Choice>
  </mc:AlternateContent>
  <xr:revisionPtr revIDLastSave="0" documentId="13_ncr:1_{22B4865B-7AC5-43E8-8BF2-7E4D547D707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oad Estimation" sheetId="1" r:id="rId1"/>
    <sheet name="Cofree Loading" sheetId="2" r:id="rId2"/>
    <sheet name="Pillar Load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D2" i="3" l="1"/>
  <c r="F25" i="3"/>
  <c r="H25" i="3" s="1"/>
  <c r="F20" i="3"/>
  <c r="F16" i="3"/>
  <c r="F11" i="3"/>
  <c r="F6" i="3"/>
  <c r="E19" i="3"/>
  <c r="E7" i="3"/>
  <c r="E9" i="3"/>
  <c r="E10" i="3"/>
  <c r="E11" i="3"/>
  <c r="E12" i="3"/>
  <c r="E13" i="3"/>
  <c r="E14" i="3"/>
  <c r="E15" i="3"/>
  <c r="E16" i="3"/>
  <c r="E17" i="3"/>
  <c r="E18" i="3"/>
  <c r="E20" i="3"/>
  <c r="E6" i="3"/>
  <c r="H11" i="3" l="1"/>
  <c r="H6" i="3"/>
  <c r="H16" i="3"/>
  <c r="H20" i="3"/>
  <c r="J22" i="2" l="1"/>
  <c r="J27" i="2"/>
  <c r="J28" i="2"/>
  <c r="J31" i="2"/>
  <c r="J32" i="2"/>
  <c r="J33" i="2"/>
  <c r="J38" i="2"/>
  <c r="J39" i="2"/>
  <c r="J9" i="2"/>
  <c r="J10" i="2"/>
  <c r="J13" i="2"/>
  <c r="J6" i="2"/>
  <c r="F7" i="2"/>
  <c r="F8" i="2"/>
  <c r="F9" i="2"/>
  <c r="G9" i="2" s="1"/>
  <c r="I9" i="2" s="1"/>
  <c r="F10" i="2"/>
  <c r="G10" i="2" s="1"/>
  <c r="I10" i="2" s="1"/>
  <c r="F11" i="2"/>
  <c r="F12" i="2"/>
  <c r="G11" i="2" s="1"/>
  <c r="I11" i="2" s="1"/>
  <c r="F13" i="2"/>
  <c r="G13" i="2" s="1"/>
  <c r="I13" i="2" s="1"/>
  <c r="F14" i="2"/>
  <c r="F15" i="2"/>
  <c r="F16" i="2"/>
  <c r="F17" i="2"/>
  <c r="F18" i="2"/>
  <c r="F19" i="2"/>
  <c r="F20" i="2"/>
  <c r="F21" i="2"/>
  <c r="F22" i="2"/>
  <c r="G22" i="2" s="1"/>
  <c r="I22" i="2" s="1"/>
  <c r="F23" i="2"/>
  <c r="F24" i="2"/>
  <c r="F25" i="2"/>
  <c r="F26" i="2"/>
  <c r="F27" i="2"/>
  <c r="G27" i="2" s="1"/>
  <c r="I27" i="2" s="1"/>
  <c r="F28" i="2"/>
  <c r="G28" i="2" s="1"/>
  <c r="I28" i="2" s="1"/>
  <c r="F29" i="2"/>
  <c r="F30" i="2"/>
  <c r="F31" i="2"/>
  <c r="G31" i="2" s="1"/>
  <c r="I31" i="2" s="1"/>
  <c r="F32" i="2"/>
  <c r="G32" i="2" s="1"/>
  <c r="I32" i="2" s="1"/>
  <c r="F33" i="2"/>
  <c r="G33" i="2" s="1"/>
  <c r="I33" i="2" s="1"/>
  <c r="F34" i="2"/>
  <c r="G34" i="2" s="1"/>
  <c r="I34" i="2" s="1"/>
  <c r="F35" i="2"/>
  <c r="F36" i="2"/>
  <c r="F37" i="2"/>
  <c r="F38" i="2"/>
  <c r="G38" i="2" s="1"/>
  <c r="I38" i="2" s="1"/>
  <c r="F39" i="2"/>
  <c r="G39" i="2" s="1"/>
  <c r="I39" i="2" s="1"/>
  <c r="F6" i="2"/>
  <c r="G6" i="2" s="1"/>
  <c r="I6" i="2" s="1"/>
  <c r="P9" i="1"/>
  <c r="G18" i="2" l="1"/>
  <c r="I18" i="2" s="1"/>
  <c r="G25" i="2"/>
  <c r="I25" i="2" s="1"/>
  <c r="G29" i="2"/>
  <c r="I29" i="2" s="1"/>
  <c r="G23" i="2"/>
  <c r="I23" i="2" s="1"/>
  <c r="G36" i="2"/>
  <c r="I36" i="2" s="1"/>
  <c r="G20" i="2"/>
  <c r="I20" i="2" s="1"/>
  <c r="G14" i="2"/>
  <c r="I14" i="2" s="1"/>
  <c r="G7" i="2"/>
  <c r="I7" i="2" s="1"/>
  <c r="K40" i="2" s="1"/>
  <c r="G16" i="2"/>
  <c r="I16" i="2" s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9" i="1"/>
  <c r="J9" i="1"/>
  <c r="K9" i="1"/>
  <c r="H10" i="1"/>
  <c r="O10" i="1" s="1"/>
  <c r="J10" i="1"/>
  <c r="K10" i="1"/>
  <c r="H11" i="1"/>
  <c r="J11" i="1"/>
  <c r="L11" i="1" s="1"/>
  <c r="K11" i="1"/>
  <c r="J12" i="1"/>
  <c r="K12" i="1"/>
  <c r="J13" i="1"/>
  <c r="K13" i="1"/>
  <c r="H14" i="1"/>
  <c r="J14" i="1"/>
  <c r="K14" i="1"/>
  <c r="H15" i="1"/>
  <c r="J15" i="1"/>
  <c r="L15" i="1" s="1"/>
  <c r="K15" i="1"/>
  <c r="H16" i="1"/>
  <c r="J16" i="1"/>
  <c r="K16" i="1"/>
  <c r="H17" i="1"/>
  <c r="O17" i="1" s="1"/>
  <c r="J17" i="1"/>
  <c r="K17" i="1"/>
  <c r="H18" i="1"/>
  <c r="O18" i="1" s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L25" i="1" s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P44" i="1"/>
  <c r="O11" i="1"/>
  <c r="O12" i="1"/>
  <c r="O13" i="1"/>
  <c r="O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9" i="1"/>
  <c r="O15" i="1"/>
  <c r="O14" i="1"/>
  <c r="K38" i="1"/>
  <c r="L22" i="1"/>
  <c r="L26" i="1"/>
  <c r="K37" i="1"/>
  <c r="K39" i="1"/>
  <c r="K40" i="1"/>
  <c r="K41" i="1"/>
  <c r="K42" i="1"/>
  <c r="L23" i="1"/>
  <c r="L31" i="1"/>
  <c r="L34" i="1"/>
  <c r="L35" i="1"/>
  <c r="J37" i="1"/>
  <c r="J38" i="1"/>
  <c r="J39" i="1"/>
  <c r="J40" i="1"/>
  <c r="J41" i="1"/>
  <c r="J42" i="1"/>
  <c r="L9" i="1"/>
  <c r="L18" i="1"/>
  <c r="K41" i="2" l="1"/>
  <c r="L12" i="1"/>
  <c r="L40" i="1"/>
  <c r="L29" i="1"/>
  <c r="L41" i="1"/>
  <c r="L37" i="1"/>
  <c r="L21" i="1"/>
  <c r="L36" i="1"/>
  <c r="L20" i="1"/>
  <c r="L30" i="1"/>
  <c r="L13" i="1"/>
  <c r="L28" i="1"/>
  <c r="L27" i="1"/>
  <c r="L38" i="1"/>
  <c r="L33" i="1"/>
  <c r="L16" i="1"/>
  <c r="L42" i="1"/>
  <c r="L39" i="1"/>
  <c r="L24" i="1"/>
  <c r="L17" i="1"/>
  <c r="L10" i="1"/>
  <c r="L19" i="1"/>
  <c r="L14" i="1"/>
  <c r="L32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9" i="1"/>
  <c r="P45" i="1" l="1"/>
  <c r="P46" i="1" s="1"/>
</calcChain>
</file>

<file path=xl/sharedStrings.xml><?xml version="1.0" encoding="utf-8"?>
<sst xmlns="http://schemas.openxmlformats.org/spreadsheetml/2006/main" count="125" uniqueCount="102">
  <si>
    <t xml:space="preserve">Name: عبدالرحمن اشرف حلمي </t>
  </si>
  <si>
    <t>Sec : 2</t>
  </si>
  <si>
    <t>Training</t>
  </si>
  <si>
    <t>Villa No.</t>
  </si>
  <si>
    <t>Land area (m²)</t>
  </si>
  <si>
    <t xml:space="preserve"> Out Area</t>
  </si>
  <si>
    <t>Build Up Area (m²)</t>
  </si>
  <si>
    <t>Load Density (VA/m²)</t>
  </si>
  <si>
    <t>Roof Estimated Load (KVA)</t>
  </si>
  <si>
    <t>Landscape Lighting  (KVA)</t>
  </si>
  <si>
    <t>Estimated load(KVA)</t>
  </si>
  <si>
    <t xml:space="preserve">GROUND </t>
  </si>
  <si>
    <t xml:space="preserve">FIRST </t>
  </si>
  <si>
    <t>Roof</t>
  </si>
  <si>
    <t xml:space="preserve">Total BUA (m²) (without the roof )  </t>
  </si>
  <si>
    <t xml:space="preserve"> According to Egyption Code</t>
  </si>
  <si>
    <t>PUMP LOADS</t>
  </si>
  <si>
    <t>OUTDOOR LIGHTING (Landscape + Hardscape)</t>
  </si>
  <si>
    <t xml:space="preserve"> Connected load (KVA)</t>
  </si>
  <si>
    <t>Max. Demand Load at Div. Factor 0.8  (KVA)</t>
  </si>
  <si>
    <t>Load Estimation for Compound Report</t>
  </si>
  <si>
    <t>Item</t>
  </si>
  <si>
    <t>Connected Load</t>
  </si>
  <si>
    <t>Diversity Factor</t>
  </si>
  <si>
    <t>Max. Demand</t>
  </si>
  <si>
    <t>Villa</t>
  </si>
  <si>
    <t>Cofree</t>
  </si>
  <si>
    <t>Villa -1</t>
  </si>
  <si>
    <t>Villa -2</t>
  </si>
  <si>
    <t>Villa -3</t>
  </si>
  <si>
    <t>Villa -4</t>
  </si>
  <si>
    <t>Villa -5</t>
  </si>
  <si>
    <t>Villa -6</t>
  </si>
  <si>
    <t>Villa -7</t>
  </si>
  <si>
    <t>Villa -8</t>
  </si>
  <si>
    <t>Villa -9</t>
  </si>
  <si>
    <t>Villa -10</t>
  </si>
  <si>
    <t>Villa -11</t>
  </si>
  <si>
    <t>Villa -12</t>
  </si>
  <si>
    <t>Villa -13</t>
  </si>
  <si>
    <t>Villa -14</t>
  </si>
  <si>
    <t>Villa -15</t>
  </si>
  <si>
    <t>Villa -16</t>
  </si>
  <si>
    <t>Villa -17</t>
  </si>
  <si>
    <t>Villa -18</t>
  </si>
  <si>
    <t>Villa -19</t>
  </si>
  <si>
    <t>Villa -20</t>
  </si>
  <si>
    <t>Villa -21</t>
  </si>
  <si>
    <t>Villa -22</t>
  </si>
  <si>
    <t>Villa -23</t>
  </si>
  <si>
    <t>Villa -24</t>
  </si>
  <si>
    <t>Villa -25</t>
  </si>
  <si>
    <t>Villa -26</t>
  </si>
  <si>
    <t>Villa -27</t>
  </si>
  <si>
    <t>Villa -28</t>
  </si>
  <si>
    <t>Villa -29</t>
  </si>
  <si>
    <t>Villa -30</t>
  </si>
  <si>
    <t>Villa -31</t>
  </si>
  <si>
    <t>Villa -32</t>
  </si>
  <si>
    <t>Villa -33</t>
  </si>
  <si>
    <t>Villa -34</t>
  </si>
  <si>
    <t>Number Of Cofree</t>
  </si>
  <si>
    <t>Cofree Number.</t>
  </si>
  <si>
    <t>Cofree Type</t>
  </si>
  <si>
    <t>C12</t>
  </si>
  <si>
    <t xml:space="preserve">C12 </t>
  </si>
  <si>
    <t>Pillar Number</t>
  </si>
  <si>
    <t>P-1</t>
  </si>
  <si>
    <t>P-2</t>
  </si>
  <si>
    <t>P-3</t>
  </si>
  <si>
    <t>P-4</t>
  </si>
  <si>
    <t>P-5</t>
  </si>
  <si>
    <t>Total Load (KVA)</t>
  </si>
  <si>
    <t>Pillar</t>
  </si>
  <si>
    <t>Max. Demand (KVA)</t>
  </si>
  <si>
    <t>Cofree - 01</t>
  </si>
  <si>
    <t>Cofree - 02</t>
  </si>
  <si>
    <t>Cofree - 03</t>
  </si>
  <si>
    <t>Cofree - 04</t>
  </si>
  <si>
    <t>Cofree - 05</t>
  </si>
  <si>
    <t>Cofree - 06</t>
  </si>
  <si>
    <t>Cofree - 07</t>
  </si>
  <si>
    <t>Cofree - 08</t>
  </si>
  <si>
    <t>Cofree - 09</t>
  </si>
  <si>
    <t>Cofree - 10</t>
  </si>
  <si>
    <t>Cofree - 11</t>
  </si>
  <si>
    <t>Cofree - 12</t>
  </si>
  <si>
    <t>Cofree - 13</t>
  </si>
  <si>
    <t>Cofree - 14</t>
  </si>
  <si>
    <t>Cofree - 15</t>
  </si>
  <si>
    <t>Cofree - 16</t>
  </si>
  <si>
    <t>Cofree - 17</t>
  </si>
  <si>
    <t>Cofree - 18</t>
  </si>
  <si>
    <t>Cofree - 19</t>
  </si>
  <si>
    <t>Cofree - 20</t>
  </si>
  <si>
    <t>Cofree - 21</t>
  </si>
  <si>
    <t>Cofree - 22</t>
  </si>
  <si>
    <t>Cofree - 23</t>
  </si>
  <si>
    <t>Loops</t>
  </si>
  <si>
    <t xml:space="preserve">Loop - 01 </t>
  </si>
  <si>
    <t>Loop - 02</t>
  </si>
  <si>
    <t>No of piller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</si>
</sst>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D0B8"/>
        <bgColor indexed="64"/>
      </patternFill>
    </fill>
    <fill>
      <patternFill patternType="solid">
        <fgColor rgb="FF7AE2CF"/>
        <bgColor indexed="64"/>
      </patternFill>
    </fill>
    <fill>
      <patternFill patternType="solid">
        <fgColor rgb="FFFE7743"/>
        <bgColor indexed="64"/>
      </patternFill>
    </fill>
    <fill>
      <patternFill patternType="solid">
        <fgColor rgb="FFF75A5A"/>
        <bgColor indexed="64"/>
      </patternFill>
    </fill>
    <fill>
      <patternFill patternType="solid">
        <fgColor rgb="FF90C67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6C579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AA71"/>
        <bgColor indexed="64"/>
      </patternFill>
    </fill>
    <fill>
      <patternFill patternType="solid">
        <fgColor rgb="FF7C4585"/>
        <bgColor indexed="64"/>
      </patternFill>
    </fill>
    <fill>
      <patternFill patternType="solid">
        <fgColor rgb="FF3D365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F8B4C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2" fontId="0" fillId="0" borderId="0" xfId="0" applyNumberFormat="1"/>
    <xf numFmtId="0" fontId="2" fillId="8" borderId="1" xfId="0" applyFont="1" applyFill="1" applyBorder="1"/>
    <xf numFmtId="2" fontId="2" fillId="8" borderId="1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2" fontId="2" fillId="2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2" fontId="2" fillId="14" borderId="29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2" fillId="7" borderId="14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2" fontId="2" fillId="7" borderId="17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3" xfId="0" applyNumberFormat="1" applyFont="1" applyFill="1" applyBorder="1" applyAlignment="1">
      <alignment horizontal="center" vertical="center"/>
    </xf>
    <xf numFmtId="2" fontId="2" fillId="4" borderId="18" xfId="0" applyNumberFormat="1" applyFont="1" applyFill="1" applyBorder="1" applyAlignment="1">
      <alignment horizontal="center" vertical="center"/>
    </xf>
    <xf numFmtId="2" fontId="2" fillId="4" borderId="19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2" fontId="4" fillId="13" borderId="24" xfId="0" applyNumberFormat="1" applyFont="1" applyFill="1" applyBorder="1" applyAlignment="1">
      <alignment horizontal="center" vertical="center"/>
    </xf>
    <xf numFmtId="2" fontId="4" fillId="13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14" borderId="30" xfId="0" applyNumberFormat="1" applyFont="1" applyFill="1" applyBorder="1" applyAlignment="1">
      <alignment horizontal="center" vertical="center"/>
    </xf>
    <xf numFmtId="2" fontId="2" fillId="14" borderId="31" xfId="0" applyNumberFormat="1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2" fontId="2" fillId="14" borderId="27" xfId="0" applyNumberFormat="1" applyFont="1" applyFill="1" applyBorder="1" applyAlignment="1">
      <alignment horizontal="center" vertical="center"/>
    </xf>
    <xf numFmtId="2" fontId="2" fillId="14" borderId="28" xfId="0" applyNumberFormat="1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2" fontId="0" fillId="10" borderId="25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2" fontId="0" fillId="11" borderId="25" xfId="0" applyNumberForma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2" fontId="0" fillId="12" borderId="22" xfId="0" applyNumberForma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0" fillId="12" borderId="25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25" xfId="0" applyNumberFormat="1" applyFill="1" applyBorder="1" applyAlignment="1">
      <alignment horizontal="center" vertical="center"/>
    </xf>
    <xf numFmtId="1" fontId="3" fillId="15" borderId="5" xfId="0" applyNumberFormat="1" applyFont="1" applyFill="1" applyBorder="1" applyAlignment="1">
      <alignment horizontal="center" vertical="center"/>
    </xf>
    <xf numFmtId="1" fontId="0" fillId="10" borderId="23" xfId="0" applyNumberForma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" fontId="0" fillId="10" borderId="5" xfId="0" applyNumberFormat="1" applyFill="1" applyBorder="1" applyAlignment="1">
      <alignment horizontal="center" vertical="center"/>
    </xf>
    <xf numFmtId="1" fontId="0" fillId="11" borderId="23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 vertical="center"/>
    </xf>
    <xf numFmtId="1" fontId="0" fillId="11" borderId="5" xfId="0" applyNumberFormat="1" applyFill="1" applyBorder="1" applyAlignment="1">
      <alignment horizontal="center" vertical="center"/>
    </xf>
    <xf numFmtId="1" fontId="0" fillId="12" borderId="23" xfId="0" applyNumberFormat="1" applyFill="1" applyBorder="1" applyAlignment="1">
      <alignment horizontal="center" vertical="center"/>
    </xf>
    <xf numFmtId="1" fontId="0" fillId="12" borderId="4" xfId="0" applyNumberFormat="1" applyFill="1" applyBorder="1" applyAlignment="1">
      <alignment horizontal="center" vertical="center"/>
    </xf>
    <xf numFmtId="1" fontId="0" fillId="12" borderId="5" xfId="0" applyNumberFormat="1" applyFill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9" borderId="23" xfId="0" applyNumberFormat="1" applyFill="1" applyBorder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25" xfId="0" applyNumberFormat="1" applyFill="1" applyBorder="1" applyAlignment="1">
      <alignment horizontal="center" vertical="center"/>
    </xf>
    <xf numFmtId="1" fontId="0" fillId="11" borderId="22" xfId="0" applyNumberForma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1" fontId="0" fillId="11" borderId="25" xfId="0" applyNumberFormat="1" applyFill="1" applyBorder="1" applyAlignment="1">
      <alignment horizontal="center" vertical="center"/>
    </xf>
    <xf numFmtId="1" fontId="0" fillId="12" borderId="22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 vertical="center"/>
    </xf>
    <xf numFmtId="1" fontId="0" fillId="12" borderId="25" xfId="0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9" borderId="25" xfId="0" applyNumberFormat="1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25" xfId="0" applyNumberFormat="1" applyFill="1" applyBorder="1" applyAlignment="1">
      <alignment horizontal="center" vertical="center"/>
    </xf>
    <xf numFmtId="1" fontId="0" fillId="11" borderId="22" xfId="0" applyNumberForma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1" fontId="0" fillId="11" borderId="25" xfId="0" applyNumberFormat="1" applyFill="1" applyBorder="1" applyAlignment="1">
      <alignment horizontal="center" vertical="center"/>
    </xf>
    <xf numFmtId="1" fontId="0" fillId="12" borderId="22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 vertical="center"/>
    </xf>
    <xf numFmtId="1" fontId="0" fillId="12" borderId="25" xfId="0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9" borderId="25" xfId="0" applyNumberForma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" fontId="0" fillId="10" borderId="26" xfId="0" applyNumberForma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3" fillId="1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E2CF"/>
      <color rgb="FF7C4585"/>
      <color rgb="FFFFAA71"/>
      <color rgb="FFFF7171"/>
      <color rgb="FF96C579"/>
      <color rgb="FF5F8B4C"/>
      <color rgb="FF3D365C"/>
      <color rgb="FF948979"/>
      <color rgb="FFB25A6F"/>
      <color rgb="FFFE7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760653</xdr:colOff>
      <xdr:row>4</xdr:row>
      <xdr:rowOff>64406</xdr:rowOff>
    </xdr:from>
    <xdr:to>
      <xdr:col>19</xdr:col>
      <xdr:colOff>127915</xdr:colOff>
      <xdr:row>16</xdr:row>
      <xdr:rowOff>143235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FC766E-DB08-A92C-AA83-604B1D43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7545" y="820544"/>
          <a:ext cx="4021324" cy="2271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opLeftCell="E1" zoomScaleNormal="100" workbookViewId="0">
      <pane xSplit="2" ySplit="8" topLeftCell="G27" activePane="bottomRight" state="frozen"/>
      <selection activeCell="E1" sqref="E1"/>
      <selection pane="topRight" activeCell="G1" sqref="G1"/>
      <selection pane="bottomLeft" activeCell="E9" sqref="E9"/>
      <selection pane="bottomRight" activeCell="Q35" sqref="Q35"/>
    </sheetView>
  </sheetViews>
  <sheetFormatPr defaultRowHeight="14.4" x14ac:dyDescent="0.3"/>
  <cols>
    <col min="5" max="5" width="8.33203125" bestFit="1" customWidth="1"/>
    <col min="6" max="6" width="8.33203125" style="6" bestFit="1" customWidth="1"/>
    <col min="7" max="7" width="14" style="1" bestFit="1" customWidth="1"/>
    <col min="8" max="8" width="9.5546875" style="1" bestFit="1" customWidth="1"/>
    <col min="9" max="9" width="9.44140625" style="1" bestFit="1" customWidth="1"/>
    <col min="10" max="11" width="6.6640625" style="1" bestFit="1" customWidth="1"/>
    <col min="12" max="12" width="33" bestFit="1" customWidth="1"/>
    <col min="13" max="13" width="26.88671875" bestFit="1" customWidth="1"/>
    <col min="14" max="14" width="25.21875" bestFit="1" customWidth="1"/>
    <col min="15" max="15" width="24.33203125" style="1" bestFit="1" customWidth="1"/>
    <col min="16" max="16" width="19.44140625" style="1" bestFit="1" customWidth="1"/>
    <col min="18" max="18" width="99.44140625" bestFit="1" customWidth="1"/>
  </cols>
  <sheetData>
    <row r="1" spans="1:18" x14ac:dyDescent="0.3">
      <c r="A1">
        <v>29</v>
      </c>
    </row>
    <row r="2" spans="1:18" ht="15" thickBot="1" x14ac:dyDescent="0.35">
      <c r="A2">
        <v>28</v>
      </c>
    </row>
    <row r="3" spans="1:18" ht="15" thickBot="1" x14ac:dyDescent="0.35">
      <c r="A3">
        <v>28</v>
      </c>
      <c r="M3" s="2" t="s">
        <v>0</v>
      </c>
      <c r="N3" s="2"/>
      <c r="O3" s="3" t="s">
        <v>1</v>
      </c>
    </row>
    <row r="4" spans="1:18" ht="15" thickBot="1" x14ac:dyDescent="0.35">
      <c r="A4">
        <v>28</v>
      </c>
    </row>
    <row r="5" spans="1:18" x14ac:dyDescent="0.3">
      <c r="A5">
        <v>28</v>
      </c>
      <c r="F5" s="54" t="s">
        <v>2</v>
      </c>
      <c r="G5" s="55"/>
      <c r="H5" s="55"/>
      <c r="I5" s="55"/>
      <c r="J5" s="55"/>
      <c r="K5" s="55"/>
      <c r="L5" s="55"/>
      <c r="M5" s="55"/>
      <c r="N5" s="55"/>
      <c r="O5" s="55"/>
      <c r="P5" s="56"/>
      <c r="R5" s="5"/>
    </row>
    <row r="6" spans="1:18" x14ac:dyDescent="0.3">
      <c r="A6">
        <v>26</v>
      </c>
      <c r="F6" s="57" t="s">
        <v>20</v>
      </c>
      <c r="G6" s="58"/>
      <c r="H6" s="58"/>
      <c r="I6" s="58"/>
      <c r="J6" s="58"/>
      <c r="K6" s="58"/>
      <c r="L6" s="58"/>
      <c r="M6" s="58"/>
      <c r="N6" s="58"/>
      <c r="O6" s="58"/>
      <c r="P6" s="59"/>
      <c r="R6" s="5"/>
    </row>
    <row r="7" spans="1:18" x14ac:dyDescent="0.3">
      <c r="A7">
        <v>26</v>
      </c>
      <c r="F7" s="52" t="s">
        <v>3</v>
      </c>
      <c r="G7" s="62" t="s">
        <v>4</v>
      </c>
      <c r="H7" s="62" t="s">
        <v>5</v>
      </c>
      <c r="I7" s="62" t="s">
        <v>6</v>
      </c>
      <c r="J7" s="62"/>
      <c r="K7" s="62"/>
      <c r="L7" s="62"/>
      <c r="M7" s="4" t="s">
        <v>7</v>
      </c>
      <c r="N7" s="60" t="s">
        <v>8</v>
      </c>
      <c r="O7" s="62" t="s">
        <v>9</v>
      </c>
      <c r="P7" s="48" t="s">
        <v>10</v>
      </c>
      <c r="R7" s="5"/>
    </row>
    <row r="8" spans="1:18" x14ac:dyDescent="0.3">
      <c r="A8">
        <v>26</v>
      </c>
      <c r="F8" s="53"/>
      <c r="G8" s="62"/>
      <c r="H8" s="62"/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61"/>
      <c r="O8" s="62"/>
      <c r="P8" s="48"/>
      <c r="R8" s="5"/>
    </row>
    <row r="9" spans="1:18" x14ac:dyDescent="0.3">
      <c r="A9">
        <v>23</v>
      </c>
      <c r="F9" s="8">
        <v>1</v>
      </c>
      <c r="G9" s="7">
        <v>397.6558</v>
      </c>
      <c r="H9" s="9">
        <v>277.13549999999998</v>
      </c>
      <c r="I9" s="7">
        <v>120.52030000000001</v>
      </c>
      <c r="J9" s="7">
        <f>I9</f>
        <v>120.52030000000001</v>
      </c>
      <c r="K9" s="7">
        <f>I9</f>
        <v>120.52030000000001</v>
      </c>
      <c r="L9" s="10">
        <f>I9+J9+K9</f>
        <v>361.5609</v>
      </c>
      <c r="M9" s="7">
        <f>8000/100</f>
        <v>80</v>
      </c>
      <c r="N9" s="7">
        <f>5/1000 * K9</f>
        <v>0.60260150000000001</v>
      </c>
      <c r="O9" s="7">
        <f>(5/1000)*H9</f>
        <v>1.3856774999999999</v>
      </c>
      <c r="P9" s="169">
        <f>(L9*M9+O9+N9)/1000</f>
        <v>28.926860278999996</v>
      </c>
      <c r="R9" s="5"/>
    </row>
    <row r="10" spans="1:18" x14ac:dyDescent="0.3">
      <c r="A10">
        <v>23</v>
      </c>
      <c r="F10" s="8">
        <v>2</v>
      </c>
      <c r="G10" s="49">
        <v>524.99800000000005</v>
      </c>
      <c r="H10" s="9">
        <f>289.1312/2</f>
        <v>144.56559999999999</v>
      </c>
      <c r="I10" s="7">
        <v>118.01739999999999</v>
      </c>
      <c r="J10" s="7">
        <f>I10</f>
        <v>118.01739999999999</v>
      </c>
      <c r="K10" s="7">
        <f t="shared" ref="K10:K42" si="0">I10</f>
        <v>118.01739999999999</v>
      </c>
      <c r="L10" s="10">
        <f t="shared" ref="L10:L42" si="1">I10+J10+K10</f>
        <v>354.05219999999997</v>
      </c>
      <c r="M10" s="7">
        <f t="shared" ref="M10:M42" si="2">8000/100</f>
        <v>80</v>
      </c>
      <c r="N10" s="7">
        <f t="shared" ref="N10:N42" si="3">5/1000 * K10</f>
        <v>0.59008700000000003</v>
      </c>
      <c r="O10" s="7">
        <f t="shared" ref="O10:O42" si="4">(5/1000)*H10</f>
        <v>0.72282799999999992</v>
      </c>
      <c r="P10" s="169">
        <f t="shared" ref="P10:P42" si="5">(L10*M10+O10+N10)/1000</f>
        <v>28.325488915000001</v>
      </c>
      <c r="R10" s="5"/>
    </row>
    <row r="11" spans="1:18" x14ac:dyDescent="0.3">
      <c r="A11">
        <v>24</v>
      </c>
      <c r="F11" s="8">
        <v>3</v>
      </c>
      <c r="G11" s="50"/>
      <c r="H11" s="9">
        <f>289.1312/2</f>
        <v>144.56559999999999</v>
      </c>
      <c r="I11" s="7">
        <v>117.8493</v>
      </c>
      <c r="J11" s="7">
        <f t="shared" ref="J11:J42" si="6">I11</f>
        <v>117.8493</v>
      </c>
      <c r="K11" s="7">
        <f t="shared" si="0"/>
        <v>117.8493</v>
      </c>
      <c r="L11" s="10">
        <f t="shared" si="1"/>
        <v>353.54790000000003</v>
      </c>
      <c r="M11" s="7">
        <f t="shared" si="2"/>
        <v>80</v>
      </c>
      <c r="N11" s="7">
        <f t="shared" si="3"/>
        <v>0.58924650000000001</v>
      </c>
      <c r="O11" s="7">
        <f t="shared" si="4"/>
        <v>0.72282799999999992</v>
      </c>
      <c r="P11" s="169">
        <f t="shared" si="5"/>
        <v>28.285144074500003</v>
      </c>
      <c r="R11" s="5"/>
    </row>
    <row r="12" spans="1:18" x14ac:dyDescent="0.3">
      <c r="A12">
        <v>24</v>
      </c>
      <c r="F12" s="8">
        <v>4</v>
      </c>
      <c r="G12" s="7">
        <v>322.75369999999998</v>
      </c>
      <c r="H12" s="9">
        <v>204.5881</v>
      </c>
      <c r="I12" s="7">
        <v>118.1657</v>
      </c>
      <c r="J12" s="7">
        <f t="shared" si="6"/>
        <v>118.1657</v>
      </c>
      <c r="K12" s="7">
        <f t="shared" si="0"/>
        <v>118.1657</v>
      </c>
      <c r="L12" s="10">
        <f t="shared" si="1"/>
        <v>354.49709999999999</v>
      </c>
      <c r="M12" s="7">
        <f t="shared" si="2"/>
        <v>80</v>
      </c>
      <c r="N12" s="7">
        <f t="shared" si="3"/>
        <v>0.59082849999999998</v>
      </c>
      <c r="O12" s="7">
        <f t="shared" si="4"/>
        <v>1.0229405</v>
      </c>
      <c r="P12" s="169">
        <f t="shared" si="5"/>
        <v>28.361381769000001</v>
      </c>
      <c r="R12" s="5"/>
    </row>
    <row r="13" spans="1:18" x14ac:dyDescent="0.3">
      <c r="A13">
        <v>24</v>
      </c>
      <c r="F13" s="8">
        <v>5</v>
      </c>
      <c r="G13" s="7">
        <v>322.32690000000002</v>
      </c>
      <c r="H13" s="9">
        <v>204.43049999999999</v>
      </c>
      <c r="I13" s="7">
        <v>117.8965</v>
      </c>
      <c r="J13" s="7">
        <f t="shared" si="6"/>
        <v>117.8965</v>
      </c>
      <c r="K13" s="7">
        <f t="shared" si="0"/>
        <v>117.8965</v>
      </c>
      <c r="L13" s="10">
        <f t="shared" si="1"/>
        <v>353.68950000000001</v>
      </c>
      <c r="M13" s="7">
        <f t="shared" si="2"/>
        <v>80</v>
      </c>
      <c r="N13" s="7">
        <f t="shared" si="3"/>
        <v>0.58948250000000002</v>
      </c>
      <c r="O13" s="7">
        <f t="shared" si="4"/>
        <v>1.0221525</v>
      </c>
      <c r="P13" s="169">
        <f t="shared" si="5"/>
        <v>28.296771635000002</v>
      </c>
      <c r="R13" s="5"/>
    </row>
    <row r="14" spans="1:18" x14ac:dyDescent="0.3">
      <c r="A14">
        <v>24</v>
      </c>
      <c r="F14" s="8">
        <v>6</v>
      </c>
      <c r="G14" s="49">
        <v>783.65740000000005</v>
      </c>
      <c r="H14" s="9">
        <f>453.6397/3</f>
        <v>151.21323333333333</v>
      </c>
      <c r="I14" s="7">
        <v>110.1568</v>
      </c>
      <c r="J14" s="7">
        <f t="shared" si="6"/>
        <v>110.1568</v>
      </c>
      <c r="K14" s="7">
        <f t="shared" si="0"/>
        <v>110.1568</v>
      </c>
      <c r="L14" s="10">
        <f t="shared" si="1"/>
        <v>330.47040000000004</v>
      </c>
      <c r="M14" s="7">
        <f t="shared" si="2"/>
        <v>80</v>
      </c>
      <c r="N14" s="7">
        <f t="shared" si="3"/>
        <v>0.55078400000000005</v>
      </c>
      <c r="O14" s="7">
        <f t="shared" si="4"/>
        <v>0.75606616666666671</v>
      </c>
      <c r="P14" s="169">
        <f t="shared" si="5"/>
        <v>26.438938850166672</v>
      </c>
      <c r="R14" s="5"/>
    </row>
    <row r="15" spans="1:18" x14ac:dyDescent="0.3">
      <c r="A15">
        <v>22</v>
      </c>
      <c r="F15" s="8">
        <v>7</v>
      </c>
      <c r="G15" s="51"/>
      <c r="H15" s="9">
        <f t="shared" ref="H15:H16" si="7">453.6397/3</f>
        <v>151.21323333333333</v>
      </c>
      <c r="I15" s="7">
        <v>110.0078</v>
      </c>
      <c r="J15" s="7">
        <f t="shared" si="6"/>
        <v>110.0078</v>
      </c>
      <c r="K15" s="7">
        <f t="shared" si="0"/>
        <v>110.0078</v>
      </c>
      <c r="L15" s="10">
        <f t="shared" si="1"/>
        <v>330.02340000000004</v>
      </c>
      <c r="M15" s="7">
        <f t="shared" si="2"/>
        <v>80</v>
      </c>
      <c r="N15" s="7">
        <f t="shared" si="3"/>
        <v>0.55003900000000006</v>
      </c>
      <c r="O15" s="7">
        <f t="shared" si="4"/>
        <v>0.75606616666666671</v>
      </c>
      <c r="P15" s="169">
        <f t="shared" si="5"/>
        <v>26.403178105166674</v>
      </c>
      <c r="R15" s="5"/>
    </row>
    <row r="16" spans="1:18" x14ac:dyDescent="0.3">
      <c r="A16">
        <v>37</v>
      </c>
      <c r="F16" s="8">
        <v>8</v>
      </c>
      <c r="G16" s="50"/>
      <c r="H16" s="9">
        <f t="shared" si="7"/>
        <v>151.21323333333333</v>
      </c>
      <c r="I16" s="7">
        <v>109.8531</v>
      </c>
      <c r="J16" s="7">
        <f t="shared" si="6"/>
        <v>109.8531</v>
      </c>
      <c r="K16" s="7">
        <f t="shared" si="0"/>
        <v>109.8531</v>
      </c>
      <c r="L16" s="10">
        <f t="shared" si="1"/>
        <v>329.55930000000001</v>
      </c>
      <c r="M16" s="7">
        <f t="shared" si="2"/>
        <v>80</v>
      </c>
      <c r="N16" s="7">
        <f t="shared" si="3"/>
        <v>0.54926549999999996</v>
      </c>
      <c r="O16" s="7">
        <f t="shared" si="4"/>
        <v>0.75606616666666671</v>
      </c>
      <c r="P16" s="169">
        <f t="shared" si="5"/>
        <v>26.36604933166667</v>
      </c>
      <c r="R16" s="5"/>
    </row>
    <row r="17" spans="1:18" x14ac:dyDescent="0.3">
      <c r="A17">
        <v>22</v>
      </c>
      <c r="F17" s="8">
        <v>9</v>
      </c>
      <c r="G17" s="49">
        <v>542.32640000000004</v>
      </c>
      <c r="H17" s="9">
        <f>349.8635/2</f>
        <v>174.93174999999999</v>
      </c>
      <c r="I17" s="7">
        <v>96.462800000000001</v>
      </c>
      <c r="J17" s="7">
        <f t="shared" si="6"/>
        <v>96.462800000000001</v>
      </c>
      <c r="K17" s="7">
        <f t="shared" si="0"/>
        <v>96.462800000000001</v>
      </c>
      <c r="L17" s="10">
        <f t="shared" si="1"/>
        <v>289.38839999999999</v>
      </c>
      <c r="M17" s="7">
        <f t="shared" si="2"/>
        <v>80</v>
      </c>
      <c r="N17" s="7">
        <f t="shared" si="3"/>
        <v>0.48231400000000002</v>
      </c>
      <c r="O17" s="7">
        <f t="shared" si="4"/>
        <v>0.87465875000000004</v>
      </c>
      <c r="P17" s="169">
        <f t="shared" si="5"/>
        <v>23.152428972749998</v>
      </c>
      <c r="R17" s="5"/>
    </row>
    <row r="18" spans="1:18" x14ac:dyDescent="0.3">
      <c r="A18">
        <v>34</v>
      </c>
      <c r="F18" s="8">
        <v>10</v>
      </c>
      <c r="G18" s="50"/>
      <c r="H18" s="9">
        <f>349.8635/2</f>
        <v>174.93174999999999</v>
      </c>
      <c r="I18" s="7">
        <v>96</v>
      </c>
      <c r="J18" s="7">
        <f t="shared" si="6"/>
        <v>96</v>
      </c>
      <c r="K18" s="7">
        <f t="shared" si="0"/>
        <v>96</v>
      </c>
      <c r="L18" s="10">
        <f t="shared" si="1"/>
        <v>288</v>
      </c>
      <c r="M18" s="7">
        <f t="shared" si="2"/>
        <v>80</v>
      </c>
      <c r="N18" s="7">
        <f t="shared" si="3"/>
        <v>0.48</v>
      </c>
      <c r="O18" s="7">
        <f t="shared" si="4"/>
        <v>0.87465875000000004</v>
      </c>
      <c r="P18" s="169">
        <f t="shared" si="5"/>
        <v>23.041354658749999</v>
      </c>
      <c r="R18" s="5"/>
    </row>
    <row r="19" spans="1:18" x14ac:dyDescent="0.3">
      <c r="A19">
        <v>37</v>
      </c>
      <c r="F19" s="8">
        <v>11</v>
      </c>
      <c r="G19" s="49">
        <v>557.02059999999994</v>
      </c>
      <c r="H19" s="9">
        <v>357.45519999999999</v>
      </c>
      <c r="I19" s="7">
        <v>99.783500000000004</v>
      </c>
      <c r="J19" s="7">
        <f t="shared" si="6"/>
        <v>99.783500000000004</v>
      </c>
      <c r="K19" s="7">
        <f t="shared" si="0"/>
        <v>99.783500000000004</v>
      </c>
      <c r="L19" s="10">
        <f t="shared" si="1"/>
        <v>299.35050000000001</v>
      </c>
      <c r="M19" s="7">
        <f t="shared" si="2"/>
        <v>80</v>
      </c>
      <c r="N19" s="7">
        <f t="shared" si="3"/>
        <v>0.49891750000000001</v>
      </c>
      <c r="O19" s="7">
        <f t="shared" si="4"/>
        <v>1.7872760000000001</v>
      </c>
      <c r="P19" s="169">
        <f t="shared" si="5"/>
        <v>23.9503261935</v>
      </c>
      <c r="R19" s="5"/>
    </row>
    <row r="20" spans="1:18" x14ac:dyDescent="0.3">
      <c r="A20">
        <v>28</v>
      </c>
      <c r="F20" s="8">
        <v>12</v>
      </c>
      <c r="G20" s="50"/>
      <c r="H20" s="9">
        <v>357.45519999999999</v>
      </c>
      <c r="I20" s="7">
        <v>99.784800000000004</v>
      </c>
      <c r="J20" s="7">
        <f t="shared" si="6"/>
        <v>99.784800000000004</v>
      </c>
      <c r="K20" s="7">
        <f t="shared" si="0"/>
        <v>99.784800000000004</v>
      </c>
      <c r="L20" s="10">
        <f t="shared" si="1"/>
        <v>299.3544</v>
      </c>
      <c r="M20" s="7">
        <f t="shared" si="2"/>
        <v>80</v>
      </c>
      <c r="N20" s="7">
        <f t="shared" si="3"/>
        <v>0.49892400000000003</v>
      </c>
      <c r="O20" s="7">
        <f t="shared" si="4"/>
        <v>1.7872760000000001</v>
      </c>
      <c r="P20" s="169">
        <f t="shared" si="5"/>
        <v>23.950638199999997</v>
      </c>
      <c r="R20" s="5"/>
    </row>
    <row r="21" spans="1:18" x14ac:dyDescent="0.3">
      <c r="A21">
        <v>37</v>
      </c>
      <c r="F21" s="8">
        <v>13</v>
      </c>
      <c r="G21" s="49">
        <v>557.02610000000004</v>
      </c>
      <c r="H21" s="9">
        <v>357.45670000000001</v>
      </c>
      <c r="I21" s="7">
        <v>99.786699999999996</v>
      </c>
      <c r="J21" s="7">
        <f t="shared" si="6"/>
        <v>99.786699999999996</v>
      </c>
      <c r="K21" s="7">
        <f t="shared" si="0"/>
        <v>99.786699999999996</v>
      </c>
      <c r="L21" s="10">
        <f t="shared" si="1"/>
        <v>299.36009999999999</v>
      </c>
      <c r="M21" s="7">
        <f t="shared" si="2"/>
        <v>80</v>
      </c>
      <c r="N21" s="7">
        <f t="shared" si="3"/>
        <v>0.49893349999999997</v>
      </c>
      <c r="O21" s="7">
        <f t="shared" si="4"/>
        <v>1.7872835</v>
      </c>
      <c r="P21" s="169">
        <f t="shared" si="5"/>
        <v>23.951094216999998</v>
      </c>
      <c r="R21" s="5"/>
    </row>
    <row r="22" spans="1:18" x14ac:dyDescent="0.3">
      <c r="A22">
        <v>44</v>
      </c>
      <c r="F22" s="8">
        <v>14</v>
      </c>
      <c r="G22" s="50"/>
      <c r="H22" s="9">
        <v>357.45670000000001</v>
      </c>
      <c r="I22" s="7">
        <v>99.784499999999994</v>
      </c>
      <c r="J22" s="7">
        <f t="shared" si="6"/>
        <v>99.784499999999994</v>
      </c>
      <c r="K22" s="7">
        <f t="shared" si="0"/>
        <v>99.784499999999994</v>
      </c>
      <c r="L22" s="10">
        <f t="shared" si="1"/>
        <v>299.3535</v>
      </c>
      <c r="M22" s="7">
        <f t="shared" si="2"/>
        <v>80</v>
      </c>
      <c r="N22" s="7">
        <f t="shared" si="3"/>
        <v>0.49892249999999999</v>
      </c>
      <c r="O22" s="7">
        <f t="shared" si="4"/>
        <v>1.7872835</v>
      </c>
      <c r="P22" s="169">
        <f t="shared" si="5"/>
        <v>23.950566205999998</v>
      </c>
      <c r="R22" s="5"/>
    </row>
    <row r="23" spans="1:18" x14ac:dyDescent="0.3">
      <c r="A23">
        <v>31</v>
      </c>
      <c r="F23" s="8">
        <v>15</v>
      </c>
      <c r="G23" s="49">
        <v>580.58590000000004</v>
      </c>
      <c r="H23" s="9">
        <v>394.73039999999997</v>
      </c>
      <c r="I23" s="7">
        <v>93.043099999999995</v>
      </c>
      <c r="J23" s="7">
        <f t="shared" si="6"/>
        <v>93.043099999999995</v>
      </c>
      <c r="K23" s="7">
        <f t="shared" si="0"/>
        <v>93.043099999999995</v>
      </c>
      <c r="L23" s="10">
        <f t="shared" si="1"/>
        <v>279.1293</v>
      </c>
      <c r="M23" s="7">
        <f t="shared" si="2"/>
        <v>80</v>
      </c>
      <c r="N23" s="7">
        <f t="shared" si="3"/>
        <v>0.4652155</v>
      </c>
      <c r="O23" s="7">
        <f t="shared" si="4"/>
        <v>1.973652</v>
      </c>
      <c r="P23" s="169">
        <f t="shared" si="5"/>
        <v>22.332782867500001</v>
      </c>
      <c r="R23" s="5"/>
    </row>
    <row r="24" spans="1:18" x14ac:dyDescent="0.3">
      <c r="A24">
        <v>29</v>
      </c>
      <c r="F24" s="8">
        <v>16</v>
      </c>
      <c r="G24" s="50"/>
      <c r="H24" s="9">
        <v>394.73039999999997</v>
      </c>
      <c r="I24" s="7">
        <v>93.118700000000004</v>
      </c>
      <c r="J24" s="7">
        <f t="shared" si="6"/>
        <v>93.118700000000004</v>
      </c>
      <c r="K24" s="7">
        <f t="shared" si="0"/>
        <v>93.118700000000004</v>
      </c>
      <c r="L24" s="10">
        <f t="shared" si="1"/>
        <v>279.35610000000003</v>
      </c>
      <c r="M24" s="7">
        <f t="shared" si="2"/>
        <v>80</v>
      </c>
      <c r="N24" s="7">
        <f t="shared" si="3"/>
        <v>0.46559350000000005</v>
      </c>
      <c r="O24" s="7">
        <f t="shared" si="4"/>
        <v>1.973652</v>
      </c>
      <c r="P24" s="169">
        <f t="shared" si="5"/>
        <v>22.350927245500003</v>
      </c>
      <c r="R24" s="5"/>
    </row>
    <row r="25" spans="1:18" x14ac:dyDescent="0.3">
      <c r="A25">
        <v>33</v>
      </c>
      <c r="F25" s="8">
        <v>17</v>
      </c>
      <c r="G25" s="7">
        <v>379.29360000000003</v>
      </c>
      <c r="H25" s="9">
        <v>224.1044</v>
      </c>
      <c r="I25" s="7">
        <v>155.1892</v>
      </c>
      <c r="J25" s="7">
        <f t="shared" si="6"/>
        <v>155.1892</v>
      </c>
      <c r="K25" s="7">
        <f t="shared" si="0"/>
        <v>155.1892</v>
      </c>
      <c r="L25" s="10">
        <f t="shared" si="1"/>
        <v>465.56759999999997</v>
      </c>
      <c r="M25" s="7">
        <f t="shared" si="2"/>
        <v>80</v>
      </c>
      <c r="N25" s="7">
        <f t="shared" si="3"/>
        <v>0.77594600000000002</v>
      </c>
      <c r="O25" s="7">
        <f t="shared" si="4"/>
        <v>1.120522</v>
      </c>
      <c r="P25" s="169">
        <f t="shared" si="5"/>
        <v>37.247304467999996</v>
      </c>
      <c r="R25" s="5"/>
    </row>
    <row r="26" spans="1:18" x14ac:dyDescent="0.3">
      <c r="A26">
        <v>38</v>
      </c>
      <c r="F26" s="8">
        <v>18</v>
      </c>
      <c r="G26" s="49">
        <v>616.24630000000002</v>
      </c>
      <c r="H26" s="9">
        <v>317.97750000000002</v>
      </c>
      <c r="I26" s="7">
        <v>142.45189999999999</v>
      </c>
      <c r="J26" s="7">
        <f t="shared" si="6"/>
        <v>142.45189999999999</v>
      </c>
      <c r="K26" s="7">
        <f t="shared" si="0"/>
        <v>142.45189999999999</v>
      </c>
      <c r="L26" s="10">
        <f t="shared" si="1"/>
        <v>427.35569999999996</v>
      </c>
      <c r="M26" s="7">
        <f t="shared" si="2"/>
        <v>80</v>
      </c>
      <c r="N26" s="7">
        <f t="shared" si="3"/>
        <v>0.71225949999999993</v>
      </c>
      <c r="O26" s="7">
        <f t="shared" si="4"/>
        <v>1.5898875000000001</v>
      </c>
      <c r="P26" s="169">
        <f t="shared" si="5"/>
        <v>34.19075814699999</v>
      </c>
    </row>
    <row r="27" spans="1:18" x14ac:dyDescent="0.3">
      <c r="A27">
        <v>43</v>
      </c>
      <c r="F27" s="8">
        <v>19</v>
      </c>
      <c r="G27" s="50"/>
      <c r="H27" s="9">
        <v>317.97750000000002</v>
      </c>
      <c r="I27" s="7">
        <v>155.8169</v>
      </c>
      <c r="J27" s="7">
        <f t="shared" si="6"/>
        <v>155.8169</v>
      </c>
      <c r="K27" s="7">
        <f t="shared" si="0"/>
        <v>155.8169</v>
      </c>
      <c r="L27" s="10">
        <f t="shared" si="1"/>
        <v>467.45069999999998</v>
      </c>
      <c r="M27" s="7">
        <f t="shared" si="2"/>
        <v>80</v>
      </c>
      <c r="N27" s="7">
        <f t="shared" si="3"/>
        <v>0.77908450000000007</v>
      </c>
      <c r="O27" s="7">
        <f t="shared" si="4"/>
        <v>1.5898875000000001</v>
      </c>
      <c r="P27" s="169">
        <f t="shared" si="5"/>
        <v>37.398424971999994</v>
      </c>
      <c r="R27" s="5"/>
    </row>
    <row r="28" spans="1:18" x14ac:dyDescent="0.3">
      <c r="A28">
        <v>44</v>
      </c>
      <c r="F28" s="8">
        <v>20</v>
      </c>
      <c r="G28" s="49">
        <v>965.15549999999996</v>
      </c>
      <c r="H28" s="9">
        <v>511.7423</v>
      </c>
      <c r="I28" s="7">
        <v>116.2419</v>
      </c>
      <c r="J28" s="7">
        <f t="shared" si="6"/>
        <v>116.2419</v>
      </c>
      <c r="K28" s="7">
        <f t="shared" si="0"/>
        <v>116.2419</v>
      </c>
      <c r="L28" s="10">
        <f t="shared" si="1"/>
        <v>348.72570000000002</v>
      </c>
      <c r="M28" s="7">
        <f t="shared" si="2"/>
        <v>80</v>
      </c>
      <c r="N28" s="7">
        <f t="shared" si="3"/>
        <v>0.58120950000000005</v>
      </c>
      <c r="O28" s="7">
        <f t="shared" si="4"/>
        <v>2.5587115000000002</v>
      </c>
      <c r="P28" s="169">
        <f t="shared" si="5"/>
        <v>27.901195921000003</v>
      </c>
      <c r="R28" s="5"/>
    </row>
    <row r="29" spans="1:18" x14ac:dyDescent="0.3">
      <c r="A29">
        <v>26</v>
      </c>
      <c r="F29" s="8">
        <v>21</v>
      </c>
      <c r="G29" s="51"/>
      <c r="H29" s="9">
        <v>511.7423</v>
      </c>
      <c r="I29" s="7">
        <v>153.19229999999999</v>
      </c>
      <c r="J29" s="7">
        <f t="shared" si="6"/>
        <v>153.19229999999999</v>
      </c>
      <c r="K29" s="7">
        <f t="shared" si="0"/>
        <v>153.19229999999999</v>
      </c>
      <c r="L29" s="10">
        <f t="shared" si="1"/>
        <v>459.57689999999997</v>
      </c>
      <c r="M29" s="7">
        <f t="shared" si="2"/>
        <v>80</v>
      </c>
      <c r="N29" s="7">
        <f t="shared" si="3"/>
        <v>0.76596149999999996</v>
      </c>
      <c r="O29" s="7">
        <f t="shared" si="4"/>
        <v>2.5587115000000002</v>
      </c>
      <c r="P29" s="169">
        <f t="shared" si="5"/>
        <v>36.769476673</v>
      </c>
      <c r="R29" s="5"/>
    </row>
    <row r="30" spans="1:18" x14ac:dyDescent="0.3">
      <c r="A30">
        <v>28</v>
      </c>
      <c r="F30" s="8">
        <v>22</v>
      </c>
      <c r="G30" s="50"/>
      <c r="H30" s="9">
        <v>511.7423</v>
      </c>
      <c r="I30" s="7">
        <v>183.97900000000001</v>
      </c>
      <c r="J30" s="7">
        <f t="shared" si="6"/>
        <v>183.97900000000001</v>
      </c>
      <c r="K30" s="7">
        <f t="shared" si="0"/>
        <v>183.97900000000001</v>
      </c>
      <c r="L30" s="10">
        <f t="shared" si="1"/>
        <v>551.93700000000001</v>
      </c>
      <c r="M30" s="7">
        <f t="shared" si="2"/>
        <v>80</v>
      </c>
      <c r="N30" s="7">
        <f t="shared" si="3"/>
        <v>0.91989500000000013</v>
      </c>
      <c r="O30" s="7">
        <f t="shared" si="4"/>
        <v>2.5587115000000002</v>
      </c>
      <c r="P30" s="169">
        <f t="shared" si="5"/>
        <v>44.158438606499999</v>
      </c>
      <c r="R30" s="5"/>
    </row>
    <row r="31" spans="1:18" x14ac:dyDescent="0.3">
      <c r="A31">
        <v>29</v>
      </c>
      <c r="F31" s="8">
        <v>23</v>
      </c>
      <c r="G31" s="7">
        <v>414.64510000000001</v>
      </c>
      <c r="H31" s="9">
        <v>284.9599</v>
      </c>
      <c r="I31" s="7">
        <v>129.68520000000001</v>
      </c>
      <c r="J31" s="7">
        <f t="shared" si="6"/>
        <v>129.68520000000001</v>
      </c>
      <c r="K31" s="7">
        <f t="shared" si="0"/>
        <v>129.68520000000001</v>
      </c>
      <c r="L31" s="10">
        <f t="shared" si="1"/>
        <v>389.05560000000003</v>
      </c>
      <c r="M31" s="7">
        <f t="shared" si="2"/>
        <v>80</v>
      </c>
      <c r="N31" s="7">
        <f t="shared" si="3"/>
        <v>0.64842600000000006</v>
      </c>
      <c r="O31" s="7">
        <f t="shared" si="4"/>
        <v>1.4247995</v>
      </c>
      <c r="P31" s="169">
        <f t="shared" si="5"/>
        <v>31.126521225500003</v>
      </c>
      <c r="R31" s="5"/>
    </row>
    <row r="32" spans="1:18" x14ac:dyDescent="0.3">
      <c r="A32">
        <v>30</v>
      </c>
      <c r="F32" s="8">
        <v>24</v>
      </c>
      <c r="G32" s="49">
        <v>838.96040000000005</v>
      </c>
      <c r="H32" s="9">
        <v>421.22629999999998</v>
      </c>
      <c r="I32" s="7">
        <v>121.6031</v>
      </c>
      <c r="J32" s="7">
        <f t="shared" si="6"/>
        <v>121.6031</v>
      </c>
      <c r="K32" s="7">
        <f t="shared" si="0"/>
        <v>121.6031</v>
      </c>
      <c r="L32" s="10">
        <f t="shared" si="1"/>
        <v>364.80930000000001</v>
      </c>
      <c r="M32" s="7">
        <f t="shared" si="2"/>
        <v>80</v>
      </c>
      <c r="N32" s="7">
        <f t="shared" si="3"/>
        <v>0.60801550000000004</v>
      </c>
      <c r="O32" s="7">
        <f t="shared" si="4"/>
        <v>2.1061315</v>
      </c>
      <c r="P32" s="169">
        <f t="shared" si="5"/>
        <v>29.187458147000001</v>
      </c>
      <c r="R32" s="5"/>
    </row>
    <row r="33" spans="1:18" x14ac:dyDescent="0.3">
      <c r="A33">
        <v>32</v>
      </c>
      <c r="D33" s="1"/>
      <c r="F33" s="8">
        <v>25</v>
      </c>
      <c r="G33" s="51"/>
      <c r="H33" s="9">
        <v>421.22629999999998</v>
      </c>
      <c r="I33" s="7">
        <v>136.8133</v>
      </c>
      <c r="J33" s="7">
        <f t="shared" si="6"/>
        <v>136.8133</v>
      </c>
      <c r="K33" s="7">
        <f t="shared" si="0"/>
        <v>136.8133</v>
      </c>
      <c r="L33" s="10">
        <f t="shared" si="1"/>
        <v>410.43989999999997</v>
      </c>
      <c r="M33" s="7">
        <f t="shared" si="2"/>
        <v>80</v>
      </c>
      <c r="N33" s="7">
        <f t="shared" si="3"/>
        <v>0.68406650000000002</v>
      </c>
      <c r="O33" s="7">
        <f t="shared" si="4"/>
        <v>2.1061315</v>
      </c>
      <c r="P33" s="169">
        <f t="shared" si="5"/>
        <v>32.837982197999992</v>
      </c>
      <c r="R33" s="5"/>
    </row>
    <row r="34" spans="1:18" x14ac:dyDescent="0.3">
      <c r="D34" s="1"/>
      <c r="F34" s="8">
        <v>26</v>
      </c>
      <c r="G34" s="50"/>
      <c r="H34" s="9">
        <v>421.22629999999998</v>
      </c>
      <c r="I34" s="7">
        <v>159.3177</v>
      </c>
      <c r="J34" s="7">
        <f t="shared" si="6"/>
        <v>159.3177</v>
      </c>
      <c r="K34" s="7">
        <f t="shared" si="0"/>
        <v>159.3177</v>
      </c>
      <c r="L34" s="10">
        <f t="shared" si="1"/>
        <v>477.95310000000001</v>
      </c>
      <c r="M34" s="7">
        <f t="shared" si="2"/>
        <v>80</v>
      </c>
      <c r="N34" s="7">
        <f t="shared" si="3"/>
        <v>0.79658850000000003</v>
      </c>
      <c r="O34" s="7">
        <f t="shared" si="4"/>
        <v>2.1061315</v>
      </c>
      <c r="P34" s="169">
        <f t="shared" si="5"/>
        <v>38.239150719999998</v>
      </c>
      <c r="R34" s="5"/>
    </row>
    <row r="35" spans="1:18" x14ac:dyDescent="0.3">
      <c r="F35" s="8">
        <v>27</v>
      </c>
      <c r="G35" s="49">
        <v>811.81169999999997</v>
      </c>
      <c r="H35" s="9">
        <v>448.12139999999999</v>
      </c>
      <c r="I35" s="7">
        <v>178.92359999999999</v>
      </c>
      <c r="J35" s="7">
        <f t="shared" si="6"/>
        <v>178.92359999999999</v>
      </c>
      <c r="K35" s="7">
        <f t="shared" si="0"/>
        <v>178.92359999999999</v>
      </c>
      <c r="L35" s="10">
        <f t="shared" si="1"/>
        <v>536.77080000000001</v>
      </c>
      <c r="M35" s="7">
        <f t="shared" si="2"/>
        <v>80</v>
      </c>
      <c r="N35" s="7">
        <f t="shared" si="3"/>
        <v>0.89461800000000002</v>
      </c>
      <c r="O35" s="7">
        <f t="shared" si="4"/>
        <v>2.2406070000000002</v>
      </c>
      <c r="P35" s="169">
        <f t="shared" si="5"/>
        <v>42.944799225000004</v>
      </c>
    </row>
    <row r="36" spans="1:18" x14ac:dyDescent="0.3">
      <c r="F36" s="8">
        <v>28</v>
      </c>
      <c r="G36" s="50"/>
      <c r="H36" s="9">
        <v>448.12139999999999</v>
      </c>
      <c r="I36" s="7">
        <v>184.76660000000001</v>
      </c>
      <c r="J36" s="7">
        <f t="shared" si="6"/>
        <v>184.76660000000001</v>
      </c>
      <c r="K36" s="7">
        <f t="shared" si="0"/>
        <v>184.76660000000001</v>
      </c>
      <c r="L36" s="10">
        <f t="shared" si="1"/>
        <v>554.2998</v>
      </c>
      <c r="M36" s="7">
        <f t="shared" si="2"/>
        <v>80</v>
      </c>
      <c r="N36" s="7">
        <f t="shared" si="3"/>
        <v>0.92383300000000013</v>
      </c>
      <c r="O36" s="7">
        <f t="shared" si="4"/>
        <v>2.2406070000000002</v>
      </c>
      <c r="P36" s="169">
        <f t="shared" si="5"/>
        <v>44.347148439999998</v>
      </c>
      <c r="R36" s="5"/>
    </row>
    <row r="37" spans="1:18" x14ac:dyDescent="0.3">
      <c r="F37" s="8">
        <v>29</v>
      </c>
      <c r="G37" s="49">
        <v>505.12029999999999</v>
      </c>
      <c r="H37" s="9">
        <v>277.12650000000002</v>
      </c>
      <c r="I37" s="7">
        <v>109.12860000000001</v>
      </c>
      <c r="J37" s="7">
        <f t="shared" si="6"/>
        <v>109.12860000000001</v>
      </c>
      <c r="K37" s="7">
        <f t="shared" si="0"/>
        <v>109.12860000000001</v>
      </c>
      <c r="L37" s="10">
        <f t="shared" si="1"/>
        <v>327.38580000000002</v>
      </c>
      <c r="M37" s="7">
        <f t="shared" si="2"/>
        <v>80</v>
      </c>
      <c r="N37" s="7">
        <f t="shared" si="3"/>
        <v>0.54564299999999999</v>
      </c>
      <c r="O37" s="7">
        <f t="shared" si="4"/>
        <v>1.3856325</v>
      </c>
      <c r="P37" s="169">
        <f t="shared" si="5"/>
        <v>26.192795275500004</v>
      </c>
    </row>
    <row r="38" spans="1:18" x14ac:dyDescent="0.3">
      <c r="F38" s="8">
        <v>30</v>
      </c>
      <c r="G38" s="50"/>
      <c r="H38" s="9">
        <v>277.12650000000002</v>
      </c>
      <c r="I38" s="7">
        <v>118.4598</v>
      </c>
      <c r="J38" s="7">
        <f t="shared" si="6"/>
        <v>118.4598</v>
      </c>
      <c r="K38" s="7">
        <f>I38</f>
        <v>118.4598</v>
      </c>
      <c r="L38" s="10">
        <f t="shared" si="1"/>
        <v>355.37940000000003</v>
      </c>
      <c r="M38" s="7">
        <f t="shared" si="2"/>
        <v>80</v>
      </c>
      <c r="N38" s="7">
        <f t="shared" si="3"/>
        <v>0.59229900000000002</v>
      </c>
      <c r="O38" s="7">
        <f t="shared" si="4"/>
        <v>1.3856325</v>
      </c>
      <c r="P38" s="169">
        <f t="shared" si="5"/>
        <v>28.432329931500004</v>
      </c>
    </row>
    <row r="39" spans="1:18" x14ac:dyDescent="0.3">
      <c r="F39" s="8">
        <v>31</v>
      </c>
      <c r="G39" s="49">
        <v>534.41959999999995</v>
      </c>
      <c r="H39" s="9">
        <v>289.28359999999998</v>
      </c>
      <c r="I39" s="7">
        <v>118.85380000000001</v>
      </c>
      <c r="J39" s="7">
        <f t="shared" si="6"/>
        <v>118.85380000000001</v>
      </c>
      <c r="K39" s="7">
        <f t="shared" si="0"/>
        <v>118.85380000000001</v>
      </c>
      <c r="L39" s="10">
        <f t="shared" si="1"/>
        <v>356.56140000000005</v>
      </c>
      <c r="M39" s="7">
        <f t="shared" si="2"/>
        <v>80</v>
      </c>
      <c r="N39" s="7">
        <f t="shared" si="3"/>
        <v>0.59426900000000005</v>
      </c>
      <c r="O39" s="7">
        <f t="shared" si="4"/>
        <v>1.446418</v>
      </c>
      <c r="P39" s="169">
        <f t="shared" si="5"/>
        <v>28.526952687000005</v>
      </c>
    </row>
    <row r="40" spans="1:18" x14ac:dyDescent="0.3">
      <c r="F40" s="8">
        <v>32</v>
      </c>
      <c r="G40" s="50"/>
      <c r="H40" s="9">
        <v>289.28359999999998</v>
      </c>
      <c r="I40" s="7">
        <v>126.2821</v>
      </c>
      <c r="J40" s="7">
        <f t="shared" si="6"/>
        <v>126.2821</v>
      </c>
      <c r="K40" s="7">
        <f t="shared" si="0"/>
        <v>126.2821</v>
      </c>
      <c r="L40" s="10">
        <f t="shared" si="1"/>
        <v>378.84629999999999</v>
      </c>
      <c r="M40" s="7">
        <f t="shared" si="2"/>
        <v>80</v>
      </c>
      <c r="N40" s="7">
        <f t="shared" si="3"/>
        <v>0.63141049999999999</v>
      </c>
      <c r="O40" s="7">
        <f t="shared" si="4"/>
        <v>1.446418</v>
      </c>
      <c r="P40" s="169">
        <f t="shared" si="5"/>
        <v>30.309781828499997</v>
      </c>
    </row>
    <row r="41" spans="1:18" x14ac:dyDescent="0.3">
      <c r="F41" s="8">
        <v>33</v>
      </c>
      <c r="G41" s="7">
        <v>347.9941</v>
      </c>
      <c r="H41" s="9">
        <v>214.28360000000001</v>
      </c>
      <c r="I41" s="7">
        <v>133.7105</v>
      </c>
      <c r="J41" s="7">
        <f t="shared" si="6"/>
        <v>133.7105</v>
      </c>
      <c r="K41" s="7">
        <f t="shared" si="0"/>
        <v>133.7105</v>
      </c>
      <c r="L41" s="10">
        <f t="shared" si="1"/>
        <v>401.13149999999996</v>
      </c>
      <c r="M41" s="7">
        <f t="shared" si="2"/>
        <v>80</v>
      </c>
      <c r="N41" s="7">
        <f t="shared" si="3"/>
        <v>0.66855249999999999</v>
      </c>
      <c r="O41" s="7">
        <f t="shared" si="4"/>
        <v>1.071418</v>
      </c>
      <c r="P41" s="169">
        <f t="shared" si="5"/>
        <v>32.092259970499995</v>
      </c>
    </row>
    <row r="42" spans="1:18" x14ac:dyDescent="0.3">
      <c r="F42" s="8">
        <v>34</v>
      </c>
      <c r="G42" s="7">
        <v>433.85610000000003</v>
      </c>
      <c r="H42" s="9">
        <v>305.65600000000001</v>
      </c>
      <c r="I42" s="7">
        <v>128.20009999999999</v>
      </c>
      <c r="J42" s="7">
        <f t="shared" si="6"/>
        <v>128.20009999999999</v>
      </c>
      <c r="K42" s="7">
        <f t="shared" si="0"/>
        <v>128.20009999999999</v>
      </c>
      <c r="L42" s="10">
        <f t="shared" si="1"/>
        <v>384.60029999999995</v>
      </c>
      <c r="M42" s="7">
        <f t="shared" si="2"/>
        <v>80</v>
      </c>
      <c r="N42" s="7">
        <f t="shared" si="3"/>
        <v>0.64100049999999997</v>
      </c>
      <c r="O42" s="7">
        <f t="shared" si="4"/>
        <v>1.5282800000000001</v>
      </c>
      <c r="P42" s="169">
        <f t="shared" si="5"/>
        <v>30.770193280499996</v>
      </c>
    </row>
    <row r="43" spans="1:18" x14ac:dyDescent="0.3">
      <c r="F43" s="36" t="s">
        <v>16</v>
      </c>
      <c r="G43" s="37"/>
      <c r="H43" s="37"/>
      <c r="I43" s="37"/>
      <c r="J43" s="37"/>
      <c r="K43" s="37"/>
      <c r="L43" s="37"/>
      <c r="M43" s="37"/>
      <c r="N43" s="37"/>
      <c r="O43" s="38"/>
      <c r="P43" s="169">
        <v>50</v>
      </c>
    </row>
    <row r="44" spans="1:18" x14ac:dyDescent="0.3">
      <c r="F44" s="42" t="s">
        <v>17</v>
      </c>
      <c r="G44" s="43"/>
      <c r="H44" s="43"/>
      <c r="I44" s="43"/>
      <c r="J44" s="43"/>
      <c r="K44" s="43"/>
      <c r="L44" s="43"/>
      <c r="M44" s="43"/>
      <c r="N44" s="43"/>
      <c r="O44" s="44"/>
      <c r="P44" s="169">
        <f>0.5*(20874.27-SUM(G9:G42))/1000</f>
        <v>5.2192082500000003</v>
      </c>
    </row>
    <row r="45" spans="1:18" x14ac:dyDescent="0.3">
      <c r="F45" s="39" t="s">
        <v>18</v>
      </c>
      <c r="G45" s="40"/>
      <c r="H45" s="40"/>
      <c r="I45" s="40"/>
      <c r="J45" s="40"/>
      <c r="K45" s="40"/>
      <c r="L45" s="40"/>
      <c r="M45" s="40"/>
      <c r="N45" s="40"/>
      <c r="O45" s="41"/>
      <c r="P45" s="170">
        <f>SUM(P9:P44)</f>
        <v>1075.976111487</v>
      </c>
    </row>
    <row r="46" spans="1:18" ht="15" thickBot="1" x14ac:dyDescent="0.35">
      <c r="F46" s="45" t="s">
        <v>19</v>
      </c>
      <c r="G46" s="46"/>
      <c r="H46" s="46"/>
      <c r="I46" s="46"/>
      <c r="J46" s="46"/>
      <c r="K46" s="46"/>
      <c r="L46" s="46"/>
      <c r="M46" s="46"/>
      <c r="N46" s="46"/>
      <c r="O46" s="47"/>
      <c r="P46" s="171">
        <f>0.8*P45</f>
        <v>860.78088918960009</v>
      </c>
    </row>
  </sheetData>
  <mergeCells count="25">
    <mergeCell ref="F5:P5"/>
    <mergeCell ref="F6:P6"/>
    <mergeCell ref="G10:G11"/>
    <mergeCell ref="G14:G16"/>
    <mergeCell ref="N7:N8"/>
    <mergeCell ref="G7:G8"/>
    <mergeCell ref="I7:L7"/>
    <mergeCell ref="O7:O8"/>
    <mergeCell ref="H7:H8"/>
    <mergeCell ref="F43:O43"/>
    <mergeCell ref="F45:O45"/>
    <mergeCell ref="F44:O44"/>
    <mergeCell ref="F46:O46"/>
    <mergeCell ref="P7:P8"/>
    <mergeCell ref="G17:G18"/>
    <mergeCell ref="G19:G20"/>
    <mergeCell ref="G21:G22"/>
    <mergeCell ref="G23:G24"/>
    <mergeCell ref="G26:G27"/>
    <mergeCell ref="G28:G30"/>
    <mergeCell ref="G32:G34"/>
    <mergeCell ref="G35:G36"/>
    <mergeCell ref="G37:G38"/>
    <mergeCell ref="G39:G40"/>
    <mergeCell ref="F7:F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50F6-F5F2-4363-8EBD-32683E04D8DF}">
  <dimension ref="A3:M41"/>
  <sheetViews>
    <sheetView topLeftCell="D1" zoomScale="115" zoomScaleNormal="115" workbookViewId="0">
      <pane ySplit="5" topLeftCell="A27" activePane="bottomLeft" state="frozen"/>
      <selection activeCell="C1" sqref="C1"/>
      <selection pane="bottomLeft" activeCell="M32" sqref="M32"/>
    </sheetView>
  </sheetViews>
  <sheetFormatPr defaultRowHeight="14.4" x14ac:dyDescent="0.3"/>
  <cols>
    <col min="1" max="1" width="4.77734375" bestFit="1" customWidth="1"/>
    <col min="2" max="2" width="8.109375" customWidth="1"/>
    <col min="3" max="3" width="7.88671875" customWidth="1"/>
    <col min="4" max="4" width="13.88671875" bestFit="1" customWidth="1"/>
    <col min="5" max="5" width="7.5546875" bestFit="1" customWidth="1"/>
    <col min="6" max="6" width="8" style="1" customWidth="1"/>
    <col min="7" max="7" width="8.21875" style="1" customWidth="1"/>
    <col min="8" max="8" width="13.88671875" style="5" bestFit="1" customWidth="1"/>
    <col min="9" max="9" width="12.6640625" style="1" bestFit="1" customWidth="1"/>
    <col min="10" max="10" width="12.6640625" style="1" customWidth="1"/>
    <col min="11" max="11" width="13.88671875" bestFit="1" customWidth="1"/>
    <col min="12" max="12" width="12.6640625" bestFit="1" customWidth="1"/>
    <col min="13" max="13" width="13.77734375" bestFit="1" customWidth="1"/>
    <col min="14" max="14" width="4.77734375" bestFit="1" customWidth="1"/>
    <col min="15" max="15" width="7.77734375" customWidth="1"/>
    <col min="16" max="16" width="8.33203125" customWidth="1"/>
    <col min="17" max="17" width="13.88671875" bestFit="1" customWidth="1"/>
    <col min="18" max="18" width="12.6640625" bestFit="1" customWidth="1"/>
    <col min="19" max="19" width="6.5546875" bestFit="1" customWidth="1"/>
    <col min="20" max="20" width="13.77734375" bestFit="1" customWidth="1"/>
    <col min="21" max="21" width="12.33203125" bestFit="1" customWidth="1"/>
  </cols>
  <sheetData>
    <row r="3" spans="1:12" ht="15" thickBot="1" x14ac:dyDescent="0.35"/>
    <row r="4" spans="1:12" ht="15" thickBot="1" x14ac:dyDescent="0.35">
      <c r="E4" s="74" t="s">
        <v>21</v>
      </c>
      <c r="F4" s="76" t="s">
        <v>22</v>
      </c>
      <c r="G4" s="77"/>
      <c r="H4" s="74" t="s">
        <v>23</v>
      </c>
      <c r="I4" s="24" t="s">
        <v>24</v>
      </c>
      <c r="J4" s="72" t="s">
        <v>63</v>
      </c>
      <c r="K4" s="74" t="s">
        <v>62</v>
      </c>
      <c r="L4" s="71"/>
    </row>
    <row r="5" spans="1:12" ht="15" thickBot="1" x14ac:dyDescent="0.35">
      <c r="E5" s="75"/>
      <c r="F5" s="24" t="s">
        <v>25</v>
      </c>
      <c r="G5" s="24" t="s">
        <v>26</v>
      </c>
      <c r="H5" s="75"/>
      <c r="I5" s="25" t="s">
        <v>26</v>
      </c>
      <c r="J5" s="73"/>
      <c r="K5" s="75"/>
      <c r="L5" s="71"/>
    </row>
    <row r="6" spans="1:12" x14ac:dyDescent="0.3">
      <c r="E6" s="21" t="s">
        <v>27</v>
      </c>
      <c r="F6" s="22">
        <f>'Load Estimation'!P9</f>
        <v>28.926860278999996</v>
      </c>
      <c r="G6" s="22">
        <f>F6</f>
        <v>28.926860278999996</v>
      </c>
      <c r="H6" s="23">
        <v>1</v>
      </c>
      <c r="I6" s="22">
        <f>H6*G6</f>
        <v>28.926860278999996</v>
      </c>
      <c r="J6" s="22" t="str">
        <f>IF(I6="","",IF(COUNTIF($I$6:$I$100,I6)=2,"C12","C9"))</f>
        <v>C9</v>
      </c>
      <c r="K6" s="172">
        <v>1</v>
      </c>
      <c r="L6" s="5"/>
    </row>
    <row r="7" spans="1:12" x14ac:dyDescent="0.3">
      <c r="A7" s="5"/>
      <c r="B7" s="5"/>
      <c r="C7" s="5"/>
      <c r="D7" s="5"/>
      <c r="E7" s="20" t="s">
        <v>28</v>
      </c>
      <c r="F7" s="18">
        <f>'Load Estimation'!P10</f>
        <v>28.325488915000001</v>
      </c>
      <c r="G7" s="64">
        <f>F7+F8</f>
        <v>56.610632989500004</v>
      </c>
      <c r="H7" s="66">
        <v>0.8</v>
      </c>
      <c r="I7" s="64">
        <f>G7*H7</f>
        <v>45.288506391600009</v>
      </c>
      <c r="J7" s="64" t="s">
        <v>64</v>
      </c>
      <c r="K7" s="134">
        <v>2</v>
      </c>
      <c r="L7" s="5"/>
    </row>
    <row r="8" spans="1:12" x14ac:dyDescent="0.3">
      <c r="A8" s="5"/>
      <c r="B8" s="5"/>
      <c r="C8" s="5"/>
      <c r="D8" s="5"/>
      <c r="E8" s="20" t="s">
        <v>29</v>
      </c>
      <c r="F8" s="18">
        <f>'Load Estimation'!P11</f>
        <v>28.285144074500003</v>
      </c>
      <c r="G8" s="64"/>
      <c r="H8" s="66"/>
      <c r="I8" s="64"/>
      <c r="J8" s="64"/>
      <c r="K8" s="134"/>
      <c r="L8" s="11"/>
    </row>
    <row r="9" spans="1:12" x14ac:dyDescent="0.3">
      <c r="A9" s="5"/>
      <c r="B9" s="5"/>
      <c r="C9" s="5"/>
      <c r="D9" s="5"/>
      <c r="E9" s="19" t="s">
        <v>30</v>
      </c>
      <c r="F9" s="17">
        <f>'Load Estimation'!P12</f>
        <v>28.361381769000001</v>
      </c>
      <c r="G9" s="17">
        <f t="shared" ref="G9:G39" si="0">F9</f>
        <v>28.361381769000001</v>
      </c>
      <c r="H9" s="16">
        <v>1</v>
      </c>
      <c r="I9" s="17">
        <f>G9*H9</f>
        <v>28.361381769000001</v>
      </c>
      <c r="J9" s="17" t="str">
        <f t="shared" ref="J9:J39" si="1">IF(I9="","",IF(COUNTIF($I$6:$I$100,I9)=2,"C12","C9"))</f>
        <v>C9</v>
      </c>
      <c r="K9" s="173">
        <v>3</v>
      </c>
      <c r="L9" s="5"/>
    </row>
    <row r="10" spans="1:12" x14ac:dyDescent="0.3">
      <c r="A10" s="5"/>
      <c r="B10" s="5"/>
      <c r="C10" s="5"/>
      <c r="D10" s="5"/>
      <c r="E10" s="20" t="s">
        <v>31</v>
      </c>
      <c r="F10" s="18">
        <f>'Load Estimation'!P13</f>
        <v>28.296771635000002</v>
      </c>
      <c r="G10" s="18">
        <f t="shared" si="0"/>
        <v>28.296771635000002</v>
      </c>
      <c r="H10" s="13">
        <v>1</v>
      </c>
      <c r="I10" s="18">
        <f>G10*H10</f>
        <v>28.296771635000002</v>
      </c>
      <c r="J10" s="18" t="str">
        <f t="shared" si="1"/>
        <v>C9</v>
      </c>
      <c r="K10" s="174">
        <v>4</v>
      </c>
      <c r="L10" s="5"/>
    </row>
    <row r="11" spans="1:12" x14ac:dyDescent="0.3">
      <c r="A11" s="5"/>
      <c r="B11" s="5"/>
      <c r="C11" s="5"/>
      <c r="D11" s="5"/>
      <c r="E11" s="19" t="s">
        <v>32</v>
      </c>
      <c r="F11" s="17">
        <f>'Load Estimation'!P14</f>
        <v>26.438938850166672</v>
      </c>
      <c r="G11" s="63">
        <f>F11+F12</f>
        <v>52.842116955333346</v>
      </c>
      <c r="H11" s="65">
        <v>0.8</v>
      </c>
      <c r="I11" s="63">
        <f>G11*H11</f>
        <v>42.273693564266679</v>
      </c>
      <c r="J11" s="63" t="s">
        <v>64</v>
      </c>
      <c r="K11" s="125">
        <v>5</v>
      </c>
      <c r="L11" s="5"/>
    </row>
    <row r="12" spans="1:12" x14ac:dyDescent="0.3">
      <c r="E12" s="19" t="s">
        <v>33</v>
      </c>
      <c r="F12" s="17">
        <f>'Load Estimation'!P15</f>
        <v>26.403178105166674</v>
      </c>
      <c r="G12" s="63"/>
      <c r="H12" s="65"/>
      <c r="I12" s="63"/>
      <c r="J12" s="63"/>
      <c r="K12" s="125"/>
      <c r="L12" s="5"/>
    </row>
    <row r="13" spans="1:12" x14ac:dyDescent="0.3">
      <c r="E13" s="19" t="s">
        <v>34</v>
      </c>
      <c r="F13" s="17">
        <f>'Load Estimation'!P16</f>
        <v>26.36604933166667</v>
      </c>
      <c r="G13" s="17">
        <f>F13</f>
        <v>26.36604933166667</v>
      </c>
      <c r="H13" s="16">
        <v>1</v>
      </c>
      <c r="I13" s="17">
        <f>G13*H13</f>
        <v>26.36604933166667</v>
      </c>
      <c r="J13" s="17" t="str">
        <f t="shared" si="1"/>
        <v>C9</v>
      </c>
      <c r="K13" s="173">
        <v>6</v>
      </c>
      <c r="L13" s="5"/>
    </row>
    <row r="14" spans="1:12" x14ac:dyDescent="0.3">
      <c r="E14" s="20" t="s">
        <v>35</v>
      </c>
      <c r="F14" s="18">
        <f>'Load Estimation'!P17</f>
        <v>23.152428972749998</v>
      </c>
      <c r="G14" s="64">
        <f>F14+F15</f>
        <v>46.193783631499997</v>
      </c>
      <c r="H14" s="66">
        <v>0.8</v>
      </c>
      <c r="I14" s="64">
        <f>G14*H14</f>
        <v>36.9550269052</v>
      </c>
      <c r="J14" s="64" t="s">
        <v>64</v>
      </c>
      <c r="K14" s="134">
        <v>7</v>
      </c>
      <c r="L14" s="5"/>
    </row>
    <row r="15" spans="1:12" x14ac:dyDescent="0.3">
      <c r="E15" s="20" t="s">
        <v>36</v>
      </c>
      <c r="F15" s="18">
        <f>'Load Estimation'!P18</f>
        <v>23.041354658749999</v>
      </c>
      <c r="G15" s="64"/>
      <c r="H15" s="66"/>
      <c r="I15" s="64"/>
      <c r="J15" s="64"/>
      <c r="K15" s="134"/>
      <c r="L15" s="5"/>
    </row>
    <row r="16" spans="1:12" x14ac:dyDescent="0.3">
      <c r="E16" s="19" t="s">
        <v>37</v>
      </c>
      <c r="F16" s="17">
        <f>'Load Estimation'!P19</f>
        <v>23.9503261935</v>
      </c>
      <c r="G16" s="63">
        <f>F16+F17</f>
        <v>47.900964393499997</v>
      </c>
      <c r="H16" s="65">
        <v>0.8</v>
      </c>
      <c r="I16" s="63">
        <f>G16*H16</f>
        <v>38.320771514800001</v>
      </c>
      <c r="J16" s="63" t="s">
        <v>64</v>
      </c>
      <c r="K16" s="125">
        <v>8</v>
      </c>
      <c r="L16" s="5"/>
    </row>
    <row r="17" spans="5:13" x14ac:dyDescent="0.3">
      <c r="E17" s="19" t="s">
        <v>38</v>
      </c>
      <c r="F17" s="17">
        <f>'Load Estimation'!P20</f>
        <v>23.950638199999997</v>
      </c>
      <c r="G17" s="63"/>
      <c r="H17" s="65"/>
      <c r="I17" s="63"/>
      <c r="J17" s="63"/>
      <c r="K17" s="125"/>
      <c r="L17" s="5"/>
    </row>
    <row r="18" spans="5:13" x14ac:dyDescent="0.3">
      <c r="E18" s="20" t="s">
        <v>39</v>
      </c>
      <c r="F18" s="18">
        <f>'Load Estimation'!P21</f>
        <v>23.951094216999998</v>
      </c>
      <c r="G18" s="64">
        <f>F18+F19</f>
        <v>47.901660422999996</v>
      </c>
      <c r="H18" s="66">
        <v>0.8</v>
      </c>
      <c r="I18" s="64">
        <f>G18*H18</f>
        <v>38.321328338400001</v>
      </c>
      <c r="J18" s="64" t="s">
        <v>65</v>
      </c>
      <c r="K18" s="134">
        <v>9</v>
      </c>
      <c r="L18" s="5"/>
    </row>
    <row r="19" spans="5:13" x14ac:dyDescent="0.3">
      <c r="E19" s="20" t="s">
        <v>40</v>
      </c>
      <c r="F19" s="18">
        <f>'Load Estimation'!P22</f>
        <v>23.950566205999998</v>
      </c>
      <c r="G19" s="64"/>
      <c r="H19" s="66"/>
      <c r="I19" s="64"/>
      <c r="J19" s="64"/>
      <c r="K19" s="134"/>
      <c r="L19" s="5"/>
    </row>
    <row r="20" spans="5:13" x14ac:dyDescent="0.3">
      <c r="E20" s="19" t="s">
        <v>41</v>
      </c>
      <c r="F20" s="17">
        <f>'Load Estimation'!P23</f>
        <v>22.332782867500001</v>
      </c>
      <c r="G20" s="63">
        <f>F20+F21</f>
        <v>44.683710113000004</v>
      </c>
      <c r="H20" s="65">
        <v>0.8</v>
      </c>
      <c r="I20" s="63">
        <f>G20*H20</f>
        <v>35.746968090400003</v>
      </c>
      <c r="J20" s="63" t="s">
        <v>64</v>
      </c>
      <c r="K20" s="125">
        <v>10</v>
      </c>
      <c r="L20" s="5"/>
    </row>
    <row r="21" spans="5:13" x14ac:dyDescent="0.3">
      <c r="E21" s="19" t="s">
        <v>42</v>
      </c>
      <c r="F21" s="17">
        <f>'Load Estimation'!P24</f>
        <v>22.350927245500003</v>
      </c>
      <c r="G21" s="63"/>
      <c r="H21" s="65"/>
      <c r="I21" s="63"/>
      <c r="J21" s="63"/>
      <c r="K21" s="125"/>
      <c r="L21" s="5"/>
      <c r="M21">
        <f>85*0.8</f>
        <v>68</v>
      </c>
    </row>
    <row r="22" spans="5:13" x14ac:dyDescent="0.3">
      <c r="E22" s="20" t="s">
        <v>43</v>
      </c>
      <c r="F22" s="18">
        <f>'Load Estimation'!P25</f>
        <v>37.247304467999996</v>
      </c>
      <c r="G22" s="18">
        <f t="shared" si="0"/>
        <v>37.247304467999996</v>
      </c>
      <c r="H22" s="13">
        <v>1</v>
      </c>
      <c r="I22" s="18">
        <f>H22*G22</f>
        <v>37.247304467999996</v>
      </c>
      <c r="J22" s="18" t="str">
        <f t="shared" si="1"/>
        <v>C9</v>
      </c>
      <c r="K22" s="174">
        <v>11</v>
      </c>
      <c r="L22" s="5"/>
    </row>
    <row r="23" spans="5:13" x14ac:dyDescent="0.3">
      <c r="E23" s="19" t="s">
        <v>44</v>
      </c>
      <c r="F23" s="17">
        <f>'Load Estimation'!P26</f>
        <v>34.19075814699999</v>
      </c>
      <c r="G23" s="63">
        <f>F23+F24</f>
        <v>71.589183118999983</v>
      </c>
      <c r="H23" s="65">
        <v>0.8</v>
      </c>
      <c r="I23" s="63">
        <f>G23*H23</f>
        <v>57.271346495199992</v>
      </c>
      <c r="J23" s="63" t="s">
        <v>64</v>
      </c>
      <c r="K23" s="125">
        <v>12</v>
      </c>
      <c r="L23" s="5"/>
    </row>
    <row r="24" spans="5:13" x14ac:dyDescent="0.3">
      <c r="E24" s="19" t="s">
        <v>45</v>
      </c>
      <c r="F24" s="17">
        <f>'Load Estimation'!P27</f>
        <v>37.398424971999994</v>
      </c>
      <c r="G24" s="63"/>
      <c r="H24" s="65"/>
      <c r="I24" s="63"/>
      <c r="J24" s="63"/>
      <c r="K24" s="125"/>
      <c r="L24" s="5"/>
    </row>
    <row r="25" spans="5:13" x14ac:dyDescent="0.3">
      <c r="E25" s="20" t="s">
        <v>46</v>
      </c>
      <c r="F25" s="18">
        <f>'Load Estimation'!P28</f>
        <v>27.901195921000003</v>
      </c>
      <c r="G25" s="64">
        <f>F25+F26</f>
        <v>64.670672593999996</v>
      </c>
      <c r="H25" s="66">
        <v>0.8</v>
      </c>
      <c r="I25" s="64">
        <f>G25*H25</f>
        <v>51.736538075200002</v>
      </c>
      <c r="J25" s="64" t="s">
        <v>64</v>
      </c>
      <c r="K25" s="134">
        <v>13</v>
      </c>
      <c r="L25" s="5"/>
    </row>
    <row r="26" spans="5:13" x14ac:dyDescent="0.3">
      <c r="E26" s="20" t="s">
        <v>47</v>
      </c>
      <c r="F26" s="18">
        <f>'Load Estimation'!P29</f>
        <v>36.769476673</v>
      </c>
      <c r="G26" s="64"/>
      <c r="H26" s="66"/>
      <c r="I26" s="64"/>
      <c r="J26" s="64"/>
      <c r="K26" s="134"/>
      <c r="L26" s="5"/>
    </row>
    <row r="27" spans="5:13" x14ac:dyDescent="0.3">
      <c r="E27" s="20" t="s">
        <v>48</v>
      </c>
      <c r="F27" s="18">
        <f>'Load Estimation'!P30</f>
        <v>44.158438606499999</v>
      </c>
      <c r="G27" s="18">
        <f t="shared" si="0"/>
        <v>44.158438606499999</v>
      </c>
      <c r="H27" s="13">
        <v>1</v>
      </c>
      <c r="I27" s="18">
        <f>G27*H27</f>
        <v>44.158438606499999</v>
      </c>
      <c r="J27" s="18" t="str">
        <f t="shared" si="1"/>
        <v>C9</v>
      </c>
      <c r="K27" s="174">
        <v>14</v>
      </c>
      <c r="L27" s="5"/>
    </row>
    <row r="28" spans="5:13" x14ac:dyDescent="0.3">
      <c r="E28" s="19" t="s">
        <v>49</v>
      </c>
      <c r="F28" s="17">
        <f>'Load Estimation'!P31</f>
        <v>31.126521225500003</v>
      </c>
      <c r="G28" s="17">
        <f t="shared" si="0"/>
        <v>31.126521225500003</v>
      </c>
      <c r="H28" s="16">
        <v>1</v>
      </c>
      <c r="I28" s="17">
        <f>G28*H28</f>
        <v>31.126521225500003</v>
      </c>
      <c r="J28" s="17" t="str">
        <f t="shared" si="1"/>
        <v>C9</v>
      </c>
      <c r="K28" s="173">
        <v>15</v>
      </c>
      <c r="L28" s="5"/>
    </row>
    <row r="29" spans="5:13" x14ac:dyDescent="0.3">
      <c r="E29" s="20" t="s">
        <v>50</v>
      </c>
      <c r="F29" s="18">
        <f>'Load Estimation'!P32</f>
        <v>29.187458147000001</v>
      </c>
      <c r="G29" s="64">
        <f>F29+F30</f>
        <v>62.025440344999993</v>
      </c>
      <c r="H29" s="66">
        <v>0.8</v>
      </c>
      <c r="I29" s="64">
        <f>G29*H29</f>
        <v>49.620352275999998</v>
      </c>
      <c r="J29" s="64" t="s">
        <v>64</v>
      </c>
      <c r="K29" s="134">
        <v>16</v>
      </c>
      <c r="L29" s="5"/>
    </row>
    <row r="30" spans="5:13" x14ac:dyDescent="0.3">
      <c r="E30" s="20" t="s">
        <v>51</v>
      </c>
      <c r="F30" s="18">
        <f>'Load Estimation'!P33</f>
        <v>32.837982197999992</v>
      </c>
      <c r="G30" s="64"/>
      <c r="H30" s="66"/>
      <c r="I30" s="64"/>
      <c r="J30" s="64"/>
      <c r="K30" s="134"/>
      <c r="L30" s="5"/>
    </row>
    <row r="31" spans="5:13" x14ac:dyDescent="0.3">
      <c r="E31" s="20" t="s">
        <v>52</v>
      </c>
      <c r="F31" s="18">
        <f>'Load Estimation'!P34</f>
        <v>38.239150719999998</v>
      </c>
      <c r="G31" s="18">
        <f t="shared" si="0"/>
        <v>38.239150719999998</v>
      </c>
      <c r="H31" s="13">
        <v>1</v>
      </c>
      <c r="I31" s="18">
        <f>G31*H31</f>
        <v>38.239150719999998</v>
      </c>
      <c r="J31" s="18" t="str">
        <f t="shared" si="1"/>
        <v>C9</v>
      </c>
      <c r="K31" s="174">
        <v>17</v>
      </c>
      <c r="L31" s="5"/>
    </row>
    <row r="32" spans="5:13" x14ac:dyDescent="0.3">
      <c r="E32" s="19" t="s">
        <v>53</v>
      </c>
      <c r="F32" s="17">
        <f>'Load Estimation'!P35</f>
        <v>42.944799225000004</v>
      </c>
      <c r="G32" s="17">
        <f>F32</f>
        <v>42.944799225000004</v>
      </c>
      <c r="H32" s="65">
        <v>0.8</v>
      </c>
      <c r="I32" s="17">
        <f>G32*H32</f>
        <v>34.355839380000006</v>
      </c>
      <c r="J32" s="17" t="str">
        <f t="shared" si="1"/>
        <v>C9</v>
      </c>
      <c r="K32" s="173">
        <v>18</v>
      </c>
      <c r="L32" s="5"/>
    </row>
    <row r="33" spans="5:12" x14ac:dyDescent="0.3">
      <c r="E33" s="19" t="s">
        <v>54</v>
      </c>
      <c r="F33" s="17">
        <f>'Load Estimation'!P36</f>
        <v>44.347148439999998</v>
      </c>
      <c r="G33" s="17">
        <f>F33</f>
        <v>44.347148439999998</v>
      </c>
      <c r="H33" s="65"/>
      <c r="I33" s="17">
        <f>G33*H32</f>
        <v>35.477718752000001</v>
      </c>
      <c r="J33" s="17" t="str">
        <f t="shared" si="1"/>
        <v>C9</v>
      </c>
      <c r="K33" s="173">
        <v>19</v>
      </c>
      <c r="L33" s="5"/>
    </row>
    <row r="34" spans="5:12" x14ac:dyDescent="0.3">
      <c r="E34" s="20" t="s">
        <v>55</v>
      </c>
      <c r="F34" s="18">
        <f>'Load Estimation'!P37</f>
        <v>26.192795275500004</v>
      </c>
      <c r="G34" s="64">
        <f>F34+F35</f>
        <v>54.625125207000011</v>
      </c>
      <c r="H34" s="66">
        <v>0.8</v>
      </c>
      <c r="I34" s="64">
        <f>G34*H34</f>
        <v>43.700100165600013</v>
      </c>
      <c r="J34" s="64" t="s">
        <v>64</v>
      </c>
      <c r="K34" s="134">
        <v>20</v>
      </c>
      <c r="L34" s="5"/>
    </row>
    <row r="35" spans="5:12" x14ac:dyDescent="0.3">
      <c r="E35" s="20" t="s">
        <v>56</v>
      </c>
      <c r="F35" s="18">
        <f>'Load Estimation'!P38</f>
        <v>28.432329931500004</v>
      </c>
      <c r="G35" s="64"/>
      <c r="H35" s="66"/>
      <c r="I35" s="64"/>
      <c r="J35" s="64"/>
      <c r="K35" s="134"/>
      <c r="L35" s="5"/>
    </row>
    <row r="36" spans="5:12" x14ac:dyDescent="0.3">
      <c r="E36" s="19" t="s">
        <v>57</v>
      </c>
      <c r="F36" s="17">
        <f>'Load Estimation'!P39</f>
        <v>28.526952687000005</v>
      </c>
      <c r="G36" s="63">
        <f>F36+F37</f>
        <v>58.836734515499998</v>
      </c>
      <c r="H36" s="65">
        <v>0.8</v>
      </c>
      <c r="I36" s="63">
        <f>G36*H36</f>
        <v>47.0693876124</v>
      </c>
      <c r="J36" s="63" t="s">
        <v>64</v>
      </c>
      <c r="K36" s="125">
        <v>21</v>
      </c>
      <c r="L36" s="5"/>
    </row>
    <row r="37" spans="5:12" x14ac:dyDescent="0.3">
      <c r="E37" s="19" t="s">
        <v>58</v>
      </c>
      <c r="F37" s="17">
        <f>'Load Estimation'!P40</f>
        <v>30.309781828499997</v>
      </c>
      <c r="G37" s="63"/>
      <c r="H37" s="65"/>
      <c r="I37" s="63"/>
      <c r="J37" s="63"/>
      <c r="K37" s="125"/>
      <c r="L37" s="5"/>
    </row>
    <row r="38" spans="5:12" x14ac:dyDescent="0.3">
      <c r="E38" s="20" t="s">
        <v>59</v>
      </c>
      <c r="F38" s="18">
        <f>'Load Estimation'!P41</f>
        <v>32.092259970499995</v>
      </c>
      <c r="G38" s="18">
        <f t="shared" si="0"/>
        <v>32.092259970499995</v>
      </c>
      <c r="H38" s="13">
        <v>1</v>
      </c>
      <c r="I38" s="18">
        <f>G38*H38</f>
        <v>32.092259970499995</v>
      </c>
      <c r="J38" s="18" t="str">
        <f t="shared" si="1"/>
        <v>C9</v>
      </c>
      <c r="K38" s="174">
        <v>22</v>
      </c>
      <c r="L38" s="5"/>
    </row>
    <row r="39" spans="5:12" x14ac:dyDescent="0.3">
      <c r="E39" s="19" t="s">
        <v>60</v>
      </c>
      <c r="F39" s="17">
        <f>'Load Estimation'!P42</f>
        <v>30.770193280499996</v>
      </c>
      <c r="G39" s="17">
        <f t="shared" si="0"/>
        <v>30.770193280499996</v>
      </c>
      <c r="H39" s="16">
        <v>1</v>
      </c>
      <c r="I39" s="17">
        <f>G39*H39</f>
        <v>30.770193280499996</v>
      </c>
      <c r="J39" s="17" t="str">
        <f t="shared" si="1"/>
        <v>C9</v>
      </c>
      <c r="K39" s="173">
        <v>23</v>
      </c>
      <c r="L39" s="5"/>
    </row>
    <row r="40" spans="5:12" x14ac:dyDescent="0.3">
      <c r="E40" s="67" t="s">
        <v>61</v>
      </c>
      <c r="F40" s="68"/>
      <c r="G40" s="68"/>
      <c r="H40" s="68"/>
      <c r="I40" s="68"/>
      <c r="J40" s="68"/>
      <c r="K40" s="175">
        <f>COUNTA(I6:I39)</f>
        <v>23</v>
      </c>
      <c r="L40" s="5"/>
    </row>
    <row r="41" spans="5:12" ht="15" thickBot="1" x14ac:dyDescent="0.35">
      <c r="E41" s="69" t="s">
        <v>19</v>
      </c>
      <c r="F41" s="70"/>
      <c r="G41" s="70"/>
      <c r="H41" s="70"/>
      <c r="I41" s="70"/>
      <c r="J41" s="70"/>
      <c r="K41" s="123">
        <f>SUM(I6:I39)</f>
        <v>881.72250884673326</v>
      </c>
      <c r="L41" s="5"/>
    </row>
  </sheetData>
  <mergeCells count="64">
    <mergeCell ref="J20:J21"/>
    <mergeCell ref="E40:J40"/>
    <mergeCell ref="E41:J41"/>
    <mergeCell ref="L4:L5"/>
    <mergeCell ref="J4:J5"/>
    <mergeCell ref="J7:J8"/>
    <mergeCell ref="J11:J12"/>
    <mergeCell ref="J14:J15"/>
    <mergeCell ref="E4:E5"/>
    <mergeCell ref="G7:G8"/>
    <mergeCell ref="K4:K5"/>
    <mergeCell ref="F4:G4"/>
    <mergeCell ref="H4:H5"/>
    <mergeCell ref="H7:H8"/>
    <mergeCell ref="I7:I8"/>
    <mergeCell ref="G14:G15"/>
    <mergeCell ref="G11:G12"/>
    <mergeCell ref="I11:I12"/>
    <mergeCell ref="H11:H12"/>
    <mergeCell ref="H18:H19"/>
    <mergeCell ref="I18:I19"/>
    <mergeCell ref="G18:G19"/>
    <mergeCell ref="H14:H15"/>
    <mergeCell ref="I14:I15"/>
    <mergeCell ref="H16:H17"/>
    <mergeCell ref="G16:G17"/>
    <mergeCell ref="I16:I17"/>
    <mergeCell ref="G20:G21"/>
    <mergeCell ref="H20:H21"/>
    <mergeCell ref="I20:I21"/>
    <mergeCell ref="H23:H24"/>
    <mergeCell ref="G23:G24"/>
    <mergeCell ref="I25:I26"/>
    <mergeCell ref="H25:H26"/>
    <mergeCell ref="G25:G26"/>
    <mergeCell ref="G29:G30"/>
    <mergeCell ref="H29:H30"/>
    <mergeCell ref="H32:H33"/>
    <mergeCell ref="G34:G35"/>
    <mergeCell ref="H34:H35"/>
    <mergeCell ref="G36:G37"/>
    <mergeCell ref="H36:H37"/>
    <mergeCell ref="I36:I37"/>
    <mergeCell ref="J36:J37"/>
    <mergeCell ref="K7:K8"/>
    <mergeCell ref="K11:K12"/>
    <mergeCell ref="K14:K15"/>
    <mergeCell ref="K16:K17"/>
    <mergeCell ref="K18:K19"/>
    <mergeCell ref="K20:K21"/>
    <mergeCell ref="I29:I30"/>
    <mergeCell ref="I34:I35"/>
    <mergeCell ref="I23:I24"/>
    <mergeCell ref="J16:J17"/>
    <mergeCell ref="J18:J19"/>
    <mergeCell ref="J34:J35"/>
    <mergeCell ref="J29:J30"/>
    <mergeCell ref="J25:J26"/>
    <mergeCell ref="K36:K37"/>
    <mergeCell ref="J23:J24"/>
    <mergeCell ref="K23:K24"/>
    <mergeCell ref="K25:K26"/>
    <mergeCell ref="K29:K30"/>
    <mergeCell ref="K34:K3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3BE4-F695-4DBC-B7C5-E5477C6269FE}">
  <dimension ref="B2:H28"/>
  <sheetViews>
    <sheetView tabSelected="1" zoomScale="85" zoomScaleNormal="85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20" sqref="H20:H24"/>
    </sheetView>
  </sheetViews>
  <sheetFormatPr defaultRowHeight="14.4" x14ac:dyDescent="0.3"/>
  <cols>
    <col min="2" max="2" width="12" bestFit="1" customWidth="1"/>
    <col min="3" max="3" width="12" customWidth="1"/>
    <col min="4" max="4" width="10.109375" bestFit="1" customWidth="1"/>
    <col min="5" max="5" width="13.21875" style="1" customWidth="1"/>
    <col min="6" max="6" width="25" style="1" customWidth="1"/>
    <col min="7" max="7" width="13.77734375" style="1" bestFit="1" customWidth="1"/>
    <col min="8" max="8" width="17.33203125" style="1" bestFit="1" customWidth="1"/>
  </cols>
  <sheetData>
    <row r="2" spans="2:8" x14ac:dyDescent="0.3">
      <c r="B2" t="s">
        <v>101</v>
      </c>
      <c r="D2">
        <f xml:space="preserve"> 5</f>
        <v>5</v>
      </c>
    </row>
    <row r="3" spans="2:8" ht="15" thickBot="1" x14ac:dyDescent="0.35"/>
    <row r="4" spans="2:8" ht="15" thickBot="1" x14ac:dyDescent="0.35">
      <c r="B4" s="74" t="s">
        <v>66</v>
      </c>
      <c r="C4" s="74" t="s">
        <v>98</v>
      </c>
      <c r="D4" s="74" t="s">
        <v>21</v>
      </c>
      <c r="E4" s="80" t="s">
        <v>72</v>
      </c>
      <c r="F4" s="81"/>
      <c r="G4" s="72" t="s">
        <v>23</v>
      </c>
      <c r="H4" s="25" t="s">
        <v>74</v>
      </c>
    </row>
    <row r="5" spans="2:8" ht="15" thickBot="1" x14ac:dyDescent="0.35">
      <c r="B5" s="75"/>
      <c r="C5" s="75"/>
      <c r="D5" s="75"/>
      <c r="E5" s="24" t="s">
        <v>26</v>
      </c>
      <c r="F5" s="24" t="s">
        <v>73</v>
      </c>
      <c r="G5" s="73"/>
      <c r="H5" s="24" t="s">
        <v>73</v>
      </c>
    </row>
    <row r="6" spans="2:8" x14ac:dyDescent="0.3">
      <c r="B6" s="82" t="s">
        <v>67</v>
      </c>
      <c r="C6" s="93" t="s">
        <v>99</v>
      </c>
      <c r="D6" s="27" t="s">
        <v>75</v>
      </c>
      <c r="E6" s="154">
        <f>'Cofree Loading'!I6</f>
        <v>28.926860278999996</v>
      </c>
      <c r="F6" s="139">
        <f>SUM(E6:E10)</f>
        <v>173.1458318698667</v>
      </c>
      <c r="G6" s="88">
        <v>0.8</v>
      </c>
      <c r="H6" s="124">
        <f>F6*G6</f>
        <v>138.51666549589336</v>
      </c>
    </row>
    <row r="7" spans="2:8" x14ac:dyDescent="0.3">
      <c r="B7" s="83"/>
      <c r="C7" s="94"/>
      <c r="D7" s="16" t="s">
        <v>76</v>
      </c>
      <c r="E7" s="155">
        <f>'Cofree Loading'!I7</f>
        <v>45.288506391600009</v>
      </c>
      <c r="F7" s="140"/>
      <c r="G7" s="63"/>
      <c r="H7" s="125"/>
    </row>
    <row r="8" spans="2:8" x14ac:dyDescent="0.3">
      <c r="B8" s="83"/>
      <c r="C8" s="94" t="s">
        <v>100</v>
      </c>
      <c r="D8" s="16" t="s">
        <v>77</v>
      </c>
      <c r="E8" s="155">
        <v>28.36</v>
      </c>
      <c r="F8" s="140"/>
      <c r="G8" s="63"/>
      <c r="H8" s="125"/>
    </row>
    <row r="9" spans="2:8" x14ac:dyDescent="0.3">
      <c r="B9" s="83"/>
      <c r="C9" s="94"/>
      <c r="D9" s="16" t="s">
        <v>78</v>
      </c>
      <c r="E9" s="155">
        <f>'Cofree Loading'!I10</f>
        <v>28.296771635000002</v>
      </c>
      <c r="F9" s="140"/>
      <c r="G9" s="63"/>
      <c r="H9" s="125"/>
    </row>
    <row r="10" spans="2:8" ht="15" thickBot="1" x14ac:dyDescent="0.35">
      <c r="B10" s="84"/>
      <c r="C10" s="95"/>
      <c r="D10" s="28" t="s">
        <v>79</v>
      </c>
      <c r="E10" s="156">
        <f>'Cofree Loading'!I11</f>
        <v>42.273693564266679</v>
      </c>
      <c r="F10" s="141"/>
      <c r="G10" s="89"/>
      <c r="H10" s="126"/>
    </row>
    <row r="11" spans="2:8" x14ac:dyDescent="0.3">
      <c r="B11" s="85" t="s">
        <v>68</v>
      </c>
      <c r="C11" s="96" t="s">
        <v>99</v>
      </c>
      <c r="D11" s="29" t="s">
        <v>80</v>
      </c>
      <c r="E11" s="157">
        <f>'Cofree Loading'!I13</f>
        <v>26.36604933166667</v>
      </c>
      <c r="F11" s="142">
        <f>SUM(E11:E15)</f>
        <v>175.71014418046667</v>
      </c>
      <c r="G11" s="90">
        <v>0.8</v>
      </c>
      <c r="H11" s="127">
        <f>F11*G11</f>
        <v>140.56811534437335</v>
      </c>
    </row>
    <row r="12" spans="2:8" x14ac:dyDescent="0.3">
      <c r="B12" s="86"/>
      <c r="C12" s="97"/>
      <c r="D12" s="26" t="s">
        <v>81</v>
      </c>
      <c r="E12" s="158">
        <f>'Cofree Loading'!I14</f>
        <v>36.9550269052</v>
      </c>
      <c r="F12" s="143"/>
      <c r="G12" s="91"/>
      <c r="H12" s="128"/>
    </row>
    <row r="13" spans="2:8" x14ac:dyDescent="0.3">
      <c r="B13" s="86"/>
      <c r="C13" s="97" t="s">
        <v>100</v>
      </c>
      <c r="D13" s="26" t="s">
        <v>82</v>
      </c>
      <c r="E13" s="158">
        <f>'Cofree Loading'!I16</f>
        <v>38.320771514800001</v>
      </c>
      <c r="F13" s="143"/>
      <c r="G13" s="91"/>
      <c r="H13" s="128"/>
    </row>
    <row r="14" spans="2:8" x14ac:dyDescent="0.3">
      <c r="B14" s="86"/>
      <c r="C14" s="97"/>
      <c r="D14" s="26" t="s">
        <v>83</v>
      </c>
      <c r="E14" s="158">
        <f>'Cofree Loading'!I18</f>
        <v>38.321328338400001</v>
      </c>
      <c r="F14" s="143"/>
      <c r="G14" s="91"/>
      <c r="H14" s="128"/>
    </row>
    <row r="15" spans="2:8" ht="15" thickBot="1" x14ac:dyDescent="0.35">
      <c r="B15" s="87"/>
      <c r="C15" s="98"/>
      <c r="D15" s="30" t="s">
        <v>84</v>
      </c>
      <c r="E15" s="159">
        <f>'Cofree Loading'!I20</f>
        <v>35.746968090400003</v>
      </c>
      <c r="F15" s="144"/>
      <c r="G15" s="92"/>
      <c r="H15" s="129"/>
    </row>
    <row r="16" spans="2:8" x14ac:dyDescent="0.3">
      <c r="B16" s="99" t="s">
        <v>69</v>
      </c>
      <c r="C16" s="78" t="s">
        <v>99</v>
      </c>
      <c r="D16" s="31" t="s">
        <v>85</v>
      </c>
      <c r="E16" s="160">
        <f>'Cofree Loading'!I22</f>
        <v>37.247304467999996</v>
      </c>
      <c r="F16" s="145">
        <f>SUM(E16:E19)</f>
        <v>190.41362764489998</v>
      </c>
      <c r="G16" s="102">
        <v>0.8</v>
      </c>
      <c r="H16" s="130">
        <f>F16*G16</f>
        <v>152.33090211592</v>
      </c>
    </row>
    <row r="17" spans="2:8" x14ac:dyDescent="0.3">
      <c r="B17" s="100"/>
      <c r="C17" s="79"/>
      <c r="D17" s="12" t="s">
        <v>86</v>
      </c>
      <c r="E17" s="161">
        <f>'Cofree Loading'!I23</f>
        <v>57.271346495199992</v>
      </c>
      <c r="F17" s="146"/>
      <c r="G17" s="103"/>
      <c r="H17" s="131"/>
    </row>
    <row r="18" spans="2:8" x14ac:dyDescent="0.3">
      <c r="B18" s="100"/>
      <c r="C18" s="79" t="s">
        <v>100</v>
      </c>
      <c r="D18" s="12" t="s">
        <v>87</v>
      </c>
      <c r="E18" s="161">
        <f>'Cofree Loading'!I25</f>
        <v>51.736538075200002</v>
      </c>
      <c r="F18" s="146"/>
      <c r="G18" s="103"/>
      <c r="H18" s="131"/>
    </row>
    <row r="19" spans="2:8" ht="15" thickBot="1" x14ac:dyDescent="0.35">
      <c r="B19" s="101"/>
      <c r="C19" s="107"/>
      <c r="D19" s="32" t="s">
        <v>88</v>
      </c>
      <c r="E19" s="162">
        <f>'Cofree Loading'!I27</f>
        <v>44.158438606499999</v>
      </c>
      <c r="F19" s="147"/>
      <c r="G19" s="104"/>
      <c r="H19" s="132"/>
    </row>
    <row r="20" spans="2:8" x14ac:dyDescent="0.3">
      <c r="B20" s="111" t="s">
        <v>70</v>
      </c>
      <c r="C20" s="114" t="s">
        <v>99</v>
      </c>
      <c r="D20" s="33" t="s">
        <v>89</v>
      </c>
      <c r="E20" s="163">
        <f>'Cofree Loading'!I28</f>
        <v>31.126521225500003</v>
      </c>
      <c r="F20" s="148">
        <f>SUM(E20:E24)</f>
        <v>188.82652122549999</v>
      </c>
      <c r="G20" s="105">
        <v>0.8</v>
      </c>
      <c r="H20" s="133">
        <f t="shared" ref="H20" si="0">F20*G20</f>
        <v>151.06121698039999</v>
      </c>
    </row>
    <row r="21" spans="2:8" x14ac:dyDescent="0.3">
      <c r="B21" s="112"/>
      <c r="C21" s="115"/>
      <c r="D21" s="13" t="s">
        <v>90</v>
      </c>
      <c r="E21" s="164">
        <v>49.62</v>
      </c>
      <c r="F21" s="149"/>
      <c r="G21" s="64"/>
      <c r="H21" s="134"/>
    </row>
    <row r="22" spans="2:8" x14ac:dyDescent="0.3">
      <c r="B22" s="112"/>
      <c r="C22" s="115"/>
      <c r="D22" s="13" t="s">
        <v>91</v>
      </c>
      <c r="E22" s="164">
        <v>38.24</v>
      </c>
      <c r="F22" s="149"/>
      <c r="G22" s="64"/>
      <c r="H22" s="134"/>
    </row>
    <row r="23" spans="2:8" x14ac:dyDescent="0.3">
      <c r="B23" s="112"/>
      <c r="C23" s="115" t="s">
        <v>100</v>
      </c>
      <c r="D23" s="13" t="s">
        <v>92</v>
      </c>
      <c r="E23" s="164">
        <v>34.36</v>
      </c>
      <c r="F23" s="149"/>
      <c r="G23" s="64"/>
      <c r="H23" s="134"/>
    </row>
    <row r="24" spans="2:8" ht="15" thickBot="1" x14ac:dyDescent="0.35">
      <c r="B24" s="113"/>
      <c r="C24" s="116"/>
      <c r="D24" s="34" t="s">
        <v>93</v>
      </c>
      <c r="E24" s="165">
        <v>35.479999999999997</v>
      </c>
      <c r="F24" s="150"/>
      <c r="G24" s="106"/>
      <c r="H24" s="135"/>
    </row>
    <row r="25" spans="2:8" x14ac:dyDescent="0.3">
      <c r="B25" s="117" t="s">
        <v>71</v>
      </c>
      <c r="C25" s="108" t="s">
        <v>99</v>
      </c>
      <c r="D25" s="35" t="s">
        <v>94</v>
      </c>
      <c r="E25" s="166">
        <v>43.7</v>
      </c>
      <c r="F25" s="151">
        <f>SUM(E25:E28)</f>
        <v>153.63000000000002</v>
      </c>
      <c r="G25" s="120">
        <v>0.8</v>
      </c>
      <c r="H25" s="136">
        <f t="shared" ref="H25" si="1">F25*G25</f>
        <v>122.90400000000002</v>
      </c>
    </row>
    <row r="26" spans="2:8" x14ac:dyDescent="0.3">
      <c r="B26" s="118"/>
      <c r="C26" s="109"/>
      <c r="D26" s="14" t="s">
        <v>95</v>
      </c>
      <c r="E26" s="167">
        <v>47.07</v>
      </c>
      <c r="F26" s="152"/>
      <c r="G26" s="121"/>
      <c r="H26" s="137"/>
    </row>
    <row r="27" spans="2:8" x14ac:dyDescent="0.3">
      <c r="B27" s="118"/>
      <c r="C27" s="109" t="s">
        <v>100</v>
      </c>
      <c r="D27" s="14" t="s">
        <v>96</v>
      </c>
      <c r="E27" s="167">
        <v>32.090000000000003</v>
      </c>
      <c r="F27" s="152"/>
      <c r="G27" s="121"/>
      <c r="H27" s="137"/>
    </row>
    <row r="28" spans="2:8" ht="15" thickBot="1" x14ac:dyDescent="0.35">
      <c r="B28" s="119"/>
      <c r="C28" s="110"/>
      <c r="D28" s="15" t="s">
        <v>97</v>
      </c>
      <c r="E28" s="168">
        <v>30.77</v>
      </c>
      <c r="F28" s="153"/>
      <c r="G28" s="122"/>
      <c r="H28" s="138"/>
    </row>
  </sheetData>
  <mergeCells count="35">
    <mergeCell ref="C20:C22"/>
    <mergeCell ref="C23:C24"/>
    <mergeCell ref="B25:B28"/>
    <mergeCell ref="F25:F28"/>
    <mergeCell ref="G25:G28"/>
    <mergeCell ref="H25:H28"/>
    <mergeCell ref="H11:H15"/>
    <mergeCell ref="H6:H10"/>
    <mergeCell ref="B16:B19"/>
    <mergeCell ref="F16:F19"/>
    <mergeCell ref="G16:G19"/>
    <mergeCell ref="H16:H19"/>
    <mergeCell ref="G20:G24"/>
    <mergeCell ref="H20:H24"/>
    <mergeCell ref="C18:C19"/>
    <mergeCell ref="C25:C26"/>
    <mergeCell ref="C27:C28"/>
    <mergeCell ref="F6:F10"/>
    <mergeCell ref="F11:F15"/>
    <mergeCell ref="F20:F24"/>
    <mergeCell ref="B20:B24"/>
    <mergeCell ref="C16:C17"/>
    <mergeCell ref="D4:D5"/>
    <mergeCell ref="B4:B5"/>
    <mergeCell ref="E4:F4"/>
    <mergeCell ref="G4:G5"/>
    <mergeCell ref="B6:B10"/>
    <mergeCell ref="B11:B15"/>
    <mergeCell ref="G6:G10"/>
    <mergeCell ref="G11:G15"/>
    <mergeCell ref="C4:C5"/>
    <mergeCell ref="C6:C7"/>
    <mergeCell ref="C8:C10"/>
    <mergeCell ref="C11:C12"/>
    <mergeCell ref="C13:C15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19811b-d51c-4bcd-9d34-bb8a8d4e02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F2360B6ADF9A4FAA189883FD6E3A47" ma:contentTypeVersion="6" ma:contentTypeDescription="Create a new document." ma:contentTypeScope="" ma:versionID="14b7ca2ab265811d9b7b7ed801d73dd7">
  <xsd:schema xmlns:xsd="http://www.w3.org/2001/XMLSchema" xmlns:xs="http://www.w3.org/2001/XMLSchema" xmlns:p="http://schemas.microsoft.com/office/2006/metadata/properties" xmlns:ns3="6419811b-d51c-4bcd-9d34-bb8a8d4e02dc" targetNamespace="http://schemas.microsoft.com/office/2006/metadata/properties" ma:root="true" ma:fieldsID="c8f84ad55792547b2c37af39ff57608e" ns3:_="">
    <xsd:import namespace="6419811b-d51c-4bcd-9d34-bb8a8d4e02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9811b-d51c-4bcd-9d34-bb8a8d4e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2DE09D-6FF0-4AD3-9737-5847235ACC80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6419811b-d51c-4bcd-9d34-bb8a8d4e02dc"/>
  </ds:schemaRefs>
</ds:datastoreItem>
</file>

<file path=customXml/itemProps2.xml><?xml version="1.0" encoding="utf-8"?>
<ds:datastoreItem xmlns:ds="http://schemas.openxmlformats.org/officeDocument/2006/customXml" ds:itemID="{A19A3A2C-0E9A-44B6-B0F2-C91EA80A7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19811b-d51c-4bcd-9d34-bb8a8d4e0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B8B6C4-278E-4415-9AA1-07D7B6A94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Estimation</vt:lpstr>
      <vt:lpstr>Cofree Loading</vt:lpstr>
      <vt:lpstr>Pillar Loading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عبدالرحمن أشرف حلمي بيومي عثمان</cp:lastModifiedBy>
  <cp:revision/>
  <dcterms:created xsi:type="dcterms:W3CDTF">2015-06-05T18:17:20Z</dcterms:created>
  <dcterms:modified xsi:type="dcterms:W3CDTF">2025-07-16T17:42:38Z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0x010100DDF2360B6ADF9A4FAA189883FD6E3A47</vt:lpwstr>
  </property>
</Properties>
</file>