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dro\Desktop\BET21x13\"/>
    </mc:Choice>
  </mc:AlternateContent>
  <xr:revisionPtr revIDLastSave="0" documentId="13_ncr:1_{A57C2312-02A8-4452-ADD6-7AC8F87E7311}" xr6:coauthVersionLast="47" xr6:coauthVersionMax="47" xr10:uidLastSave="{00000000-0000-0000-0000-000000000000}"/>
  <bookViews>
    <workbookView xWindow="-120" yWindow="-120" windowWidth="20730" windowHeight="11160" xr2:uid="{2999A67B-CFAC-4A53-8180-99CD48303CF1}"/>
  </bookViews>
  <sheets>
    <sheet name="PROP_InOut" sheetId="1" r:id="rId1"/>
    <sheet name="PROP_Table" sheetId="2" r:id="rId2"/>
    <sheet name="Conversor" sheetId="3" r:id="rId3"/>
    <sheet name="PROP_Table (2)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4" i="1" l="1"/>
  <c r="G12" i="1"/>
  <c r="E12" i="1"/>
  <c r="C12" i="1"/>
  <c r="F12" i="1" s="1"/>
  <c r="B12" i="1"/>
  <c r="H12" i="1"/>
  <c r="BF11" i="4"/>
  <c r="BF12" i="4"/>
  <c r="BF13" i="4"/>
  <c r="BF14" i="4"/>
  <c r="BF15" i="4"/>
  <c r="BF16" i="4"/>
  <c r="BF17" i="4"/>
  <c r="BF18" i="4"/>
  <c r="BF19" i="4"/>
  <c r="BF20" i="4"/>
  <c r="BF21" i="4"/>
  <c r="BF22" i="4"/>
  <c r="BF23" i="4"/>
  <c r="BF24" i="4"/>
  <c r="BF25" i="4"/>
  <c r="BF26" i="4"/>
  <c r="BF27" i="4"/>
  <c r="BF28" i="4"/>
  <c r="BF29" i="4"/>
  <c r="BF30" i="4"/>
  <c r="BF31" i="4"/>
  <c r="BF32" i="4"/>
  <c r="BF33" i="4"/>
  <c r="BF34" i="4"/>
  <c r="BF35" i="4"/>
  <c r="BF36" i="4"/>
  <c r="BF37" i="4"/>
  <c r="BF38" i="4"/>
  <c r="BF39" i="4"/>
  <c r="BF40" i="4"/>
  <c r="BF41" i="4"/>
  <c r="BF10" i="4"/>
  <c r="V13" i="4"/>
  <c r="U29" i="4"/>
  <c r="V29" i="4"/>
  <c r="U23" i="4"/>
  <c r="V23" i="4"/>
  <c r="Y27" i="4"/>
  <c r="Z27" i="4"/>
  <c r="D8" i="1" l="1"/>
  <c r="N41" i="4" l="1"/>
  <c r="N40" i="4"/>
  <c r="N38" i="4"/>
  <c r="N36" i="4"/>
  <c r="N34" i="4"/>
  <c r="N32" i="4"/>
  <c r="N30" i="4"/>
  <c r="N28" i="4"/>
  <c r="N26" i="4"/>
  <c r="N24" i="4"/>
  <c r="N22" i="4"/>
  <c r="N20" i="4"/>
  <c r="N18" i="4"/>
  <c r="N16" i="4"/>
  <c r="N14" i="4"/>
  <c r="N12" i="4"/>
  <c r="N10" i="4"/>
  <c r="AQ39" i="4"/>
  <c r="AQ40" i="4"/>
  <c r="Z37" i="4"/>
  <c r="AQ37" i="4" s="1"/>
  <c r="Z35" i="4"/>
  <c r="Z33" i="4"/>
  <c r="AQ33" i="4" s="1"/>
  <c r="Z31" i="4"/>
  <c r="AQ31" i="4" s="1"/>
  <c r="Z29" i="4"/>
  <c r="AQ29" i="4" s="1"/>
  <c r="Z25" i="4"/>
  <c r="AQ25" i="4" s="1"/>
  <c r="Z23" i="4"/>
  <c r="AQ23" i="4" s="1"/>
  <c r="Z21" i="4"/>
  <c r="AQ21" i="4" s="1"/>
  <c r="Z19" i="4"/>
  <c r="AQ19" i="4" s="1"/>
  <c r="Z17" i="4"/>
  <c r="AQ17" i="4" s="1"/>
  <c r="Z15" i="4"/>
  <c r="AQ15" i="4" s="1"/>
  <c r="Z13" i="4"/>
  <c r="AQ13" i="4" s="1"/>
  <c r="Z11" i="4"/>
  <c r="AQ11" i="4" s="1"/>
  <c r="AP39" i="4"/>
  <c r="Y37" i="4"/>
  <c r="AP37" i="4" s="1"/>
  <c r="Y35" i="4"/>
  <c r="AP35" i="4" s="1"/>
  <c r="Y33" i="4"/>
  <c r="AP33" i="4" s="1"/>
  <c r="Y31" i="4"/>
  <c r="AP31" i="4" s="1"/>
  <c r="Y29" i="4"/>
  <c r="AP29" i="4" s="1"/>
  <c r="AP27" i="4"/>
  <c r="Y25" i="4"/>
  <c r="AP25" i="4" s="1"/>
  <c r="Y23" i="4"/>
  <c r="AP23" i="4" s="1"/>
  <c r="Y21" i="4"/>
  <c r="AP21" i="4" s="1"/>
  <c r="Y19" i="4"/>
  <c r="AP19" i="4" s="1"/>
  <c r="Y17" i="4"/>
  <c r="AP17" i="4" s="1"/>
  <c r="Y15" i="4"/>
  <c r="AP15" i="4" s="1"/>
  <c r="Y13" i="4"/>
  <c r="AP13" i="4" s="1"/>
  <c r="Y11" i="4"/>
  <c r="AP11" i="4" s="1"/>
  <c r="N39" i="4"/>
  <c r="V37" i="4"/>
  <c r="N37" i="4" s="1"/>
  <c r="V35" i="4"/>
  <c r="N35" i="4" s="1"/>
  <c r="V33" i="4"/>
  <c r="N33" i="4" s="1"/>
  <c r="V31" i="4"/>
  <c r="N31" i="4" s="1"/>
  <c r="N29" i="4"/>
  <c r="V25" i="4"/>
  <c r="N25" i="4" s="1"/>
  <c r="N23" i="4"/>
  <c r="V21" i="4"/>
  <c r="N21" i="4" s="1"/>
  <c r="V19" i="4"/>
  <c r="N19" i="4" s="1"/>
  <c r="V17" i="4"/>
  <c r="N17" i="4" s="1"/>
  <c r="V15" i="4"/>
  <c r="N15" i="4" s="1"/>
  <c r="N13" i="4"/>
  <c r="V11" i="4"/>
  <c r="N11" i="4" s="1"/>
  <c r="U37" i="4"/>
  <c r="U35" i="4"/>
  <c r="U33" i="4"/>
  <c r="U31" i="4"/>
  <c r="U27" i="4"/>
  <c r="U25" i="4"/>
  <c r="U21" i="4"/>
  <c r="U19" i="4"/>
  <c r="U17" i="4"/>
  <c r="U15" i="4"/>
  <c r="U13" i="4"/>
  <c r="U11" i="4"/>
  <c r="K8" i="1"/>
  <c r="AQ12" i="4"/>
  <c r="AQ14" i="4"/>
  <c r="AQ16" i="4"/>
  <c r="AQ18" i="4"/>
  <c r="AQ20" i="4"/>
  <c r="AQ22" i="4"/>
  <c r="AQ24" i="4"/>
  <c r="AQ26" i="4"/>
  <c r="AQ27" i="4"/>
  <c r="AQ28" i="4"/>
  <c r="AQ30" i="4"/>
  <c r="AQ32" i="4"/>
  <c r="AQ34" i="4"/>
  <c r="AQ35" i="4"/>
  <c r="AQ36" i="4"/>
  <c r="AQ38" i="4"/>
  <c r="AQ41" i="4"/>
  <c r="AQ10" i="4"/>
  <c r="AP12" i="4"/>
  <c r="AP14" i="4"/>
  <c r="AP16" i="4"/>
  <c r="AP18" i="4"/>
  <c r="AP20" i="4"/>
  <c r="AP22" i="4"/>
  <c r="AP24" i="4"/>
  <c r="AP26" i="4"/>
  <c r="AP28" i="4"/>
  <c r="AP30" i="4"/>
  <c r="AP32" i="4"/>
  <c r="AP34" i="4"/>
  <c r="AP36" i="4"/>
  <c r="AP38" i="4"/>
  <c r="AP40" i="4"/>
  <c r="AP41" i="4"/>
  <c r="AP10" i="4"/>
  <c r="M11" i="4" l="1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10" i="4"/>
  <c r="O41" i="4"/>
  <c r="G41" i="4"/>
  <c r="O40" i="4"/>
  <c r="G40" i="4"/>
  <c r="O39" i="4"/>
  <c r="G39" i="4"/>
  <c r="O38" i="4"/>
  <c r="G38" i="4"/>
  <c r="O37" i="4"/>
  <c r="G37" i="4"/>
  <c r="O36" i="4"/>
  <c r="G36" i="4"/>
  <c r="O35" i="4"/>
  <c r="G35" i="4"/>
  <c r="O34" i="4"/>
  <c r="G34" i="4"/>
  <c r="O33" i="4"/>
  <c r="G33" i="4"/>
  <c r="O32" i="4"/>
  <c r="G32" i="4"/>
  <c r="O31" i="4"/>
  <c r="G31" i="4"/>
  <c r="O30" i="4"/>
  <c r="G30" i="4"/>
  <c r="O29" i="4"/>
  <c r="G29" i="4"/>
  <c r="O28" i="4"/>
  <c r="G28" i="4"/>
  <c r="O27" i="4"/>
  <c r="G27" i="4"/>
  <c r="O26" i="4"/>
  <c r="G26" i="4"/>
  <c r="O25" i="4"/>
  <c r="G25" i="4"/>
  <c r="O24" i="4"/>
  <c r="G24" i="4"/>
  <c r="O23" i="4"/>
  <c r="G23" i="4"/>
  <c r="O22" i="4"/>
  <c r="G22" i="4"/>
  <c r="O21" i="4"/>
  <c r="G21" i="4"/>
  <c r="O20" i="4"/>
  <c r="G20" i="4"/>
  <c r="O19" i="4"/>
  <c r="G19" i="4"/>
  <c r="O18" i="4"/>
  <c r="G18" i="4"/>
  <c r="O17" i="4"/>
  <c r="G17" i="4"/>
  <c r="O16" i="4"/>
  <c r="G16" i="4"/>
  <c r="O15" i="4"/>
  <c r="G15" i="4"/>
  <c r="O14" i="4"/>
  <c r="G14" i="4"/>
  <c r="O13" i="4"/>
  <c r="G13" i="4"/>
  <c r="O12" i="4"/>
  <c r="G12" i="4"/>
  <c r="O11" i="4"/>
  <c r="G11" i="4"/>
  <c r="O10" i="4"/>
  <c r="G10" i="4"/>
  <c r="G9" i="4"/>
  <c r="G8" i="4"/>
  <c r="G7" i="4"/>
  <c r="G6" i="4"/>
  <c r="G5" i="4"/>
  <c r="G4" i="4"/>
  <c r="G24" i="2" l="1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M8" i="1"/>
  <c r="J8" i="1" l="1"/>
  <c r="E2" i="3" l="1"/>
  <c r="L8" i="1"/>
  <c r="L12" i="1" s="1"/>
  <c r="K12" i="1" s="1"/>
  <c r="C9" i="3"/>
  <c r="P6" i="4" l="1"/>
  <c r="O6" i="4" s="1"/>
  <c r="P4" i="4"/>
  <c r="O4" i="4" s="1"/>
  <c r="P8" i="4"/>
  <c r="O8" i="4" s="1"/>
  <c r="P7" i="4"/>
  <c r="O7" i="4" s="1"/>
  <c r="P5" i="4"/>
  <c r="O5" i="4" s="1"/>
  <c r="P9" i="4"/>
  <c r="O9" i="4" s="1"/>
  <c r="P6" i="2"/>
  <c r="O24" i="2"/>
  <c r="P7" i="2"/>
  <c r="O31" i="2"/>
  <c r="P8" i="2"/>
  <c r="P5" i="2"/>
  <c r="P4" i="2"/>
  <c r="O40" i="2"/>
  <c r="P9" i="2"/>
  <c r="O29" i="2"/>
  <c r="O35" i="2"/>
  <c r="O43" i="2"/>
  <c r="O27" i="2"/>
  <c r="O37" i="2"/>
  <c r="O28" i="2"/>
  <c r="O38" i="2"/>
  <c r="O42" i="2"/>
  <c r="C21" i="3"/>
  <c r="C19" i="3"/>
  <c r="C17" i="3"/>
  <c r="C15" i="3"/>
  <c r="C13" i="3"/>
  <c r="C11" i="3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4" i="2"/>
  <c r="C7" i="3"/>
  <c r="C5" i="3"/>
  <c r="C3" i="3"/>
  <c r="O41" i="2" l="1"/>
  <c r="O32" i="2"/>
  <c r="O34" i="2"/>
  <c r="O36" i="2"/>
  <c r="O26" i="2"/>
  <c r="O39" i="2"/>
  <c r="O30" i="2"/>
  <c r="O33" i="2"/>
  <c r="O25" i="2"/>
  <c r="F8" i="1"/>
  <c r="E8" i="1"/>
  <c r="B8" i="1"/>
  <c r="D9" i="4" l="1"/>
  <c r="D4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8" i="4"/>
  <c r="D7" i="4"/>
  <c r="D6" i="4"/>
  <c r="D5" i="4"/>
  <c r="C42" i="2"/>
  <c r="G8" i="1"/>
  <c r="C8" i="1"/>
  <c r="H15" i="4" s="1"/>
  <c r="F41" i="4" l="1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H40" i="4"/>
  <c r="H36" i="4"/>
  <c r="H32" i="4"/>
  <c r="H28" i="4"/>
  <c r="H24" i="4"/>
  <c r="H20" i="4"/>
  <c r="H16" i="4"/>
  <c r="H12" i="4"/>
  <c r="H8" i="4"/>
  <c r="H4" i="4"/>
  <c r="H39" i="4"/>
  <c r="H35" i="4"/>
  <c r="H31" i="4"/>
  <c r="H19" i="4"/>
  <c r="H7" i="4"/>
  <c r="H27" i="4"/>
  <c r="H23" i="4"/>
  <c r="H11" i="4"/>
  <c r="H38" i="4"/>
  <c r="H30" i="4"/>
  <c r="H22" i="4"/>
  <c r="H14" i="4"/>
  <c r="H6" i="4"/>
  <c r="H33" i="4"/>
  <c r="H25" i="4"/>
  <c r="H9" i="4"/>
  <c r="H37" i="4"/>
  <c r="H29" i="4"/>
  <c r="H21" i="4"/>
  <c r="H13" i="4"/>
  <c r="H5" i="4"/>
  <c r="H34" i="4"/>
  <c r="H26" i="4"/>
  <c r="H18" i="4"/>
  <c r="H10" i="4"/>
  <c r="H41" i="4"/>
  <c r="H17" i="4"/>
  <c r="H23" i="2"/>
  <c r="H14" i="2"/>
  <c r="D15" i="2"/>
  <c r="D8" i="2"/>
  <c r="H19" i="2"/>
  <c r="D11" i="2"/>
  <c r="D9" i="2"/>
  <c r="D18" i="2"/>
  <c r="H4" i="2"/>
  <c r="D12" i="2"/>
  <c r="H13" i="2"/>
  <c r="D16" i="2"/>
  <c r="H5" i="2"/>
  <c r="H20" i="2"/>
  <c r="D17" i="2"/>
  <c r="D7" i="2"/>
  <c r="H10" i="2"/>
  <c r="H21" i="2"/>
  <c r="H6" i="2"/>
  <c r="D22" i="2"/>
  <c r="X15" i="4" l="1"/>
  <c r="I15" i="4"/>
  <c r="K15" i="4"/>
  <c r="K16" i="4"/>
  <c r="I16" i="4"/>
  <c r="X16" i="4"/>
  <c r="AB16" i="4" s="1"/>
  <c r="X17" i="4"/>
  <c r="AB17" i="4" s="1"/>
  <c r="I17" i="4"/>
  <c r="K17" i="4"/>
  <c r="I26" i="4"/>
  <c r="K26" i="4"/>
  <c r="X26" i="4"/>
  <c r="AB26" i="4" s="1"/>
  <c r="K21" i="4"/>
  <c r="X21" i="4"/>
  <c r="AB21" i="4" s="1"/>
  <c r="I21" i="4"/>
  <c r="I25" i="4"/>
  <c r="X25" i="4"/>
  <c r="AB25" i="4" s="1"/>
  <c r="K25" i="4"/>
  <c r="I22" i="4"/>
  <c r="X22" i="4"/>
  <c r="K22" i="4"/>
  <c r="I23" i="4"/>
  <c r="X23" i="4"/>
  <c r="AB23" i="4" s="1"/>
  <c r="K23" i="4"/>
  <c r="X19" i="4"/>
  <c r="AB19" i="4" s="1"/>
  <c r="I19" i="4"/>
  <c r="K19" i="4"/>
  <c r="K4" i="4"/>
  <c r="I4" i="4"/>
  <c r="I20" i="4"/>
  <c r="K20" i="4"/>
  <c r="X20" i="4"/>
  <c r="AB20" i="4" s="1"/>
  <c r="X36" i="4"/>
  <c r="AB36" i="4" s="1"/>
  <c r="I36" i="4"/>
  <c r="K36" i="4"/>
  <c r="X10" i="4"/>
  <c r="I10" i="4"/>
  <c r="K10" i="4"/>
  <c r="I5" i="4"/>
  <c r="K5" i="4"/>
  <c r="X37" i="4"/>
  <c r="AB37" i="4" s="1"/>
  <c r="K37" i="4"/>
  <c r="I37" i="4"/>
  <c r="I6" i="4"/>
  <c r="K6" i="4"/>
  <c r="I38" i="4"/>
  <c r="X38" i="4"/>
  <c r="AB38" i="4" s="1"/>
  <c r="K38" i="4"/>
  <c r="I7" i="4"/>
  <c r="K7" i="4"/>
  <c r="K35" i="4"/>
  <c r="X35" i="4"/>
  <c r="AB35" i="4" s="1"/>
  <c r="I35" i="4"/>
  <c r="X12" i="4"/>
  <c r="I12" i="4"/>
  <c r="K12" i="4"/>
  <c r="I28" i="4"/>
  <c r="K28" i="4"/>
  <c r="X28" i="4"/>
  <c r="K18" i="4"/>
  <c r="X18" i="4"/>
  <c r="AB18" i="4" s="1"/>
  <c r="I18" i="4"/>
  <c r="X13" i="4"/>
  <c r="K13" i="4"/>
  <c r="I13" i="4"/>
  <c r="I9" i="4"/>
  <c r="K9" i="4"/>
  <c r="I14" i="4"/>
  <c r="X14" i="4"/>
  <c r="K14" i="4"/>
  <c r="AY14" i="4" s="1"/>
  <c r="K11" i="4"/>
  <c r="I11" i="4"/>
  <c r="I39" i="4"/>
  <c r="K39" i="4"/>
  <c r="X39" i="4"/>
  <c r="AB39" i="4" s="1"/>
  <c r="X32" i="4"/>
  <c r="K32" i="4"/>
  <c r="I32" i="4"/>
  <c r="I41" i="4"/>
  <c r="K41" i="4"/>
  <c r="X41" i="4"/>
  <c r="K34" i="4"/>
  <c r="I34" i="4"/>
  <c r="X34" i="4"/>
  <c r="AB34" i="4" s="1"/>
  <c r="X29" i="4"/>
  <c r="AB29" i="4" s="1"/>
  <c r="I29" i="4"/>
  <c r="K29" i="4"/>
  <c r="K33" i="4"/>
  <c r="X33" i="4"/>
  <c r="I33" i="4"/>
  <c r="X30" i="4"/>
  <c r="AB30" i="4" s="1"/>
  <c r="K30" i="4"/>
  <c r="I30" i="4"/>
  <c r="X27" i="4"/>
  <c r="I27" i="4"/>
  <c r="K27" i="4"/>
  <c r="I31" i="4"/>
  <c r="X31" i="4"/>
  <c r="AB31" i="4" s="1"/>
  <c r="K31" i="4"/>
  <c r="I8" i="4"/>
  <c r="K8" i="4"/>
  <c r="K24" i="4"/>
  <c r="I24" i="4"/>
  <c r="X24" i="4"/>
  <c r="AB24" i="4" s="1"/>
  <c r="K40" i="4"/>
  <c r="I40" i="4"/>
  <c r="X40" i="4"/>
  <c r="H11" i="2"/>
  <c r="I11" i="2" s="1"/>
  <c r="H12" i="2"/>
  <c r="K12" i="2" s="1"/>
  <c r="D20" i="2"/>
  <c r="H18" i="2"/>
  <c r="I18" i="2" s="1"/>
  <c r="H16" i="2"/>
  <c r="I16" i="2" s="1"/>
  <c r="D13" i="2"/>
  <c r="H25" i="2"/>
  <c r="D25" i="2"/>
  <c r="D37" i="2"/>
  <c r="H37" i="2"/>
  <c r="D26" i="2"/>
  <c r="H26" i="2"/>
  <c r="D30" i="2"/>
  <c r="H30" i="2"/>
  <c r="D43" i="2"/>
  <c r="H43" i="2"/>
  <c r="H35" i="2"/>
  <c r="D35" i="2"/>
  <c r="H27" i="2"/>
  <c r="D27" i="2"/>
  <c r="H36" i="2"/>
  <c r="D36" i="2"/>
  <c r="D23" i="2"/>
  <c r="D33" i="2"/>
  <c r="H33" i="2"/>
  <c r="D31" i="2"/>
  <c r="H31" i="2"/>
  <c r="D28" i="2"/>
  <c r="H28" i="2"/>
  <c r="D42" i="2"/>
  <c r="H42" i="2"/>
  <c r="H34" i="2"/>
  <c r="D34" i="2"/>
  <c r="D41" i="2"/>
  <c r="H41" i="2"/>
  <c r="H40" i="2"/>
  <c r="D40" i="2"/>
  <c r="D32" i="2"/>
  <c r="H32" i="2"/>
  <c r="H29" i="2"/>
  <c r="D29" i="2"/>
  <c r="D38" i="2"/>
  <c r="H38" i="2"/>
  <c r="D39" i="2"/>
  <c r="H39" i="2"/>
  <c r="D24" i="2"/>
  <c r="H24" i="2"/>
  <c r="H8" i="2"/>
  <c r="K8" i="2" s="1"/>
  <c r="D14" i="2"/>
  <c r="D19" i="2"/>
  <c r="D4" i="2"/>
  <c r="H7" i="2"/>
  <c r="K7" i="2" s="1"/>
  <c r="D10" i="2"/>
  <c r="D5" i="2"/>
  <c r="H9" i="2"/>
  <c r="K9" i="2" s="1"/>
  <c r="H15" i="2"/>
  <c r="K15" i="2" s="1"/>
  <c r="H17" i="2"/>
  <c r="I17" i="2" s="1"/>
  <c r="H22" i="2"/>
  <c r="I22" i="2" s="1"/>
  <c r="D6" i="2"/>
  <c r="D21" i="2"/>
  <c r="F12" i="2"/>
  <c r="F7" i="2"/>
  <c r="F20" i="2"/>
  <c r="F15" i="2"/>
  <c r="F16" i="2"/>
  <c r="F9" i="2"/>
  <c r="F11" i="2"/>
  <c r="F22" i="2"/>
  <c r="F8" i="2"/>
  <c r="F17" i="2"/>
  <c r="F18" i="2"/>
  <c r="O7" i="2"/>
  <c r="O13" i="2"/>
  <c r="O19" i="2"/>
  <c r="O9" i="2"/>
  <c r="O10" i="2"/>
  <c r="O16" i="2"/>
  <c r="O22" i="2"/>
  <c r="O5" i="2"/>
  <c r="O11" i="2"/>
  <c r="O17" i="2"/>
  <c r="O23" i="2"/>
  <c r="O8" i="2"/>
  <c r="O14" i="2"/>
  <c r="O20" i="2"/>
  <c r="O4" i="2"/>
  <c r="O15" i="2"/>
  <c r="O21" i="2"/>
  <c r="O6" i="2"/>
  <c r="O12" i="2"/>
  <c r="O18" i="2"/>
  <c r="I19" i="2"/>
  <c r="K19" i="2"/>
  <c r="I13" i="2"/>
  <c r="K13" i="2"/>
  <c r="I5" i="2"/>
  <c r="K5" i="2"/>
  <c r="AA5" i="2" s="1"/>
  <c r="I21" i="2"/>
  <c r="K21" i="2"/>
  <c r="I6" i="2"/>
  <c r="AF6" i="2" s="1"/>
  <c r="K6" i="2"/>
  <c r="K20" i="2"/>
  <c r="I20" i="2"/>
  <c r="I10" i="2"/>
  <c r="K10" i="2"/>
  <c r="I4" i="2"/>
  <c r="K4" i="2"/>
  <c r="AC4" i="2" s="1"/>
  <c r="I23" i="2"/>
  <c r="K23" i="2"/>
  <c r="I14" i="2"/>
  <c r="K14" i="2"/>
  <c r="AB12" i="4" l="1"/>
  <c r="T12" i="4"/>
  <c r="AA13" i="4"/>
  <c r="T13" i="4"/>
  <c r="AB14" i="4"/>
  <c r="T14" i="4"/>
  <c r="AB15" i="4"/>
  <c r="T15" i="4"/>
  <c r="K11" i="2"/>
  <c r="AB13" i="4"/>
  <c r="AG13" i="2"/>
  <c r="AF13" i="2"/>
  <c r="V13" i="2"/>
  <c r="W13" i="2"/>
  <c r="AA40" i="4"/>
  <c r="T40" i="4"/>
  <c r="AY8" i="4"/>
  <c r="AZ8" i="4" s="1"/>
  <c r="L8" i="4"/>
  <c r="R8" i="4" s="1"/>
  <c r="Q8" i="4" s="1"/>
  <c r="AW8" i="4"/>
  <c r="AX8" i="4" s="1"/>
  <c r="AA33" i="4"/>
  <c r="T33" i="4"/>
  <c r="L34" i="4"/>
  <c r="AY34" i="4"/>
  <c r="AZ34" i="4" s="1"/>
  <c r="AW34" i="4"/>
  <c r="AX34" i="4" s="1"/>
  <c r="AA41" i="4"/>
  <c r="T41" i="4"/>
  <c r="AY32" i="4"/>
  <c r="AZ32" i="4" s="1"/>
  <c r="L32" i="4"/>
  <c r="AW32" i="4"/>
  <c r="AX32" i="4" s="1"/>
  <c r="AS11" i="4"/>
  <c r="AO11" i="4"/>
  <c r="J11" i="4"/>
  <c r="AR11" i="4"/>
  <c r="AR18" i="4"/>
  <c r="AO18" i="4"/>
  <c r="AS18" i="4"/>
  <c r="J18" i="4"/>
  <c r="AA28" i="4"/>
  <c r="T28" i="4"/>
  <c r="AS10" i="4"/>
  <c r="J10" i="4"/>
  <c r="AR10" i="4"/>
  <c r="AO10" i="4"/>
  <c r="AA22" i="4"/>
  <c r="T22" i="4"/>
  <c r="L15" i="4"/>
  <c r="AW15" i="4"/>
  <c r="AX15" i="4" s="1"/>
  <c r="AY15" i="4"/>
  <c r="AZ15" i="4" s="1"/>
  <c r="W11" i="2"/>
  <c r="V11" i="2"/>
  <c r="AF11" i="2"/>
  <c r="AG11" i="2"/>
  <c r="V10" i="2"/>
  <c r="AG10" i="2"/>
  <c r="W10" i="2"/>
  <c r="AF10" i="2"/>
  <c r="AG17" i="2"/>
  <c r="AF17" i="2"/>
  <c r="W17" i="2"/>
  <c r="V17" i="2"/>
  <c r="AF16" i="2"/>
  <c r="W16" i="2"/>
  <c r="V16" i="2"/>
  <c r="AG16" i="2"/>
  <c r="AO40" i="4"/>
  <c r="AR40" i="4"/>
  <c r="AS40" i="4"/>
  <c r="J40" i="4"/>
  <c r="AW24" i="4"/>
  <c r="AX24" i="4" s="1"/>
  <c r="L24" i="4"/>
  <c r="AY24" i="4"/>
  <c r="AZ24" i="4" s="1"/>
  <c r="BC8" i="4"/>
  <c r="AO8" i="4"/>
  <c r="BB8" i="4"/>
  <c r="AR8" i="4"/>
  <c r="AS8" i="4"/>
  <c r="J8" i="4"/>
  <c r="AA32" i="4"/>
  <c r="T32" i="4"/>
  <c r="AW14" i="4"/>
  <c r="AX14" i="4" s="1"/>
  <c r="L14" i="4"/>
  <c r="AZ14" i="4"/>
  <c r="AS35" i="4"/>
  <c r="AO35" i="4"/>
  <c r="AR35" i="4"/>
  <c r="J35" i="4"/>
  <c r="J38" i="4"/>
  <c r="AO38" i="4"/>
  <c r="AS38" i="4"/>
  <c r="AR38" i="4"/>
  <c r="J37" i="4"/>
  <c r="AR37" i="4"/>
  <c r="AS37" i="4"/>
  <c r="AO37" i="4"/>
  <c r="AA10" i="4"/>
  <c r="T10" i="4"/>
  <c r="W19" i="2"/>
  <c r="V19" i="2"/>
  <c r="AF19" i="2"/>
  <c r="AG19" i="2"/>
  <c r="V18" i="2"/>
  <c r="AG18" i="2"/>
  <c r="W18" i="2"/>
  <c r="AF18" i="2"/>
  <c r="AY40" i="4"/>
  <c r="AZ40" i="4" s="1"/>
  <c r="AW40" i="4"/>
  <c r="AX40" i="4" s="1"/>
  <c r="L40" i="4"/>
  <c r="AB33" i="4"/>
  <c r="W23" i="2"/>
  <c r="V23" i="2"/>
  <c r="AF23" i="2"/>
  <c r="AG23" i="2"/>
  <c r="AB40" i="4"/>
  <c r="AA24" i="4"/>
  <c r="AC24" i="4" s="1"/>
  <c r="T24" i="4"/>
  <c r="AS31" i="4"/>
  <c r="AR31" i="4"/>
  <c r="AO31" i="4"/>
  <c r="J31" i="4"/>
  <c r="AW27" i="4"/>
  <c r="AX27" i="4" s="1"/>
  <c r="L27" i="4"/>
  <c r="AY27" i="4"/>
  <c r="AZ27" i="4" s="1"/>
  <c r="AA30" i="4"/>
  <c r="AC30" i="4" s="1"/>
  <c r="T30" i="4"/>
  <c r="AS33" i="4"/>
  <c r="AO33" i="4"/>
  <c r="J33" i="4"/>
  <c r="AR33" i="4"/>
  <c r="AA29" i="4"/>
  <c r="AC29" i="4" s="1"/>
  <c r="T29" i="4"/>
  <c r="AO34" i="4"/>
  <c r="AS34" i="4"/>
  <c r="AR34" i="4"/>
  <c r="J34" i="4"/>
  <c r="AO41" i="4"/>
  <c r="AS41" i="4"/>
  <c r="J41" i="4"/>
  <c r="AR41" i="4"/>
  <c r="AB32" i="4"/>
  <c r="J39" i="4"/>
  <c r="AO39" i="4"/>
  <c r="AR39" i="4"/>
  <c r="AS39" i="4"/>
  <c r="AS14" i="4"/>
  <c r="AR14" i="4"/>
  <c r="AO14" i="4"/>
  <c r="J14" i="4"/>
  <c r="AS9" i="4"/>
  <c r="AO9" i="4"/>
  <c r="J9" i="4"/>
  <c r="BB9" i="4"/>
  <c r="AR9" i="4"/>
  <c r="BC9" i="4"/>
  <c r="AW13" i="4"/>
  <c r="AX13" i="4" s="1"/>
  <c r="AY13" i="4"/>
  <c r="AZ13" i="4" s="1"/>
  <c r="L13" i="4"/>
  <c r="AW18" i="4"/>
  <c r="AX18" i="4" s="1"/>
  <c r="L18" i="4"/>
  <c r="AY18" i="4"/>
  <c r="AZ18" i="4" s="1"/>
  <c r="AS28" i="4"/>
  <c r="J28" i="4"/>
  <c r="AR28" i="4"/>
  <c r="AO28" i="4"/>
  <c r="AO12" i="4"/>
  <c r="J12" i="4"/>
  <c r="AS12" i="4"/>
  <c r="AR12" i="4"/>
  <c r="AW35" i="4"/>
  <c r="AX35" i="4" s="1"/>
  <c r="L35" i="4"/>
  <c r="AY35" i="4"/>
  <c r="AZ35" i="4" s="1"/>
  <c r="AR7" i="4"/>
  <c r="BC7" i="4"/>
  <c r="AS7" i="4"/>
  <c r="AO7" i="4"/>
  <c r="J7" i="4"/>
  <c r="BB7" i="4"/>
  <c r="AA38" i="4"/>
  <c r="AC38" i="4" s="1"/>
  <c r="T38" i="4"/>
  <c r="AA37" i="4"/>
  <c r="AC37" i="4" s="1"/>
  <c r="T37" i="4"/>
  <c r="AS5" i="4"/>
  <c r="AO5" i="4"/>
  <c r="AR5" i="4"/>
  <c r="J5" i="4"/>
  <c r="BB5" i="4"/>
  <c r="BC5" i="4"/>
  <c r="AB10" i="4"/>
  <c r="AA36" i="4"/>
  <c r="AC36" i="4" s="1"/>
  <c r="T36" i="4"/>
  <c r="BC4" i="4"/>
  <c r="AS4" i="4"/>
  <c r="AO4" i="4"/>
  <c r="BB4" i="4"/>
  <c r="AR4" i="4"/>
  <c r="J4" i="4"/>
  <c r="AA23" i="4"/>
  <c r="AC23" i="4" s="1"/>
  <c r="T23" i="4"/>
  <c r="AW22" i="4"/>
  <c r="AX22" i="4" s="1"/>
  <c r="AY22" i="4"/>
  <c r="AZ22" i="4" s="1"/>
  <c r="L22" i="4"/>
  <c r="AS25" i="4"/>
  <c r="J25" i="4"/>
  <c r="AO25" i="4"/>
  <c r="AR25" i="4"/>
  <c r="AS26" i="4"/>
  <c r="J26" i="4"/>
  <c r="AO26" i="4"/>
  <c r="AR26" i="4"/>
  <c r="AS16" i="4"/>
  <c r="J16" i="4"/>
  <c r="AR16" i="4"/>
  <c r="AO16" i="4"/>
  <c r="AG21" i="2"/>
  <c r="AF21" i="2"/>
  <c r="V21" i="2"/>
  <c r="W21" i="2"/>
  <c r="V22" i="2"/>
  <c r="AG22" i="2"/>
  <c r="W22" i="2"/>
  <c r="AF22" i="2"/>
  <c r="AS24" i="4"/>
  <c r="J24" i="4"/>
  <c r="AO24" i="4"/>
  <c r="AR24" i="4"/>
  <c r="AW31" i="4"/>
  <c r="AX31" i="4" s="1"/>
  <c r="L31" i="4"/>
  <c r="AY31" i="4"/>
  <c r="AZ31" i="4" s="1"/>
  <c r="J27" i="4"/>
  <c r="AO27" i="4"/>
  <c r="AS27" i="4"/>
  <c r="AR27" i="4"/>
  <c r="AS30" i="4"/>
  <c r="AO30" i="4"/>
  <c r="J30" i="4"/>
  <c r="AR30" i="4"/>
  <c r="L29" i="4"/>
  <c r="AY29" i="4"/>
  <c r="AZ29" i="4" s="1"/>
  <c r="AW29" i="4"/>
  <c r="AX29" i="4" s="1"/>
  <c r="AA12" i="4"/>
  <c r="L6" i="4"/>
  <c r="R6" i="4" s="1"/>
  <c r="Q6" i="4" s="1"/>
  <c r="AW6" i="4"/>
  <c r="AX6" i="4" s="1"/>
  <c r="AY6" i="4"/>
  <c r="AZ6" i="4" s="1"/>
  <c r="AW20" i="4"/>
  <c r="AX20" i="4" s="1"/>
  <c r="L20" i="4"/>
  <c r="AY20" i="4"/>
  <c r="AZ20" i="4" s="1"/>
  <c r="AW4" i="4"/>
  <c r="AX4" i="4" s="1"/>
  <c r="AY4" i="4"/>
  <c r="AZ4" i="4" s="1"/>
  <c r="L4" i="4"/>
  <c r="R4" i="4" s="1"/>
  <c r="Q4" i="4" s="1"/>
  <c r="L19" i="4"/>
  <c r="AY19" i="4"/>
  <c r="AZ19" i="4" s="1"/>
  <c r="AW19" i="4"/>
  <c r="AX19" i="4" s="1"/>
  <c r="AO23" i="4"/>
  <c r="AR23" i="4"/>
  <c r="AS23" i="4"/>
  <c r="J23" i="4"/>
  <c r="AR21" i="4"/>
  <c r="AS21" i="4"/>
  <c r="AO21" i="4"/>
  <c r="J21" i="4"/>
  <c r="AW17" i="4"/>
  <c r="AX17" i="4" s="1"/>
  <c r="L17" i="4"/>
  <c r="AY17" i="4"/>
  <c r="AZ17" i="4" s="1"/>
  <c r="AY16" i="4"/>
  <c r="AZ16" i="4" s="1"/>
  <c r="L16" i="4"/>
  <c r="AW16" i="4"/>
  <c r="AX16" i="4" s="1"/>
  <c r="V14" i="2"/>
  <c r="AG14" i="2"/>
  <c r="W14" i="2"/>
  <c r="AF14" i="2"/>
  <c r="AA31" i="4"/>
  <c r="AC31" i="4" s="1"/>
  <c r="T31" i="4"/>
  <c r="AA27" i="4"/>
  <c r="T27" i="4"/>
  <c r="AY30" i="4"/>
  <c r="AZ30" i="4" s="1"/>
  <c r="L30" i="4"/>
  <c r="AW30" i="4"/>
  <c r="AX30" i="4" s="1"/>
  <c r="AW33" i="4"/>
  <c r="AX33" i="4" s="1"/>
  <c r="AY33" i="4"/>
  <c r="AZ33" i="4" s="1"/>
  <c r="L33" i="4"/>
  <c r="AS29" i="4"/>
  <c r="AR29" i="4"/>
  <c r="J29" i="4"/>
  <c r="AO29" i="4"/>
  <c r="L41" i="4"/>
  <c r="AW41" i="4"/>
  <c r="AX41" i="4" s="1"/>
  <c r="AY41" i="4"/>
  <c r="AZ41" i="4" s="1"/>
  <c r="AA39" i="4"/>
  <c r="AC39" i="4" s="1"/>
  <c r="T39" i="4"/>
  <c r="AW11" i="4"/>
  <c r="AX11" i="4" s="1"/>
  <c r="L11" i="4"/>
  <c r="AY11" i="4"/>
  <c r="AZ11" i="4" s="1"/>
  <c r="AY28" i="4"/>
  <c r="AZ28" i="4" s="1"/>
  <c r="L28" i="4"/>
  <c r="AW28" i="4"/>
  <c r="AX28" i="4" s="1"/>
  <c r="AS6" i="4"/>
  <c r="BB6" i="4"/>
  <c r="J6" i="4"/>
  <c r="AO6" i="4"/>
  <c r="BC6" i="4"/>
  <c r="AR6" i="4"/>
  <c r="AY36" i="4"/>
  <c r="AZ36" i="4" s="1"/>
  <c r="L36" i="4"/>
  <c r="AW36" i="4"/>
  <c r="AX36" i="4" s="1"/>
  <c r="AR20" i="4"/>
  <c r="AO20" i="4"/>
  <c r="AS20" i="4"/>
  <c r="J20" i="4"/>
  <c r="AO19" i="4"/>
  <c r="AR19" i="4"/>
  <c r="AS19" i="4"/>
  <c r="J19" i="4"/>
  <c r="AS22" i="4"/>
  <c r="AR22" i="4"/>
  <c r="J22" i="4"/>
  <c r="AO22" i="4"/>
  <c r="AW25" i="4"/>
  <c r="AX25" i="4" s="1"/>
  <c r="L25" i="4"/>
  <c r="AY25" i="4"/>
  <c r="AZ25" i="4" s="1"/>
  <c r="AA21" i="4"/>
  <c r="AC21" i="4" s="1"/>
  <c r="T21" i="4"/>
  <c r="AA26" i="4"/>
  <c r="AC26" i="4" s="1"/>
  <c r="T26" i="4"/>
  <c r="AO17" i="4"/>
  <c r="AS17" i="4"/>
  <c r="J17" i="4"/>
  <c r="AR17" i="4"/>
  <c r="AR15" i="4"/>
  <c r="AS15" i="4"/>
  <c r="J15" i="4"/>
  <c r="AO15" i="4"/>
  <c r="AF20" i="2"/>
  <c r="W20" i="2"/>
  <c r="AG20" i="2"/>
  <c r="V20" i="2"/>
  <c r="I12" i="2"/>
  <c r="AB27" i="4"/>
  <c r="AA34" i="4"/>
  <c r="AC34" i="4" s="1"/>
  <c r="T34" i="4"/>
  <c r="AB41" i="4"/>
  <c r="J32" i="4"/>
  <c r="AR32" i="4"/>
  <c r="AS32" i="4"/>
  <c r="AO32" i="4"/>
  <c r="AW39" i="4"/>
  <c r="AX39" i="4" s="1"/>
  <c r="L39" i="4"/>
  <c r="AY39" i="4"/>
  <c r="AZ39" i="4" s="1"/>
  <c r="AA14" i="4"/>
  <c r="AY9" i="4"/>
  <c r="AZ9" i="4" s="1"/>
  <c r="AW9" i="4"/>
  <c r="AX9" i="4" s="1"/>
  <c r="L9" i="4"/>
  <c r="R9" i="4" s="1"/>
  <c r="Q9" i="4" s="1"/>
  <c r="AO13" i="4"/>
  <c r="AS13" i="4"/>
  <c r="AR13" i="4"/>
  <c r="J13" i="4"/>
  <c r="AA18" i="4"/>
  <c r="AC18" i="4" s="1"/>
  <c r="T18" i="4"/>
  <c r="AB28" i="4"/>
  <c r="AY12" i="4"/>
  <c r="AZ12" i="4" s="1"/>
  <c r="AW12" i="4"/>
  <c r="AX12" i="4" s="1"/>
  <c r="L12" i="4"/>
  <c r="AA35" i="4"/>
  <c r="AC35" i="4" s="1"/>
  <c r="T35" i="4"/>
  <c r="AW7" i="4"/>
  <c r="AX7" i="4" s="1"/>
  <c r="L7" i="4"/>
  <c r="R7" i="4" s="1"/>
  <c r="Q7" i="4" s="1"/>
  <c r="AY7" i="4"/>
  <c r="AZ7" i="4" s="1"/>
  <c r="L38" i="4"/>
  <c r="AY38" i="4"/>
  <c r="AZ38" i="4" s="1"/>
  <c r="AW38" i="4"/>
  <c r="AX38" i="4" s="1"/>
  <c r="AW37" i="4"/>
  <c r="AX37" i="4" s="1"/>
  <c r="L37" i="4"/>
  <c r="AY37" i="4"/>
  <c r="AZ37" i="4" s="1"/>
  <c r="L5" i="4"/>
  <c r="R5" i="4" s="1"/>
  <c r="Q5" i="4" s="1"/>
  <c r="AW5" i="4"/>
  <c r="AX5" i="4" s="1"/>
  <c r="AY5" i="4"/>
  <c r="AZ5" i="4" s="1"/>
  <c r="AW10" i="4"/>
  <c r="AX10" i="4" s="1"/>
  <c r="L10" i="4"/>
  <c r="AY10" i="4"/>
  <c r="AZ10" i="4" s="1"/>
  <c r="J36" i="4"/>
  <c r="AR36" i="4"/>
  <c r="AS36" i="4"/>
  <c r="AO36" i="4"/>
  <c r="AA20" i="4"/>
  <c r="AC20" i="4" s="1"/>
  <c r="T20" i="4"/>
  <c r="AA19" i="4"/>
  <c r="AC19" i="4" s="1"/>
  <c r="T19" i="4"/>
  <c r="AW23" i="4"/>
  <c r="AX23" i="4" s="1"/>
  <c r="L23" i="4"/>
  <c r="AY23" i="4"/>
  <c r="AZ23" i="4" s="1"/>
  <c r="AB22" i="4"/>
  <c r="AA25" i="4"/>
  <c r="AC25" i="4" s="1"/>
  <c r="T25" i="4"/>
  <c r="AW21" i="4"/>
  <c r="AX21" i="4" s="1"/>
  <c r="AY21" i="4"/>
  <c r="AZ21" i="4" s="1"/>
  <c r="L21" i="4"/>
  <c r="AW26" i="4"/>
  <c r="AX26" i="4" s="1"/>
  <c r="L26" i="4"/>
  <c r="AY26" i="4"/>
  <c r="AZ26" i="4" s="1"/>
  <c r="AA17" i="4"/>
  <c r="AC17" i="4" s="1"/>
  <c r="T17" i="4"/>
  <c r="AA16" i="4"/>
  <c r="AC16" i="4" s="1"/>
  <c r="T16" i="4"/>
  <c r="AA15" i="4"/>
  <c r="BB15" i="4"/>
  <c r="J4" i="2"/>
  <c r="S4" i="2"/>
  <c r="K18" i="2"/>
  <c r="AC18" i="2" s="1"/>
  <c r="AD18" i="2" s="1"/>
  <c r="F10" i="2"/>
  <c r="I8" i="2"/>
  <c r="J8" i="2" s="1"/>
  <c r="K16" i="2"/>
  <c r="AC16" i="2" s="1"/>
  <c r="AD16" i="2" s="1"/>
  <c r="F23" i="2"/>
  <c r="F13" i="2"/>
  <c r="F43" i="2"/>
  <c r="F26" i="2"/>
  <c r="F24" i="2"/>
  <c r="F32" i="2"/>
  <c r="F42" i="2"/>
  <c r="F36" i="2"/>
  <c r="F29" i="2"/>
  <c r="F40" i="2"/>
  <c r="F34" i="2"/>
  <c r="F30" i="2"/>
  <c r="F37" i="2"/>
  <c r="F38" i="2"/>
  <c r="F41" i="2"/>
  <c r="F31" i="2"/>
  <c r="F35" i="2"/>
  <c r="F39" i="2"/>
  <c r="F28" i="2"/>
  <c r="F33" i="2"/>
  <c r="F27" i="2"/>
  <c r="F25" i="2"/>
  <c r="F6" i="2"/>
  <c r="K38" i="2"/>
  <c r="I38" i="2"/>
  <c r="K34" i="2"/>
  <c r="I34" i="2"/>
  <c r="K42" i="2"/>
  <c r="I42" i="2"/>
  <c r="K35" i="2"/>
  <c r="I35" i="2"/>
  <c r="K43" i="2"/>
  <c r="I43" i="2"/>
  <c r="K26" i="2"/>
  <c r="I26" i="2"/>
  <c r="V5" i="2"/>
  <c r="F19" i="2"/>
  <c r="K32" i="2"/>
  <c r="I32" i="2"/>
  <c r="I28" i="2"/>
  <c r="K28" i="2"/>
  <c r="I37" i="2"/>
  <c r="K37" i="2"/>
  <c r="K36" i="2"/>
  <c r="I36" i="2"/>
  <c r="W4" i="2"/>
  <c r="F14" i="2"/>
  <c r="K24" i="2"/>
  <c r="I24" i="2"/>
  <c r="I29" i="2"/>
  <c r="K29" i="2"/>
  <c r="K31" i="2"/>
  <c r="I31" i="2"/>
  <c r="I39" i="2"/>
  <c r="K39" i="2"/>
  <c r="I40" i="2"/>
  <c r="K40" i="2"/>
  <c r="K41" i="2"/>
  <c r="I41" i="2"/>
  <c r="I33" i="2"/>
  <c r="K33" i="2"/>
  <c r="K27" i="2"/>
  <c r="I27" i="2"/>
  <c r="K30" i="2"/>
  <c r="I30" i="2"/>
  <c r="I25" i="2"/>
  <c r="K25" i="2"/>
  <c r="I9" i="2"/>
  <c r="V9" i="2" s="1"/>
  <c r="I15" i="2"/>
  <c r="I7" i="2"/>
  <c r="V7" i="2" s="1"/>
  <c r="K17" i="2"/>
  <c r="AA17" i="2" s="1"/>
  <c r="AB17" i="2" s="1"/>
  <c r="K22" i="2"/>
  <c r="L22" i="2" s="1"/>
  <c r="W5" i="2"/>
  <c r="V4" i="2"/>
  <c r="V6" i="2"/>
  <c r="W6" i="2"/>
  <c r="L4" i="2"/>
  <c r="R4" i="2" s="1"/>
  <c r="AA4" i="2"/>
  <c r="AB4" i="2" s="1"/>
  <c r="AD4" i="2"/>
  <c r="L13" i="2"/>
  <c r="R13" i="2" s="1"/>
  <c r="AC13" i="2"/>
  <c r="AD13" i="2" s="1"/>
  <c r="AA13" i="2"/>
  <c r="AB13" i="2" s="1"/>
  <c r="L15" i="2"/>
  <c r="R15" i="2" s="1"/>
  <c r="AA15" i="2"/>
  <c r="AB15" i="2" s="1"/>
  <c r="AC15" i="2"/>
  <c r="AD15" i="2" s="1"/>
  <c r="L7" i="2"/>
  <c r="R7" i="2" s="1"/>
  <c r="AA7" i="2"/>
  <c r="AB7" i="2" s="1"/>
  <c r="AC7" i="2"/>
  <c r="AD7" i="2" s="1"/>
  <c r="L9" i="2"/>
  <c r="R9" i="2" s="1"/>
  <c r="AA9" i="2"/>
  <c r="AB9" i="2" s="1"/>
  <c r="AC9" i="2"/>
  <c r="AD9" i="2" s="1"/>
  <c r="L5" i="2"/>
  <c r="R5" i="2" s="1"/>
  <c r="AB5" i="2"/>
  <c r="AC5" i="2"/>
  <c r="AD5" i="2" s="1"/>
  <c r="L14" i="2"/>
  <c r="R14" i="2" s="1"/>
  <c r="AC14" i="2"/>
  <c r="AD14" i="2" s="1"/>
  <c r="AA14" i="2"/>
  <c r="AB14" i="2" s="1"/>
  <c r="L6" i="2"/>
  <c r="R6" i="2" s="1"/>
  <c r="AA6" i="2"/>
  <c r="AB6" i="2" s="1"/>
  <c r="AC6" i="2"/>
  <c r="AD6" i="2" s="1"/>
  <c r="L12" i="2"/>
  <c r="R12" i="2" s="1"/>
  <c r="AA12" i="2"/>
  <c r="AB12" i="2" s="1"/>
  <c r="AC12" i="2"/>
  <c r="AD12" i="2" s="1"/>
  <c r="L23" i="2"/>
  <c r="R23" i="2" s="1"/>
  <c r="AA23" i="2"/>
  <c r="AB23" i="2" s="1"/>
  <c r="AC23" i="2"/>
  <c r="AD23" i="2" s="1"/>
  <c r="L21" i="2"/>
  <c r="R21" i="2" s="1"/>
  <c r="AC21" i="2"/>
  <c r="AD21" i="2" s="1"/>
  <c r="AA21" i="2"/>
  <c r="AB21" i="2" s="1"/>
  <c r="L19" i="2"/>
  <c r="R19" i="2" s="1"/>
  <c r="AC19" i="2"/>
  <c r="AD19" i="2" s="1"/>
  <c r="AA19" i="2"/>
  <c r="AB19" i="2" s="1"/>
  <c r="L20" i="2"/>
  <c r="R20" i="2" s="1"/>
  <c r="AA20" i="2"/>
  <c r="AB20" i="2" s="1"/>
  <c r="AC20" i="2"/>
  <c r="AD20" i="2" s="1"/>
  <c r="L11" i="2"/>
  <c r="R11" i="2" s="1"/>
  <c r="AA11" i="2"/>
  <c r="AB11" i="2" s="1"/>
  <c r="AC11" i="2"/>
  <c r="AD11" i="2" s="1"/>
  <c r="L10" i="2"/>
  <c r="R10" i="2" s="1"/>
  <c r="AA10" i="2"/>
  <c r="AB10" i="2" s="1"/>
  <c r="AC10" i="2"/>
  <c r="AD10" i="2" s="1"/>
  <c r="L8" i="2"/>
  <c r="R8" i="2" s="1"/>
  <c r="AC8" i="2"/>
  <c r="AD8" i="2" s="1"/>
  <c r="AA8" i="2"/>
  <c r="AB8" i="2" s="1"/>
  <c r="J14" i="2"/>
  <c r="S14" i="2"/>
  <c r="J11" i="2"/>
  <c r="S11" i="2"/>
  <c r="J10" i="2"/>
  <c r="J6" i="2"/>
  <c r="S6" i="2"/>
  <c r="J18" i="2"/>
  <c r="S18" i="2"/>
  <c r="J23" i="2"/>
  <c r="S23" i="2"/>
  <c r="J16" i="2"/>
  <c r="S16" i="2"/>
  <c r="J21" i="2"/>
  <c r="S21" i="2"/>
  <c r="J13" i="2"/>
  <c r="J19" i="2"/>
  <c r="S19" i="2"/>
  <c r="J20" i="2"/>
  <c r="S20" i="2"/>
  <c r="J22" i="2"/>
  <c r="S22" i="2"/>
  <c r="J17" i="2"/>
  <c r="S17" i="2"/>
  <c r="J5" i="2"/>
  <c r="S5" i="2"/>
  <c r="AC12" i="4" l="1"/>
  <c r="AC13" i="4"/>
  <c r="AE13" i="4" s="1"/>
  <c r="AF13" i="4" s="1"/>
  <c r="BC13" i="4"/>
  <c r="BB13" i="4"/>
  <c r="AC14" i="4"/>
  <c r="AC15" i="4"/>
  <c r="AD15" i="4" s="1"/>
  <c r="BC15" i="4"/>
  <c r="AC40" i="4"/>
  <c r="AD40" i="4" s="1"/>
  <c r="BA15" i="4"/>
  <c r="BA41" i="4"/>
  <c r="BA33" i="4"/>
  <c r="BA13" i="4"/>
  <c r="BA36" i="4"/>
  <c r="BA11" i="4"/>
  <c r="BA16" i="4"/>
  <c r="BA4" i="4"/>
  <c r="BF4" i="4" s="1"/>
  <c r="AC32" i="4"/>
  <c r="AE32" i="4" s="1"/>
  <c r="AD13" i="4"/>
  <c r="AC10" i="4"/>
  <c r="BA25" i="4"/>
  <c r="L16" i="2"/>
  <c r="R16" i="2" s="1"/>
  <c r="Q16" i="2" s="1"/>
  <c r="BA30" i="4"/>
  <c r="BA17" i="4"/>
  <c r="BA37" i="4"/>
  <c r="BA8" i="4"/>
  <c r="BD8" i="4" s="1"/>
  <c r="BA29" i="4"/>
  <c r="S8" i="2"/>
  <c r="V8" i="2"/>
  <c r="BA5" i="4"/>
  <c r="BE5" i="4" s="1"/>
  <c r="AC33" i="4"/>
  <c r="AE33" i="4" s="1"/>
  <c r="BA24" i="4"/>
  <c r="BA32" i="4"/>
  <c r="BA34" i="4"/>
  <c r="W8" i="2"/>
  <c r="AC22" i="4"/>
  <c r="AE22" i="4" s="1"/>
  <c r="AC41" i="4"/>
  <c r="AE41" i="4" s="1"/>
  <c r="BA14" i="4"/>
  <c r="AE14" i="4"/>
  <c r="AD14" i="4"/>
  <c r="AD37" i="4"/>
  <c r="AE37" i="4"/>
  <c r="AE16" i="4"/>
  <c r="AD16" i="4"/>
  <c r="AD19" i="4"/>
  <c r="AE19" i="4"/>
  <c r="AE21" i="4"/>
  <c r="AD21" i="4"/>
  <c r="AE39" i="4"/>
  <c r="AD39" i="4"/>
  <c r="AE31" i="4"/>
  <c r="AD31" i="4"/>
  <c r="AE38" i="4"/>
  <c r="AD38" i="4"/>
  <c r="AD29" i="4"/>
  <c r="AE29" i="4"/>
  <c r="AD35" i="4"/>
  <c r="AE35" i="4"/>
  <c r="AE34" i="4"/>
  <c r="AD34" i="4"/>
  <c r="AD17" i="4"/>
  <c r="AE17" i="4"/>
  <c r="AD20" i="4"/>
  <c r="AE20" i="4"/>
  <c r="AE26" i="4"/>
  <c r="AD26" i="4"/>
  <c r="AD12" i="4"/>
  <c r="AE12" i="4"/>
  <c r="S12" i="4" s="1"/>
  <c r="AE23" i="4"/>
  <c r="AD23" i="4"/>
  <c r="AE36" i="4"/>
  <c r="AD36" i="4"/>
  <c r="V30" i="2"/>
  <c r="AG30" i="2"/>
  <c r="W30" i="2"/>
  <c r="AF30" i="2"/>
  <c r="AF24" i="2"/>
  <c r="W24" i="2"/>
  <c r="AG24" i="2"/>
  <c r="V24" i="2"/>
  <c r="V38" i="2"/>
  <c r="AG38" i="2"/>
  <c r="W38" i="2"/>
  <c r="AF38" i="2"/>
  <c r="BC25" i="4"/>
  <c r="BB25" i="4"/>
  <c r="R23" i="4"/>
  <c r="Q23" i="4" s="1"/>
  <c r="W23" i="4"/>
  <c r="BC20" i="4"/>
  <c r="BB20" i="4"/>
  <c r="BC18" i="4"/>
  <c r="BB18" i="4"/>
  <c r="R39" i="4"/>
  <c r="Q39" i="4" s="1"/>
  <c r="W39" i="4"/>
  <c r="AF12" i="2"/>
  <c r="W12" i="2"/>
  <c r="AG12" i="2"/>
  <c r="V12" i="2"/>
  <c r="R33" i="4"/>
  <c r="Q33" i="4" s="1"/>
  <c r="W33" i="4"/>
  <c r="BB31" i="4"/>
  <c r="BC31" i="4"/>
  <c r="AE25" i="4"/>
  <c r="AD25" i="4"/>
  <c r="W20" i="4"/>
  <c r="R20" i="4"/>
  <c r="Q20" i="4" s="1"/>
  <c r="AU4" i="4"/>
  <c r="AT4" i="4"/>
  <c r="AV4" i="4"/>
  <c r="BC36" i="4"/>
  <c r="BB36" i="4"/>
  <c r="AU5" i="4"/>
  <c r="AT5" i="4"/>
  <c r="BF5" i="4"/>
  <c r="AV5" i="4"/>
  <c r="W35" i="4"/>
  <c r="R35" i="4"/>
  <c r="Q35" i="4" s="1"/>
  <c r="W40" i="4"/>
  <c r="R40" i="4"/>
  <c r="Q40" i="4" s="1"/>
  <c r="BB10" i="4"/>
  <c r="BC10" i="4"/>
  <c r="BC28" i="4"/>
  <c r="BB28" i="4"/>
  <c r="R37" i="4"/>
  <c r="Q37" i="4" s="1"/>
  <c r="W37" i="4"/>
  <c r="R38" i="4"/>
  <c r="Q38" i="4" s="1"/>
  <c r="W38" i="4"/>
  <c r="BB35" i="4"/>
  <c r="BC35" i="4"/>
  <c r="AD18" i="4"/>
  <c r="AE18" i="4"/>
  <c r="BC14" i="4"/>
  <c r="BB14" i="4"/>
  <c r="BC26" i="4"/>
  <c r="BB26" i="4"/>
  <c r="W36" i="4"/>
  <c r="R36" i="4"/>
  <c r="Q36" i="4" s="1"/>
  <c r="R11" i="4"/>
  <c r="Q11" i="4" s="1"/>
  <c r="W11" i="4"/>
  <c r="W29" i="4"/>
  <c r="R29" i="4"/>
  <c r="Q29" i="4" s="1"/>
  <c r="W22" i="4"/>
  <c r="R22" i="4"/>
  <c r="Q22" i="4" s="1"/>
  <c r="BC37" i="4"/>
  <c r="BB37" i="4"/>
  <c r="AT7" i="4"/>
  <c r="AU7" i="4"/>
  <c r="BF7" i="4"/>
  <c r="AV7" i="4"/>
  <c r="BB30" i="4"/>
  <c r="BC30" i="4"/>
  <c r="R14" i="4"/>
  <c r="Q14" i="4" s="1"/>
  <c r="W14" i="4"/>
  <c r="AT8" i="4"/>
  <c r="AU8" i="4"/>
  <c r="BF8" i="4"/>
  <c r="AV8" i="4"/>
  <c r="W24" i="4"/>
  <c r="W44" i="4" s="1"/>
  <c r="R24" i="4"/>
  <c r="Q24" i="4" s="1"/>
  <c r="W15" i="4"/>
  <c r="R15" i="4"/>
  <c r="Q15" i="4" s="1"/>
  <c r="BC41" i="4"/>
  <c r="BB41" i="4"/>
  <c r="W34" i="4"/>
  <c r="R34" i="4"/>
  <c r="Q34" i="4" s="1"/>
  <c r="J12" i="2"/>
  <c r="L18" i="2"/>
  <c r="R18" i="2" s="1"/>
  <c r="Q18" i="2" s="1"/>
  <c r="W27" i="2"/>
  <c r="V27" i="2"/>
  <c r="AF27" i="2"/>
  <c r="AG27" i="2"/>
  <c r="AG41" i="2"/>
  <c r="AF41" i="2"/>
  <c r="V41" i="2"/>
  <c r="W41" i="2"/>
  <c r="AF32" i="2"/>
  <c r="W32" i="2"/>
  <c r="V32" i="2"/>
  <c r="AG32" i="2"/>
  <c r="V26" i="2"/>
  <c r="AG26" i="2"/>
  <c r="W26" i="2"/>
  <c r="AF26" i="2"/>
  <c r="W35" i="2"/>
  <c r="V35" i="2"/>
  <c r="AF35" i="2"/>
  <c r="AG35" i="2"/>
  <c r="V34" i="2"/>
  <c r="AG34" i="2"/>
  <c r="W34" i="2"/>
  <c r="AF34" i="2"/>
  <c r="BA26" i="4"/>
  <c r="BA21" i="4"/>
  <c r="BB19" i="4"/>
  <c r="BC19" i="4"/>
  <c r="BA10" i="4"/>
  <c r="BA7" i="4"/>
  <c r="AC28" i="4"/>
  <c r="AC27" i="4"/>
  <c r="R25" i="4"/>
  <c r="Q25" i="4" s="1"/>
  <c r="W25" i="4"/>
  <c r="R28" i="4"/>
  <c r="Q28" i="4" s="1"/>
  <c r="BB27" i="4"/>
  <c r="BC27" i="4"/>
  <c r="W17" i="4"/>
  <c r="R17" i="4"/>
  <c r="Q17" i="4" s="1"/>
  <c r="BA19" i="4"/>
  <c r="BA31" i="4"/>
  <c r="BA22" i="4"/>
  <c r="BA18" i="4"/>
  <c r="AT9" i="4"/>
  <c r="BC24" i="4"/>
  <c r="BB24" i="4"/>
  <c r="BA40" i="4"/>
  <c r="BC33" i="4"/>
  <c r="BB33" i="4"/>
  <c r="BE8" i="4"/>
  <c r="W15" i="2"/>
  <c r="V15" i="2"/>
  <c r="AG15" i="2"/>
  <c r="AF15" i="2"/>
  <c r="W31" i="2"/>
  <c r="V31" i="2"/>
  <c r="AG31" i="2"/>
  <c r="AF31" i="2"/>
  <c r="AF36" i="2"/>
  <c r="W36" i="2"/>
  <c r="S36" i="2"/>
  <c r="AG36" i="2"/>
  <c r="V36" i="2"/>
  <c r="V42" i="2"/>
  <c r="AG42" i="2"/>
  <c r="W42" i="2"/>
  <c r="AF42" i="2"/>
  <c r="R30" i="4"/>
  <c r="Q30" i="4" s="1"/>
  <c r="W30" i="4"/>
  <c r="BB23" i="4"/>
  <c r="BC23" i="4"/>
  <c r="AU9" i="4"/>
  <c r="AV9" i="4"/>
  <c r="BF9" i="4"/>
  <c r="S12" i="2"/>
  <c r="AA18" i="2"/>
  <c r="AB18" i="2" s="1"/>
  <c r="AE18" i="2" s="1"/>
  <c r="AG33" i="2"/>
  <c r="AF33" i="2"/>
  <c r="W33" i="2"/>
  <c r="V33" i="2"/>
  <c r="AF40" i="2"/>
  <c r="W40" i="2"/>
  <c r="AG40" i="2"/>
  <c r="V40" i="2"/>
  <c r="AF28" i="2"/>
  <c r="W28" i="2"/>
  <c r="AG28" i="2"/>
  <c r="V28" i="2"/>
  <c r="BC16" i="4"/>
  <c r="BB16" i="4"/>
  <c r="W21" i="4"/>
  <c r="R21" i="4"/>
  <c r="Q21" i="4" s="1"/>
  <c r="BA12" i="4"/>
  <c r="AG25" i="2"/>
  <c r="AF25" i="2"/>
  <c r="W25" i="2"/>
  <c r="V25" i="2"/>
  <c r="W39" i="2"/>
  <c r="V39" i="2"/>
  <c r="AG39" i="2"/>
  <c r="AF39" i="2"/>
  <c r="AG29" i="2"/>
  <c r="AF29" i="2"/>
  <c r="V29" i="2"/>
  <c r="W29" i="2"/>
  <c r="AG37" i="2"/>
  <c r="AF37" i="2"/>
  <c r="V37" i="2"/>
  <c r="W37" i="2"/>
  <c r="BC17" i="4"/>
  <c r="BB17" i="4"/>
  <c r="R26" i="4"/>
  <c r="Q26" i="4" s="1"/>
  <c r="W26" i="4"/>
  <c r="BA23" i="4"/>
  <c r="R10" i="4"/>
  <c r="Q10" i="4" s="1"/>
  <c r="W10" i="4"/>
  <c r="W8" i="4" s="1"/>
  <c r="BA38" i="4"/>
  <c r="R12" i="4"/>
  <c r="Q12" i="4" s="1"/>
  <c r="W12" i="4"/>
  <c r="BA9" i="4"/>
  <c r="BA39" i="4"/>
  <c r="BB34" i="4"/>
  <c r="BC34" i="4"/>
  <c r="AD24" i="4"/>
  <c r="AE24" i="4"/>
  <c r="BC21" i="4"/>
  <c r="BB21" i="4"/>
  <c r="AU6" i="4"/>
  <c r="AT6" i="4"/>
  <c r="AV6" i="4"/>
  <c r="BF6" i="4"/>
  <c r="BA28" i="4"/>
  <c r="BB39" i="4"/>
  <c r="BC39" i="4"/>
  <c r="W41" i="4"/>
  <c r="R41" i="4"/>
  <c r="Q41" i="4" s="1"/>
  <c r="W16" i="4"/>
  <c r="R16" i="4"/>
  <c r="Q16" i="4" s="1"/>
  <c r="W19" i="4"/>
  <c r="R19" i="4"/>
  <c r="Q19" i="4" s="1"/>
  <c r="BA20" i="4"/>
  <c r="BA6" i="4"/>
  <c r="BC12" i="4"/>
  <c r="BB12" i="4"/>
  <c r="R31" i="4"/>
  <c r="Q31" i="4" s="1"/>
  <c r="W31" i="4"/>
  <c r="BC38" i="4"/>
  <c r="BB38" i="4"/>
  <c r="BA35" i="4"/>
  <c r="R18" i="4"/>
  <c r="Q18" i="4" s="1"/>
  <c r="W18" i="4"/>
  <c r="R13" i="4"/>
  <c r="Q13" i="4" s="1"/>
  <c r="W13" i="4"/>
  <c r="BC29" i="4"/>
  <c r="BB29" i="4"/>
  <c r="BA27" i="4"/>
  <c r="AE30" i="4"/>
  <c r="AD30" i="4"/>
  <c r="BC32" i="4"/>
  <c r="BB32" i="4"/>
  <c r="BC22" i="4"/>
  <c r="BB22" i="4"/>
  <c r="R32" i="4"/>
  <c r="Q32" i="4" s="1"/>
  <c r="W32" i="4"/>
  <c r="BC40" i="4"/>
  <c r="BB40" i="4"/>
  <c r="S10" i="2"/>
  <c r="AA16" i="2"/>
  <c r="AB16" i="2" s="1"/>
  <c r="AE16" i="2" s="1"/>
  <c r="R22" i="2"/>
  <c r="Q22" i="2" s="1"/>
  <c r="S9" i="2"/>
  <c r="J15" i="2"/>
  <c r="J9" i="2"/>
  <c r="S15" i="2"/>
  <c r="S13" i="2"/>
  <c r="W9" i="2"/>
  <c r="J31" i="2"/>
  <c r="S31" i="2"/>
  <c r="L29" i="2"/>
  <c r="AA29" i="2"/>
  <c r="AB29" i="2" s="1"/>
  <c r="AC29" i="2"/>
  <c r="AD29" i="2" s="1"/>
  <c r="S24" i="2"/>
  <c r="J24" i="2"/>
  <c r="J36" i="2"/>
  <c r="L37" i="2"/>
  <c r="AA37" i="2"/>
  <c r="AB37" i="2" s="1"/>
  <c r="AC37" i="2"/>
  <c r="AD37" i="2" s="1"/>
  <c r="L28" i="2"/>
  <c r="AA28" i="2"/>
  <c r="AB28" i="2" s="1"/>
  <c r="AC28" i="2"/>
  <c r="AD28" i="2" s="1"/>
  <c r="S32" i="2"/>
  <c r="J32" i="2"/>
  <c r="S26" i="2"/>
  <c r="J26" i="2"/>
  <c r="V43" i="2"/>
  <c r="S43" i="2"/>
  <c r="W43" i="2"/>
  <c r="J43" i="2"/>
  <c r="AG43" i="2"/>
  <c r="AF43" i="2"/>
  <c r="S35" i="2"/>
  <c r="J35" i="2"/>
  <c r="S42" i="2"/>
  <c r="J42" i="2"/>
  <c r="S34" i="2"/>
  <c r="J34" i="2"/>
  <c r="S38" i="2"/>
  <c r="J38" i="2"/>
  <c r="F21" i="2"/>
  <c r="L31" i="2"/>
  <c r="AA31" i="2"/>
  <c r="AB31" i="2" s="1"/>
  <c r="AC31" i="2"/>
  <c r="AD31" i="2" s="1"/>
  <c r="J29" i="2"/>
  <c r="S29" i="2"/>
  <c r="AA24" i="2"/>
  <c r="AB24" i="2" s="1"/>
  <c r="L24" i="2"/>
  <c r="AC24" i="2"/>
  <c r="AD24" i="2" s="1"/>
  <c r="F4" i="2"/>
  <c r="L36" i="2"/>
  <c r="AC36" i="2"/>
  <c r="AD36" i="2" s="1"/>
  <c r="AA36" i="2"/>
  <c r="AB36" i="2" s="1"/>
  <c r="J37" i="2"/>
  <c r="S37" i="2"/>
  <c r="J28" i="2"/>
  <c r="S28" i="2"/>
  <c r="AA32" i="2"/>
  <c r="AB32" i="2" s="1"/>
  <c r="L32" i="2"/>
  <c r="AC32" i="2"/>
  <c r="AD32" i="2" s="1"/>
  <c r="F5" i="2"/>
  <c r="AA26" i="2"/>
  <c r="AB26" i="2" s="1"/>
  <c r="L26" i="2"/>
  <c r="AC26" i="2"/>
  <c r="AD26" i="2" s="1"/>
  <c r="L43" i="2"/>
  <c r="AC43" i="2"/>
  <c r="AD43" i="2" s="1"/>
  <c r="AA43" i="2"/>
  <c r="AB43" i="2" s="1"/>
  <c r="L35" i="2"/>
  <c r="AA35" i="2"/>
  <c r="AB35" i="2" s="1"/>
  <c r="AC35" i="2"/>
  <c r="AD35" i="2" s="1"/>
  <c r="L42" i="2"/>
  <c r="AC42" i="2"/>
  <c r="AD42" i="2" s="1"/>
  <c r="AA42" i="2"/>
  <c r="AB42" i="2" s="1"/>
  <c r="AA34" i="2"/>
  <c r="AB34" i="2" s="1"/>
  <c r="L34" i="2"/>
  <c r="AC34" i="2"/>
  <c r="AD34" i="2" s="1"/>
  <c r="L38" i="2"/>
  <c r="AC38" i="2"/>
  <c r="AD38" i="2" s="1"/>
  <c r="AA38" i="2"/>
  <c r="AB38" i="2" s="1"/>
  <c r="L25" i="2"/>
  <c r="AC25" i="2"/>
  <c r="AD25" i="2" s="1"/>
  <c r="AA25" i="2"/>
  <c r="AB25" i="2" s="1"/>
  <c r="S30" i="2"/>
  <c r="J30" i="2"/>
  <c r="J27" i="2"/>
  <c r="S27" i="2"/>
  <c r="L33" i="2"/>
  <c r="AC33" i="2"/>
  <c r="AD33" i="2" s="1"/>
  <c r="AA33" i="2"/>
  <c r="AB33" i="2" s="1"/>
  <c r="J41" i="2"/>
  <c r="S41" i="2"/>
  <c r="L40" i="2"/>
  <c r="AA40" i="2"/>
  <c r="AB40" i="2" s="1"/>
  <c r="AC40" i="2"/>
  <c r="AD40" i="2" s="1"/>
  <c r="L39" i="2"/>
  <c r="AC39" i="2"/>
  <c r="AD39" i="2" s="1"/>
  <c r="AA39" i="2"/>
  <c r="AB39" i="2" s="1"/>
  <c r="J25" i="2"/>
  <c r="S25" i="2"/>
  <c r="AA30" i="2"/>
  <c r="AB30" i="2" s="1"/>
  <c r="L30" i="2"/>
  <c r="AC30" i="2"/>
  <c r="AD30" i="2" s="1"/>
  <c r="L27" i="2"/>
  <c r="AA27" i="2"/>
  <c r="AB27" i="2" s="1"/>
  <c r="AC27" i="2"/>
  <c r="AD27" i="2" s="1"/>
  <c r="J33" i="2"/>
  <c r="S33" i="2"/>
  <c r="L41" i="2"/>
  <c r="AA41" i="2"/>
  <c r="AB41" i="2" s="1"/>
  <c r="AC41" i="2"/>
  <c r="AD41" i="2" s="1"/>
  <c r="J40" i="2"/>
  <c r="S40" i="2"/>
  <c r="J39" i="2"/>
  <c r="S39" i="2"/>
  <c r="S7" i="2"/>
  <c r="W7" i="2"/>
  <c r="J7" i="2"/>
  <c r="AA22" i="2"/>
  <c r="AB22" i="2" s="1"/>
  <c r="AC17" i="2"/>
  <c r="AD17" i="2" s="1"/>
  <c r="AE17" i="2" s="1"/>
  <c r="AC22" i="2"/>
  <c r="AD22" i="2" s="1"/>
  <c r="L17" i="2"/>
  <c r="Q6" i="2"/>
  <c r="AG9" i="2"/>
  <c r="Q4" i="2"/>
  <c r="Q10" i="2"/>
  <c r="Q23" i="2"/>
  <c r="Q12" i="2"/>
  <c r="Q14" i="2"/>
  <c r="AG6" i="2"/>
  <c r="Q15" i="2"/>
  <c r="Q9" i="2"/>
  <c r="Q20" i="2"/>
  <c r="Q7" i="2"/>
  <c r="AE8" i="2"/>
  <c r="AE21" i="2"/>
  <c r="AE13" i="2"/>
  <c r="AE10" i="2"/>
  <c r="AE20" i="2"/>
  <c r="AE23" i="2"/>
  <c r="AE12" i="2"/>
  <c r="Q5" i="2"/>
  <c r="AE11" i="2"/>
  <c r="AE6" i="2"/>
  <c r="AE5" i="2"/>
  <c r="AE9" i="2"/>
  <c r="AE15" i="2"/>
  <c r="AE7" i="2"/>
  <c r="AE14" i="2"/>
  <c r="AE19" i="2"/>
  <c r="Q11" i="2"/>
  <c r="Q8" i="2"/>
  <c r="AE4" i="2"/>
  <c r="Q13" i="2"/>
  <c r="Q21" i="2"/>
  <c r="Q19" i="2"/>
  <c r="S13" i="4" l="1"/>
  <c r="AE15" i="4"/>
  <c r="BD13" i="4"/>
  <c r="BE13" i="4"/>
  <c r="AT13" i="4"/>
  <c r="AU13" i="4"/>
  <c r="AV13" i="4"/>
  <c r="BD5" i="4"/>
  <c r="AE40" i="4"/>
  <c r="S40" i="4" s="1"/>
  <c r="AD32" i="4"/>
  <c r="AD33" i="4"/>
  <c r="BE4" i="4"/>
  <c r="BD4" i="4"/>
  <c r="BE33" i="4"/>
  <c r="AD22" i="4"/>
  <c r="BD25" i="4"/>
  <c r="BE16" i="4"/>
  <c r="BD37" i="4"/>
  <c r="BE15" i="4"/>
  <c r="AD41" i="4"/>
  <c r="BE37" i="4"/>
  <c r="BD24" i="4"/>
  <c r="BD17" i="4"/>
  <c r="BE41" i="4"/>
  <c r="BD30" i="4"/>
  <c r="BE34" i="4"/>
  <c r="BD15" i="4"/>
  <c r="BE30" i="4"/>
  <c r="BD32" i="4"/>
  <c r="BE14" i="4"/>
  <c r="BE31" i="4"/>
  <c r="BD31" i="4"/>
  <c r="BD21" i="4"/>
  <c r="BE21" i="4"/>
  <c r="AU12" i="4"/>
  <c r="AT12" i="4"/>
  <c r="AV12" i="4"/>
  <c r="BD28" i="4"/>
  <c r="BE28" i="4"/>
  <c r="BD9" i="4"/>
  <c r="BE9" i="4"/>
  <c r="AU15" i="4"/>
  <c r="AT15" i="4"/>
  <c r="AV15" i="4"/>
  <c r="AU16" i="4"/>
  <c r="AT16" i="4"/>
  <c r="AV16" i="4"/>
  <c r="AF40" i="4"/>
  <c r="AU33" i="4"/>
  <c r="AT33" i="4"/>
  <c r="AV33" i="4"/>
  <c r="BD40" i="4"/>
  <c r="BE40" i="4"/>
  <c r="BE18" i="4"/>
  <c r="BD18" i="4"/>
  <c r="BD19" i="4"/>
  <c r="BE19" i="4"/>
  <c r="AD28" i="4"/>
  <c r="AE28" i="4"/>
  <c r="AF28" i="4" s="1"/>
  <c r="AU19" i="4"/>
  <c r="AT19" i="4"/>
  <c r="AV19" i="4"/>
  <c r="BE26" i="4"/>
  <c r="BD26" i="4"/>
  <c r="AU26" i="4"/>
  <c r="AT26" i="4"/>
  <c r="AV26" i="4"/>
  <c r="S18" i="4"/>
  <c r="AF18" i="4"/>
  <c r="AU36" i="4"/>
  <c r="AT36" i="4"/>
  <c r="AV36" i="4"/>
  <c r="BD16" i="4"/>
  <c r="S36" i="4"/>
  <c r="AF36" i="4"/>
  <c r="S15" i="4"/>
  <c r="AF15" i="4"/>
  <c r="S38" i="4"/>
  <c r="AF38" i="4"/>
  <c r="S39" i="4"/>
  <c r="AF39" i="4"/>
  <c r="AU29" i="4"/>
  <c r="AT29" i="4"/>
  <c r="AV29" i="4"/>
  <c r="AT39" i="4"/>
  <c r="AU39" i="4"/>
  <c r="AV39" i="4"/>
  <c r="S24" i="4"/>
  <c r="AF24" i="4"/>
  <c r="BE38" i="4"/>
  <c r="BD38" i="4"/>
  <c r="AT24" i="4"/>
  <c r="AU24" i="4"/>
  <c r="AV24" i="4"/>
  <c r="AT37" i="4"/>
  <c r="AU37" i="4"/>
  <c r="AV37" i="4"/>
  <c r="AT35" i="4"/>
  <c r="AU35" i="4"/>
  <c r="AV35" i="4"/>
  <c r="AU20" i="4"/>
  <c r="AT20" i="4"/>
  <c r="AV20" i="4"/>
  <c r="AF12" i="4"/>
  <c r="S37" i="4"/>
  <c r="AF37" i="4"/>
  <c r="AT40" i="4"/>
  <c r="AU40" i="4"/>
  <c r="AV40" i="4"/>
  <c r="AT22" i="4"/>
  <c r="AU22" i="4"/>
  <c r="AV22" i="4"/>
  <c r="AU32" i="4"/>
  <c r="AT32" i="4"/>
  <c r="AV32" i="4"/>
  <c r="S30" i="4"/>
  <c r="AF30" i="4"/>
  <c r="BD35" i="4"/>
  <c r="BE35" i="4"/>
  <c r="AT21" i="4"/>
  <c r="AU21" i="4"/>
  <c r="AV21" i="4"/>
  <c r="AT17" i="4"/>
  <c r="AU17" i="4"/>
  <c r="AV17" i="4"/>
  <c r="BD12" i="4"/>
  <c r="BE12" i="4"/>
  <c r="AF32" i="4"/>
  <c r="S32" i="4"/>
  <c r="AE10" i="4"/>
  <c r="AD10" i="4"/>
  <c r="AE27" i="4"/>
  <c r="AD27" i="4"/>
  <c r="BE7" i="4"/>
  <c r="BD7" i="4"/>
  <c r="AT41" i="4"/>
  <c r="AU41" i="4"/>
  <c r="AV41" i="4"/>
  <c r="BD41" i="4"/>
  <c r="BE32" i="4"/>
  <c r="BE24" i="4"/>
  <c r="AT10" i="4"/>
  <c r="AU10" i="4"/>
  <c r="AV10" i="4"/>
  <c r="BE29" i="4"/>
  <c r="BE36" i="4"/>
  <c r="AT18" i="4"/>
  <c r="AU18" i="4"/>
  <c r="AV18" i="4"/>
  <c r="S17" i="4"/>
  <c r="AF17" i="4"/>
  <c r="AF29" i="4"/>
  <c r="S29" i="4"/>
  <c r="BD20" i="4"/>
  <c r="BE20" i="4"/>
  <c r="BE39" i="4"/>
  <c r="BD39" i="4"/>
  <c r="AF41" i="4"/>
  <c r="S41" i="4"/>
  <c r="AT25" i="4"/>
  <c r="AU25" i="4"/>
  <c r="AV25" i="4"/>
  <c r="S20" i="4"/>
  <c r="AF20" i="4"/>
  <c r="S35" i="4"/>
  <c r="AF35" i="4"/>
  <c r="S19" i="4"/>
  <c r="AF19" i="4"/>
  <c r="AT38" i="4"/>
  <c r="AU38" i="4"/>
  <c r="AV38" i="4"/>
  <c r="BD6" i="4"/>
  <c r="BE6" i="4"/>
  <c r="AT34" i="4"/>
  <c r="AU34" i="4"/>
  <c r="AV34" i="4"/>
  <c r="BE23" i="4"/>
  <c r="BD23" i="4"/>
  <c r="AT23" i="4"/>
  <c r="AU23" i="4"/>
  <c r="AV23" i="4"/>
  <c r="AF33" i="4"/>
  <c r="S33" i="4"/>
  <c r="BD22" i="4"/>
  <c r="BE22" i="4"/>
  <c r="BE10" i="4"/>
  <c r="BD10" i="4"/>
  <c r="AF22" i="4"/>
  <c r="S22" i="4"/>
  <c r="AT30" i="4"/>
  <c r="AU30" i="4"/>
  <c r="AV30" i="4"/>
  <c r="BE17" i="4"/>
  <c r="BD33" i="4"/>
  <c r="BE25" i="4"/>
  <c r="AT14" i="4"/>
  <c r="AU14" i="4"/>
  <c r="AV14" i="4"/>
  <c r="BD34" i="4"/>
  <c r="AU28" i="4"/>
  <c r="AT28" i="4"/>
  <c r="AV28" i="4"/>
  <c r="BD14" i="4"/>
  <c r="BD29" i="4"/>
  <c r="AF25" i="4"/>
  <c r="S25" i="4"/>
  <c r="AT31" i="4"/>
  <c r="AU31" i="4"/>
  <c r="AV31" i="4"/>
  <c r="BD36" i="4"/>
  <c r="S23" i="4"/>
  <c r="AF23" i="4"/>
  <c r="AF26" i="4"/>
  <c r="S26" i="4"/>
  <c r="AF34" i="4"/>
  <c r="S34" i="4"/>
  <c r="AF31" i="4"/>
  <c r="S31" i="4"/>
  <c r="AF21" i="4"/>
  <c r="S21" i="4"/>
  <c r="AF16" i="4"/>
  <c r="S16" i="4"/>
  <c r="AF14" i="4"/>
  <c r="S14" i="4"/>
  <c r="R36" i="2"/>
  <c r="Q36" i="2" s="1"/>
  <c r="R41" i="2"/>
  <c r="Q41" i="2" s="1"/>
  <c r="R40" i="2"/>
  <c r="Q40" i="2" s="1"/>
  <c r="R25" i="2"/>
  <c r="Q25" i="2" s="1"/>
  <c r="R35" i="2"/>
  <c r="Q35" i="2" s="1"/>
  <c r="R31" i="2"/>
  <c r="Q31" i="2" s="1"/>
  <c r="R17" i="2"/>
  <c r="Q17" i="2" s="1"/>
  <c r="R27" i="2"/>
  <c r="Q27" i="2" s="1"/>
  <c r="R39" i="2"/>
  <c r="Q39" i="2" s="1"/>
  <c r="R33" i="2"/>
  <c r="Q33" i="2" s="1"/>
  <c r="R38" i="2"/>
  <c r="Q38" i="2" s="1"/>
  <c r="R42" i="2"/>
  <c r="Q42" i="2" s="1"/>
  <c r="R43" i="2"/>
  <c r="Q43" i="2" s="1"/>
  <c r="R32" i="2"/>
  <c r="Q32" i="2" s="1"/>
  <c r="R28" i="2"/>
  <c r="Q28" i="2" s="1"/>
  <c r="R29" i="2"/>
  <c r="Q29" i="2" s="1"/>
  <c r="R24" i="2"/>
  <c r="Q24" i="2" s="1"/>
  <c r="R37" i="2"/>
  <c r="Q37" i="2" s="1"/>
  <c r="R30" i="2"/>
  <c r="Q30" i="2" s="1"/>
  <c r="R34" i="2"/>
  <c r="Q34" i="2" s="1"/>
  <c r="R26" i="2"/>
  <c r="Q26" i="2" s="1"/>
  <c r="AE40" i="2"/>
  <c r="AH40" i="2" s="1"/>
  <c r="AE35" i="2"/>
  <c r="AH35" i="2" s="1"/>
  <c r="AE39" i="2"/>
  <c r="AI39" i="2" s="1"/>
  <c r="AE33" i="2"/>
  <c r="AH33" i="2" s="1"/>
  <c r="AE42" i="2"/>
  <c r="AI42" i="2" s="1"/>
  <c r="AE36" i="2"/>
  <c r="AH36" i="2" s="1"/>
  <c r="AE38" i="2"/>
  <c r="AI38" i="2" s="1"/>
  <c r="AE29" i="2"/>
  <c r="AH29" i="2" s="1"/>
  <c r="AE41" i="2"/>
  <c r="AH41" i="2" s="1"/>
  <c r="AE30" i="2"/>
  <c r="AI30" i="2" s="1"/>
  <c r="AE37" i="2"/>
  <c r="AI37" i="2" s="1"/>
  <c r="X26" i="2"/>
  <c r="X38" i="2"/>
  <c r="Y38" i="2"/>
  <c r="Z38" i="2"/>
  <c r="AJ38" i="2"/>
  <c r="X42" i="2"/>
  <c r="Y42" i="2"/>
  <c r="AJ42" i="2"/>
  <c r="Z42" i="2"/>
  <c r="X39" i="2"/>
  <c r="Y39" i="2"/>
  <c r="Z39" i="2"/>
  <c r="AJ39" i="2"/>
  <c r="AI40" i="2"/>
  <c r="AE43" i="2"/>
  <c r="X37" i="2"/>
  <c r="Y37" i="2"/>
  <c r="AJ37" i="2"/>
  <c r="Z37" i="2"/>
  <c r="X34" i="2"/>
  <c r="Y34" i="2"/>
  <c r="AJ34" i="2"/>
  <c r="Z34" i="2"/>
  <c r="X32" i="2"/>
  <c r="Y32" i="2"/>
  <c r="AJ32" i="2"/>
  <c r="Z32" i="2"/>
  <c r="X40" i="2"/>
  <c r="Y40" i="2"/>
  <c r="AJ40" i="2"/>
  <c r="Z40" i="2"/>
  <c r="X33" i="2"/>
  <c r="Y33" i="2"/>
  <c r="Z33" i="2"/>
  <c r="AJ33" i="2"/>
  <c r="AE27" i="2"/>
  <c r="X25" i="2"/>
  <c r="Y25" i="2"/>
  <c r="Z25" i="2"/>
  <c r="AJ25" i="2"/>
  <c r="X27" i="2"/>
  <c r="Y27" i="2"/>
  <c r="Z27" i="2"/>
  <c r="AJ27" i="2"/>
  <c r="X30" i="2"/>
  <c r="Y30" i="2"/>
  <c r="Z30" i="2"/>
  <c r="AJ30" i="2"/>
  <c r="AE25" i="2"/>
  <c r="AE24" i="2"/>
  <c r="X35" i="2"/>
  <c r="Y35" i="2"/>
  <c r="Z35" i="2"/>
  <c r="AJ35" i="2"/>
  <c r="Y26" i="2"/>
  <c r="Z26" i="2"/>
  <c r="AJ26" i="2"/>
  <c r="AE28" i="2"/>
  <c r="X24" i="2"/>
  <c r="Y24" i="2"/>
  <c r="AJ24" i="2"/>
  <c r="Z24" i="2"/>
  <c r="X41" i="2"/>
  <c r="Y41" i="2"/>
  <c r="Z41" i="2"/>
  <c r="AJ41" i="2"/>
  <c r="X29" i="2"/>
  <c r="Y29" i="2"/>
  <c r="AJ29" i="2"/>
  <c r="Z29" i="2"/>
  <c r="Y43" i="2"/>
  <c r="Z43" i="2"/>
  <c r="AE34" i="2"/>
  <c r="AE26" i="2"/>
  <c r="AE32" i="2"/>
  <c r="AH32" i="2" s="1"/>
  <c r="X28" i="2"/>
  <c r="Y28" i="2"/>
  <c r="Z28" i="2"/>
  <c r="AJ28" i="2"/>
  <c r="AE31" i="2"/>
  <c r="X36" i="2"/>
  <c r="Y36" i="2"/>
  <c r="Z36" i="2"/>
  <c r="AJ36" i="2"/>
  <c r="X31" i="2"/>
  <c r="Y31" i="2"/>
  <c r="AJ31" i="2"/>
  <c r="Z31" i="2"/>
  <c r="AE22" i="2"/>
  <c r="AF9" i="2"/>
  <c r="AJ9" i="2" s="1"/>
  <c r="AG7" i="2"/>
  <c r="AI15" i="2"/>
  <c r="AG5" i="2"/>
  <c r="AJ17" i="2"/>
  <c r="AH17" i="2"/>
  <c r="AI17" i="2"/>
  <c r="Y17" i="2"/>
  <c r="X17" i="2"/>
  <c r="Z17" i="2"/>
  <c r="AH21" i="2"/>
  <c r="AG4" i="2"/>
  <c r="AF8" i="2"/>
  <c r="AF4" i="2"/>
  <c r="AF5" i="2"/>
  <c r="AG8" i="2"/>
  <c r="AI6" i="2"/>
  <c r="AF7" i="2"/>
  <c r="AH7" i="2" s="1"/>
  <c r="AF27" i="4" l="1"/>
  <c r="S27" i="4"/>
  <c r="AH4" i="2"/>
  <c r="S28" i="4"/>
  <c r="AF10" i="4"/>
  <c r="S10" i="4"/>
  <c r="AH8" i="2"/>
  <c r="AH5" i="2"/>
  <c r="AH6" i="2"/>
  <c r="AH9" i="2"/>
  <c r="AI36" i="2"/>
  <c r="AI29" i="2"/>
  <c r="AI33" i="2"/>
  <c r="AI35" i="2"/>
  <c r="AH39" i="2"/>
  <c r="AH38" i="2"/>
  <c r="AI8" i="2"/>
  <c r="AH42" i="2"/>
  <c r="AH37" i="2"/>
  <c r="AI41" i="2"/>
  <c r="AH30" i="2"/>
  <c r="AI28" i="2"/>
  <c r="AH28" i="2"/>
  <c r="AI24" i="2"/>
  <c r="AH24" i="2"/>
  <c r="AI34" i="2"/>
  <c r="AH34" i="2"/>
  <c r="AH25" i="2"/>
  <c r="AI25" i="2"/>
  <c r="AI31" i="2"/>
  <c r="AH31" i="2"/>
  <c r="AI26" i="2"/>
  <c r="AH26" i="2"/>
  <c r="AH27" i="2"/>
  <c r="AI27" i="2"/>
  <c r="AI32" i="2"/>
  <c r="AI22" i="2"/>
  <c r="X9" i="2"/>
  <c r="AI9" i="2"/>
  <c r="Z9" i="2"/>
  <c r="Y9" i="2"/>
  <c r="AH15" i="2"/>
  <c r="AJ21" i="2"/>
  <c r="X15" i="2"/>
  <c r="Y15" i="2"/>
  <c r="Z15" i="2"/>
  <c r="AJ15" i="2"/>
  <c r="AI4" i="2"/>
  <c r="AJ4" i="2"/>
  <c r="AI11" i="2"/>
  <c r="Y11" i="2"/>
  <c r="X11" i="2"/>
  <c r="Z11" i="2"/>
  <c r="Y19" i="2"/>
  <c r="X19" i="2"/>
  <c r="Z19" i="2"/>
  <c r="X8" i="2"/>
  <c r="Y8" i="2"/>
  <c r="Z8" i="2"/>
  <c r="Y14" i="2"/>
  <c r="X14" i="2"/>
  <c r="Z14" i="2"/>
  <c r="AI18" i="2"/>
  <c r="Y18" i="2"/>
  <c r="X18" i="2"/>
  <c r="Z18" i="2"/>
  <c r="X10" i="2"/>
  <c r="Y10" i="2"/>
  <c r="Z10" i="2"/>
  <c r="X22" i="2"/>
  <c r="Y22" i="2"/>
  <c r="Z22" i="2"/>
  <c r="X20" i="2"/>
  <c r="Y20" i="2"/>
  <c r="Z20" i="2"/>
  <c r="AI21" i="2"/>
  <c r="X21" i="2"/>
  <c r="Y21" i="2"/>
  <c r="Z21" i="2"/>
  <c r="AJ5" i="2"/>
  <c r="Y5" i="2"/>
  <c r="X5" i="2"/>
  <c r="Z5" i="2"/>
  <c r="AJ19" i="2"/>
  <c r="AI5" i="2"/>
  <c r="X16" i="2"/>
  <c r="Y16" i="2"/>
  <c r="Z16" i="2"/>
  <c r="AH19" i="2"/>
  <c r="AI19" i="2"/>
  <c r="Y12" i="2"/>
  <c r="X12" i="2"/>
  <c r="Z12" i="2"/>
  <c r="AJ7" i="2"/>
  <c r="X7" i="2"/>
  <c r="Y7" i="2"/>
  <c r="Z7" i="2"/>
  <c r="AJ6" i="2"/>
  <c r="Y6" i="2"/>
  <c r="X6" i="2"/>
  <c r="Z6" i="2"/>
  <c r="Y13" i="2"/>
  <c r="X13" i="2"/>
  <c r="Z13" i="2"/>
  <c r="Y4" i="2"/>
  <c r="X4" i="2"/>
  <c r="Z4" i="2"/>
  <c r="Y23" i="2"/>
  <c r="X23" i="2"/>
  <c r="Z23" i="2"/>
  <c r="AI14" i="2"/>
  <c r="AI20" i="2"/>
  <c r="AH14" i="2"/>
  <c r="AJ14" i="2"/>
  <c r="AH18" i="2"/>
  <c r="AJ13" i="2"/>
  <c r="AJ23" i="2"/>
  <c r="AI23" i="2"/>
  <c r="AI12" i="2"/>
  <c r="AH12" i="2"/>
  <c r="AJ20" i="2"/>
  <c r="AI7" i="2"/>
  <c r="AJ18" i="2"/>
  <c r="AI16" i="2"/>
  <c r="AJ16" i="2"/>
  <c r="AH16" i="2"/>
  <c r="AJ8" i="2"/>
  <c r="AJ11" i="2"/>
  <c r="AJ12" i="2"/>
  <c r="AJ10" i="2"/>
  <c r="AI10" i="2"/>
  <c r="AH10" i="2"/>
  <c r="AJ22" i="2"/>
  <c r="AH22" i="2"/>
  <c r="AH20" i="2"/>
  <c r="AH11" i="2"/>
  <c r="AI13" i="2"/>
  <c r="AH13" i="2"/>
  <c r="AH23" i="2"/>
  <c r="AL9" i="2" l="1"/>
  <c r="AL4" i="2"/>
  <c r="AM9" i="2"/>
  <c r="AN9" i="2"/>
  <c r="AM4" i="2"/>
  <c r="AN4" i="2"/>
  <c r="X11" i="4" l="1"/>
  <c r="T11" i="4" s="1"/>
  <c r="AA11" i="4" l="1"/>
  <c r="BB11" i="4"/>
  <c r="BC11" i="4"/>
  <c r="AB11" i="4"/>
  <c r="AC11" i="4" l="1"/>
  <c r="AD11" i="4" s="1"/>
  <c r="AV11" i="4"/>
  <c r="AU11" i="4"/>
  <c r="BD11" i="4"/>
  <c r="AT11" i="4"/>
  <c r="BE11" i="4"/>
  <c r="AE11" i="4" l="1"/>
  <c r="AF11" i="4" s="1"/>
  <c r="S11" i="4" l="1"/>
  <c r="W28" i="4" l="1"/>
  <c r="V27" i="4"/>
  <c r="W27" i="4" l="1"/>
  <c r="N27" i="4"/>
  <c r="M27" i="4" l="1"/>
  <c r="R27" i="4"/>
  <c r="Q27" i="4" s="1"/>
  <c r="AU27" i="4" l="1"/>
  <c r="BI4" i="4" s="1"/>
  <c r="BE27" i="4"/>
  <c r="BI9" i="4" s="1"/>
  <c r="BI10" i="4" s="1"/>
  <c r="AT27" i="4"/>
  <c r="BH4" i="4" s="1"/>
  <c r="BJ9" i="4"/>
  <c r="D12" i="1" s="1"/>
  <c r="I12" i="1" s="1"/>
  <c r="BD27" i="4"/>
  <c r="AV27" i="4"/>
  <c r="BJ4" i="4" s="1"/>
  <c r="BH9" i="4" l="1"/>
  <c r="BH10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Pedro Mendes</author>
  </authors>
  <commentList>
    <comment ref="V2" authorId="0" shapeId="0" xr:uid="{37B6AAF4-9DB9-4AC3-A379-6D42DB9F29E0}">
      <text>
        <r>
          <rPr>
            <b/>
            <sz val="9"/>
            <color indexed="81"/>
            <rFont val="Tahoma"/>
            <family val="2"/>
          </rPr>
          <t>Pedro Mendes:</t>
        </r>
        <r>
          <rPr>
            <sz val="9"/>
            <color indexed="81"/>
            <rFont val="Tahoma"/>
            <family val="2"/>
          </rPr>
          <t xml:space="preserve">
Equação retirada da folha "CLARK-Y RN_1M".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Pedro Mendes</author>
  </authors>
  <commentList>
    <comment ref="AR2" authorId="0" shapeId="0" xr:uid="{2F082350-1563-4E42-8E43-A45D831F4C39}">
      <text>
        <r>
          <rPr>
            <b/>
            <sz val="9"/>
            <color indexed="81"/>
            <rFont val="Tahoma"/>
            <family val="2"/>
          </rPr>
          <t>Pedro Mendes:</t>
        </r>
        <r>
          <rPr>
            <sz val="9"/>
            <color indexed="81"/>
            <rFont val="Tahoma"/>
            <family val="2"/>
          </rPr>
          <t xml:space="preserve">
Equação retirada da folha "CLARK-Y RN_1M".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F4473D9-3405-4C60-A9A8-ECB1B45136A1}" keepAlive="1" name="Query - xf-clarky-il-100000" description="Connection to the 'xf-clarky-il-100000' query in the workbook." type="5" refreshedVersion="6" background="1" saveData="1">
    <dbPr connection="Provider=Microsoft.Mashup.OleDb.1;Data Source=$Workbook$;Location=xf-clarky-il-100000;Extended Properties=&quot;&quot;" command="SELECT * FROM [xf-clarky-il-100000]"/>
  </connection>
  <connection id="2" xr16:uid="{F16478ED-6A09-4D9B-A4DA-C9EAEABAEEF2}" keepAlive="1" name="Query - xf-clarky-il-100000 (2)" description="Connection to the 'xf-clarky-il-100000 (2)' query in the workbook." type="5" refreshedVersion="6" background="1" saveData="1">
    <dbPr connection="Provider=Microsoft.Mashup.OleDb.1;Data Source=$Workbook$;Location=&quot;xf-clarky-il-100000 (2)&quot;;Extended Properties=&quot;&quot;" command="SELECT * FROM [xf-clarky-il-100000 (2)]"/>
  </connection>
  <connection id="3" xr16:uid="{FB611102-CF43-4F9F-8548-A44C3E7466F5}" keepAlive="1" name="Query - xf-clarky-il-1000000" description="Connection to the 'xf-clarky-il-1000000' query in the workbook." type="5" refreshedVersion="6" background="1" saveData="1">
    <dbPr connection="Provider=Microsoft.Mashup.OleDb.1;Data Source=$Workbook$;Location=xf-clarky-il-1000000;Extended Properties=&quot;&quot;" command="SELECT * FROM [xf-clarky-il-1000000]"/>
  </connection>
  <connection id="4" xr16:uid="{B2026CEC-D974-4879-B71D-8CEE80AE9C40}" keepAlive="1" name="Query - xf-clarky-il-1000000 (2)" description="Connection to the 'xf-clarky-il-1000000 (2)' query in the workbook." type="5" refreshedVersion="6" background="1" saveData="1">
    <dbPr connection="Provider=Microsoft.Mashup.OleDb.1;Data Source=$Workbook$;Location=&quot;xf-clarky-il-1000000 (2)&quot;;Extended Properties=&quot;&quot;" command="SELECT * FROM [xf-clarky-il-1000000 (2)]"/>
  </connection>
</connections>
</file>

<file path=xl/sharedStrings.xml><?xml version="1.0" encoding="utf-8"?>
<sst xmlns="http://schemas.openxmlformats.org/spreadsheetml/2006/main" count="259" uniqueCount="105">
  <si>
    <t>RPM</t>
  </si>
  <si>
    <t>No. of elements</t>
  </si>
  <si>
    <t>m</t>
  </si>
  <si>
    <t>r</t>
  </si>
  <si>
    <t>x=r/R</t>
  </si>
  <si>
    <t>ΔA</t>
  </si>
  <si>
    <r>
      <t>m</t>
    </r>
    <r>
      <rPr>
        <vertAlign val="superscript"/>
        <sz val="11"/>
        <color theme="1"/>
        <rFont val="Calibri"/>
        <family val="2"/>
        <scheme val="minor"/>
      </rPr>
      <t>2</t>
    </r>
  </si>
  <si>
    <t>Blade Geometry</t>
  </si>
  <si>
    <t>V</t>
  </si>
  <si>
    <t>m/s</t>
  </si>
  <si>
    <t>Ω∙r</t>
  </si>
  <si>
    <t>M</t>
  </si>
  <si>
    <t>Airspeed Components</t>
  </si>
  <si>
    <t>rad</t>
  </si>
  <si>
    <t>deg</t>
  </si>
  <si>
    <t>Flow Angles</t>
  </si>
  <si>
    <t>φ</t>
  </si>
  <si>
    <t>β</t>
  </si>
  <si>
    <t>Re</t>
  </si>
  <si>
    <t>Cl</t>
  </si>
  <si>
    <t>Cd</t>
  </si>
  <si>
    <t>dL</t>
  </si>
  <si>
    <t>dD</t>
  </si>
  <si>
    <t>dT</t>
  </si>
  <si>
    <t>dQ</t>
  </si>
  <si>
    <t>dP</t>
  </si>
  <si>
    <t>N</t>
  </si>
  <si>
    <t>Nm</t>
  </si>
  <si>
    <t>W</t>
  </si>
  <si>
    <t>Lift and Drag Coefficient</t>
  </si>
  <si>
    <t>Blade Element Differentials</t>
  </si>
  <si>
    <r>
      <t>V</t>
    </r>
    <r>
      <rPr>
        <b/>
        <vertAlign val="subscript"/>
        <sz val="11"/>
        <color theme="1"/>
        <rFont val="Calibri"/>
        <family val="2"/>
      </rPr>
      <t>R</t>
    </r>
  </si>
  <si>
    <t>Forward Speed</t>
  </si>
  <si>
    <t>Diameter</t>
  </si>
  <si>
    <t>in</t>
  </si>
  <si>
    <t>Geometric Pitch</t>
  </si>
  <si>
    <t>Hub Diameter</t>
  </si>
  <si>
    <t>Altitude</t>
  </si>
  <si>
    <t>Tip Radius</t>
  </si>
  <si>
    <t>Sound Speed</t>
  </si>
  <si>
    <t>rad/s</t>
  </si>
  <si>
    <t>Calc</t>
  </si>
  <si>
    <t>ft</t>
  </si>
  <si>
    <t>out</t>
  </si>
  <si>
    <t>Km/h</t>
  </si>
  <si>
    <t>KTS</t>
  </si>
  <si>
    <t>Tip pitch</t>
  </si>
  <si>
    <t>Hub pitch</t>
  </si>
  <si>
    <t>ρ/μ</t>
  </si>
  <si>
    <t>kg/Nms</t>
  </si>
  <si>
    <t>Air density ρ</t>
  </si>
  <si>
    <r>
      <t>kg/m</t>
    </r>
    <r>
      <rPr>
        <vertAlign val="superscript"/>
        <sz val="11"/>
        <color theme="1"/>
        <rFont val="Calibri"/>
        <family val="2"/>
        <scheme val="minor"/>
      </rPr>
      <t>3</t>
    </r>
  </si>
  <si>
    <t>Air viscosity μ</t>
  </si>
  <si>
    <r>
      <t>N</t>
    </r>
    <r>
      <rPr>
        <sz val="11"/>
        <color theme="1"/>
        <rFont val="Calibri"/>
        <family val="2"/>
      </rPr>
      <t>∙s/m</t>
    </r>
    <r>
      <rPr>
        <vertAlign val="superscript"/>
        <sz val="11"/>
        <color theme="1"/>
        <rFont val="Calibri"/>
        <family val="2"/>
        <scheme val="minor"/>
      </rPr>
      <t>2</t>
    </r>
  </si>
  <si>
    <t>Air Temp</t>
  </si>
  <si>
    <t>ºC</t>
  </si>
  <si>
    <t>Lbf</t>
  </si>
  <si>
    <r>
      <t>α</t>
    </r>
    <r>
      <rPr>
        <b/>
        <vertAlign val="subscript"/>
        <sz val="11"/>
        <color theme="1"/>
        <rFont val="Calibri"/>
        <family val="2"/>
      </rPr>
      <t>i</t>
    </r>
  </si>
  <si>
    <t>Number of Blades</t>
  </si>
  <si>
    <t>Totals</t>
  </si>
  <si>
    <t>T</t>
  </si>
  <si>
    <t>Q</t>
  </si>
  <si>
    <t>P</t>
  </si>
  <si>
    <t>ISA</t>
  </si>
  <si>
    <t>Input</t>
  </si>
  <si>
    <t>Output</t>
  </si>
  <si>
    <r>
      <t>C</t>
    </r>
    <r>
      <rPr>
        <b/>
        <vertAlign val="subscript"/>
        <sz val="11"/>
        <color theme="1"/>
        <rFont val="Calibri"/>
        <family val="2"/>
        <scheme val="minor"/>
      </rPr>
      <t>P</t>
    </r>
  </si>
  <si>
    <r>
      <t>C</t>
    </r>
    <r>
      <rPr>
        <b/>
        <vertAlign val="subscript"/>
        <sz val="11"/>
        <color theme="1"/>
        <rFont val="Calibri"/>
        <family val="2"/>
        <scheme val="minor"/>
      </rPr>
      <t>T</t>
    </r>
  </si>
  <si>
    <r>
      <t>C</t>
    </r>
    <r>
      <rPr>
        <b/>
        <vertAlign val="subscript"/>
        <sz val="11"/>
        <color theme="1"/>
        <rFont val="Calibri"/>
        <family val="2"/>
        <scheme val="minor"/>
      </rPr>
      <t>Q</t>
    </r>
  </si>
  <si>
    <t>RPS (n)</t>
  </si>
  <si>
    <r>
      <t>Angular Velocity (</t>
    </r>
    <r>
      <rPr>
        <b/>
        <sz val="11"/>
        <color theme="1"/>
        <rFont val="Calibri"/>
        <family val="2"/>
      </rPr>
      <t>Ω)</t>
    </r>
  </si>
  <si>
    <r>
      <t>Element width (</t>
    </r>
    <r>
      <rPr>
        <b/>
        <sz val="11"/>
        <color theme="1"/>
        <rFont val="Calibri"/>
        <family val="2"/>
      </rPr>
      <t>Δr</t>
    </r>
    <r>
      <rPr>
        <b/>
        <sz val="11"/>
        <color theme="1"/>
        <rFont val="Calibri"/>
        <family val="2"/>
        <scheme val="minor"/>
      </rPr>
      <t>)</t>
    </r>
  </si>
  <si>
    <t>Advance Ratio (J)</t>
  </si>
  <si>
    <r>
      <t>Propeller Efficiency (</t>
    </r>
    <r>
      <rPr>
        <b/>
        <sz val="11"/>
        <color theme="1"/>
        <rFont val="Calibri"/>
        <family val="2"/>
      </rPr>
      <t>η</t>
    </r>
    <r>
      <rPr>
        <b/>
        <vertAlign val="subscript"/>
        <sz val="11"/>
        <color theme="1"/>
        <rFont val="Calibri"/>
        <family val="2"/>
      </rPr>
      <t>p</t>
    </r>
    <r>
      <rPr>
        <b/>
        <sz val="11"/>
        <color theme="1"/>
        <rFont val="Calibri"/>
        <family val="2"/>
        <scheme val="minor"/>
      </rPr>
      <t>)</t>
    </r>
  </si>
  <si>
    <r>
      <t>Pitch (</t>
    </r>
    <r>
      <rPr>
        <b/>
        <sz val="11"/>
        <color theme="1"/>
        <rFont val="Calibri"/>
        <family val="2"/>
      </rPr>
      <t>β</t>
    </r>
    <r>
      <rPr>
        <b/>
        <vertAlign val="subscript"/>
        <sz val="11"/>
        <color theme="1"/>
        <rFont val="Calibri"/>
        <family val="2"/>
      </rPr>
      <t>75%</t>
    </r>
    <r>
      <rPr>
        <b/>
        <sz val="11"/>
        <color theme="1"/>
        <rFont val="Calibri"/>
        <family val="2"/>
        <scheme val="minor"/>
      </rPr>
      <t>)</t>
    </r>
  </si>
  <si>
    <t>Prandtl's Tip and Hub Loss Correction</t>
  </si>
  <si>
    <r>
      <t>P</t>
    </r>
    <r>
      <rPr>
        <b/>
        <vertAlign val="subscript"/>
        <sz val="11"/>
        <color theme="1"/>
        <rFont val="Calibri"/>
        <family val="2"/>
        <scheme val="minor"/>
      </rPr>
      <t>tip</t>
    </r>
  </si>
  <si>
    <r>
      <t>F</t>
    </r>
    <r>
      <rPr>
        <b/>
        <vertAlign val="subscript"/>
        <sz val="11"/>
        <color theme="1"/>
        <rFont val="Calibri"/>
        <family val="2"/>
        <scheme val="minor"/>
      </rPr>
      <t>tip</t>
    </r>
  </si>
  <si>
    <r>
      <t>P</t>
    </r>
    <r>
      <rPr>
        <b/>
        <vertAlign val="subscript"/>
        <sz val="11"/>
        <color theme="1"/>
        <rFont val="Calibri"/>
        <family val="2"/>
        <scheme val="minor"/>
      </rPr>
      <t>hub</t>
    </r>
  </si>
  <si>
    <r>
      <t>F</t>
    </r>
    <r>
      <rPr>
        <b/>
        <vertAlign val="subscript"/>
        <sz val="11"/>
        <color theme="1"/>
        <rFont val="Calibri"/>
        <family val="2"/>
        <scheme val="minor"/>
      </rPr>
      <t>hub</t>
    </r>
  </si>
  <si>
    <r>
      <t>F</t>
    </r>
    <r>
      <rPr>
        <b/>
        <vertAlign val="subscript"/>
        <sz val="11"/>
        <color theme="1"/>
        <rFont val="Calibri"/>
        <family val="2"/>
        <scheme val="minor"/>
      </rPr>
      <t>P</t>
    </r>
  </si>
  <si>
    <t>Totals (Prandtl Corrected)</t>
  </si>
  <si>
    <t>b</t>
  </si>
  <si>
    <t>HUB x</t>
  </si>
  <si>
    <t>Torsion parameters</t>
  </si>
  <si>
    <t xml:space="preserve">CLARK-Y </t>
  </si>
  <si>
    <t xml:space="preserve">E63        </t>
  </si>
  <si>
    <t>α=β-φ</t>
  </si>
  <si>
    <t>c(x)</t>
  </si>
  <si>
    <t>k</t>
  </si>
  <si>
    <t>Blade Element Differentials (Prandtl)</t>
  </si>
  <si>
    <r>
      <rPr>
        <sz val="11"/>
        <color theme="1"/>
        <rFont val="Calibri"/>
        <family val="2"/>
      </rPr>
      <t>α</t>
    </r>
    <r>
      <rPr>
        <sz val="9.35"/>
        <color theme="1"/>
        <rFont val="Calibri"/>
        <family val="2"/>
      </rPr>
      <t>i=tan(w/Ve)</t>
    </r>
  </si>
  <si>
    <t>w</t>
  </si>
  <si>
    <t>VE</t>
  </si>
  <si>
    <t>f(w)</t>
  </si>
  <si>
    <t>f'(w)</t>
  </si>
  <si>
    <t>DIFERENÇA</t>
  </si>
  <si>
    <t>final iteraction</t>
  </si>
  <si>
    <t>αi(0)</t>
  </si>
  <si>
    <t>α(0)</t>
  </si>
  <si>
    <t>w(1)</t>
  </si>
  <si>
    <t>w(0)</t>
  </si>
  <si>
    <t>αi(1)</t>
  </si>
  <si>
    <t>MACH</t>
  </si>
  <si>
    <t>Iteractions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</si>
</sst>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0.000"/>
    <numFmt numFmtId="165" formatCode="0.0000"/>
    <numFmt numFmtId="166" formatCode="0.00000"/>
    <numFmt numFmtId="167" formatCode="0.0"/>
    <numFmt numFmtId="168" formatCode="0.0000E+00"/>
    <numFmt numFmtId="169" formatCode="0.00000000"/>
    <numFmt numFmtId="170" formatCode="0.000000"/>
    <numFmt numFmtId="171" formatCode="0.000000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vertAlign val="superscript"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</font>
    <font>
      <b/>
      <vertAlign val="subscript"/>
      <sz val="11"/>
      <color theme="1"/>
      <name val="Calibri"/>
      <family val="2"/>
    </font>
    <font>
      <b/>
      <sz val="12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sz val="9.35"/>
      <color theme="1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double">
        <color indexed="64"/>
      </right>
      <top style="thin">
        <color auto="1"/>
      </top>
      <bottom/>
      <diagonal/>
    </border>
    <border>
      <left style="thin">
        <color auto="1"/>
      </left>
      <right style="double">
        <color indexed="64"/>
      </right>
      <top/>
      <bottom style="thin">
        <color auto="1"/>
      </bottom>
      <diagonal/>
    </border>
    <border>
      <left/>
      <right style="double">
        <color indexed="64"/>
      </right>
      <top/>
      <bottom/>
      <diagonal/>
    </border>
    <border>
      <left style="thin">
        <color auto="1"/>
      </left>
      <right style="double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5" fillId="5" borderId="8" xfId="0" applyFont="1" applyFill="1" applyBorder="1" applyAlignment="1">
      <alignment horizontal="center" vertical="center"/>
    </xf>
    <xf numFmtId="0" fontId="0" fillId="9" borderId="0" xfId="0" applyFill="1"/>
    <xf numFmtId="0" fontId="4" fillId="7" borderId="9" xfId="0" applyFont="1" applyFill="1" applyBorder="1" applyAlignment="1">
      <alignment horizontal="center" vertical="center"/>
    </xf>
    <xf numFmtId="0" fontId="3" fillId="5" borderId="10" xfId="0" applyFont="1" applyFill="1" applyBorder="1" applyAlignment="1">
      <alignment horizontal="center" vertical="center"/>
    </xf>
    <xf numFmtId="0" fontId="0" fillId="7" borderId="11" xfId="0" applyFill="1" applyBorder="1" applyAlignment="1">
      <alignment horizontal="center" vertical="center"/>
    </xf>
    <xf numFmtId="0" fontId="5" fillId="5" borderId="12" xfId="0" applyFont="1" applyFill="1" applyBorder="1" applyAlignment="1">
      <alignment horizontal="center" vertical="center"/>
    </xf>
    <xf numFmtId="0" fontId="8" fillId="8" borderId="2" xfId="0" applyFont="1" applyFill="1" applyBorder="1" applyAlignment="1">
      <alignment horizontal="center" vertical="center"/>
    </xf>
    <xf numFmtId="0" fontId="8" fillId="6" borderId="2" xfId="0" applyFont="1" applyFill="1" applyBorder="1" applyAlignment="1">
      <alignment horizontal="center" vertical="center"/>
    </xf>
    <xf numFmtId="0" fontId="4" fillId="7" borderId="13" xfId="0" applyFont="1" applyFill="1" applyBorder="1" applyAlignment="1">
      <alignment horizontal="center" vertical="center"/>
    </xf>
    <xf numFmtId="0" fontId="3" fillId="5" borderId="14" xfId="0" applyFont="1" applyFill="1" applyBorder="1" applyAlignment="1">
      <alignment horizontal="center" vertical="center"/>
    </xf>
    <xf numFmtId="0" fontId="0" fillId="7" borderId="15" xfId="0" applyFill="1" applyBorder="1" applyAlignment="1">
      <alignment horizontal="center" vertical="center"/>
    </xf>
    <xf numFmtId="0" fontId="5" fillId="5" borderId="16" xfId="0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0" fontId="4" fillId="4" borderId="17" xfId="0" applyFont="1" applyFill="1" applyBorder="1" applyAlignment="1">
      <alignment horizontal="center" vertical="center"/>
    </xf>
    <xf numFmtId="0" fontId="4" fillId="4" borderId="19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0" fillId="7" borderId="21" xfId="0" applyFill="1" applyBorder="1" applyAlignment="1">
      <alignment horizontal="center" vertical="center"/>
    </xf>
    <xf numFmtId="0" fontId="5" fillId="5" borderId="22" xfId="0" applyFont="1" applyFill="1" applyBorder="1" applyAlignment="1">
      <alignment horizontal="center" vertical="center"/>
    </xf>
    <xf numFmtId="0" fontId="11" fillId="7" borderId="9" xfId="0" applyFont="1" applyFill="1" applyBorder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0" fontId="0" fillId="4" borderId="3" xfId="0" applyFont="1" applyFill="1" applyBorder="1" applyAlignment="1">
      <alignment horizontal="center" vertical="center"/>
    </xf>
    <xf numFmtId="0" fontId="0" fillId="4" borderId="18" xfId="0" applyFont="1" applyFill="1" applyBorder="1" applyAlignment="1">
      <alignment horizontal="center" vertical="center"/>
    </xf>
    <xf numFmtId="0" fontId="4" fillId="4" borderId="20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0" fillId="4" borderId="7" xfId="0" applyFont="1" applyFill="1" applyBorder="1" applyAlignment="1">
      <alignment horizontal="center" vertical="center"/>
    </xf>
    <xf numFmtId="0" fontId="0" fillId="13" borderId="0" xfId="0" applyFill="1" applyAlignment="1"/>
    <xf numFmtId="0" fontId="4" fillId="12" borderId="0" xfId="0" applyFont="1" applyFill="1" applyAlignment="1">
      <alignment horizontal="center"/>
    </xf>
    <xf numFmtId="0" fontId="4" fillId="9" borderId="0" xfId="0" applyFont="1" applyFill="1" applyAlignment="1"/>
    <xf numFmtId="0" fontId="0" fillId="9" borderId="0" xfId="0" applyFill="1" applyAlignment="1"/>
    <xf numFmtId="0" fontId="4" fillId="11" borderId="0" xfId="0" applyFont="1" applyFill="1" applyBorder="1" applyAlignment="1">
      <alignment horizontal="center" vertical="center"/>
    </xf>
    <xf numFmtId="0" fontId="0" fillId="11" borderId="0" xfId="0" applyFont="1" applyFill="1" applyBorder="1" applyAlignment="1">
      <alignment horizontal="center" vertical="center"/>
    </xf>
    <xf numFmtId="0" fontId="0" fillId="11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/>
    </xf>
    <xf numFmtId="0" fontId="0" fillId="2" borderId="20" xfId="0" applyFont="1" applyFill="1" applyBorder="1" applyAlignment="1">
      <alignment horizontal="center" vertical="center"/>
    </xf>
    <xf numFmtId="0" fontId="4" fillId="2" borderId="24" xfId="0" applyFont="1" applyFill="1" applyBorder="1" applyAlignment="1">
      <alignment horizontal="center" vertical="center"/>
    </xf>
    <xf numFmtId="0" fontId="0" fillId="2" borderId="25" xfId="0" applyFont="1" applyFill="1" applyBorder="1" applyAlignment="1">
      <alignment horizontal="center" vertical="center"/>
    </xf>
    <xf numFmtId="164" fontId="0" fillId="0" borderId="26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14" borderId="1" xfId="0" applyFill="1" applyBorder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1" fontId="0" fillId="14" borderId="1" xfId="0" applyNumberFormat="1" applyFill="1" applyBorder="1" applyAlignment="1">
      <alignment horizontal="center" vertical="center"/>
    </xf>
    <xf numFmtId="2" fontId="0" fillId="15" borderId="1" xfId="0" applyNumberFormat="1" applyFill="1" applyBorder="1" applyAlignment="1">
      <alignment horizontal="center" vertical="center"/>
    </xf>
    <xf numFmtId="167" fontId="0" fillId="15" borderId="1" xfId="0" applyNumberFormat="1" applyFill="1" applyBorder="1" applyAlignment="1">
      <alignment horizontal="center" vertical="center"/>
    </xf>
    <xf numFmtId="11" fontId="0" fillId="15" borderId="1" xfId="0" applyNumberFormat="1" applyFill="1" applyBorder="1" applyAlignment="1">
      <alignment horizontal="center" vertical="center"/>
    </xf>
    <xf numFmtId="168" fontId="0" fillId="15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3" fontId="4" fillId="0" borderId="0" xfId="0" applyNumberFormat="1" applyFont="1" applyAlignment="1">
      <alignment horizontal="right" vertical="center"/>
    </xf>
    <xf numFmtId="164" fontId="4" fillId="0" borderId="0" xfId="0" applyNumberFormat="1" applyFont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5" fontId="0" fillId="0" borderId="0" xfId="0" applyNumberFormat="1" applyBorder="1" applyAlignment="1">
      <alignment horizontal="center" vertical="center"/>
    </xf>
    <xf numFmtId="166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7" fontId="0" fillId="0" borderId="0" xfId="0" applyNumberFormat="1" applyBorder="1" applyAlignment="1">
      <alignment horizontal="center" vertical="center"/>
    </xf>
    <xf numFmtId="164" fontId="4" fillId="0" borderId="0" xfId="0" applyNumberFormat="1" applyFont="1" applyBorder="1" applyAlignment="1">
      <alignment horizontal="center" vertical="center"/>
    </xf>
    <xf numFmtId="3" fontId="4" fillId="0" borderId="0" xfId="0" applyNumberFormat="1" applyFont="1" applyBorder="1" applyAlignment="1">
      <alignment horizontal="right" vertical="center"/>
    </xf>
    <xf numFmtId="0" fontId="0" fillId="10" borderId="0" xfId="0" applyFill="1" applyBorder="1" applyAlignment="1">
      <alignment horizontal="center" vertical="center"/>
    </xf>
    <xf numFmtId="165" fontId="0" fillId="0" borderId="0" xfId="0" applyNumberFormat="1" applyFill="1" applyBorder="1" applyAlignment="1">
      <alignment horizontal="center" vertical="center"/>
    </xf>
    <xf numFmtId="164" fontId="0" fillId="0" borderId="0" xfId="0" applyNumberForma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0" fillId="16" borderId="0" xfId="0" applyFill="1"/>
    <xf numFmtId="0" fontId="0" fillId="2" borderId="0" xfId="0" applyFill="1"/>
    <xf numFmtId="165" fontId="0" fillId="2" borderId="0" xfId="0" applyNumberFormat="1" applyFill="1" applyBorder="1" applyAlignment="1">
      <alignment horizontal="center" vertical="center"/>
    </xf>
    <xf numFmtId="166" fontId="0" fillId="2" borderId="0" xfId="0" applyNumberForma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164" fontId="0" fillId="2" borderId="0" xfId="0" applyNumberFormat="1" applyFill="1" applyBorder="1" applyAlignment="1">
      <alignment horizontal="center" vertical="center"/>
    </xf>
    <xf numFmtId="167" fontId="0" fillId="2" borderId="0" xfId="0" applyNumberFormat="1" applyFill="1" applyBorder="1" applyAlignment="1">
      <alignment horizontal="center" vertical="center"/>
    </xf>
    <xf numFmtId="164" fontId="4" fillId="2" borderId="0" xfId="0" applyNumberFormat="1" applyFont="1" applyFill="1" applyBorder="1" applyAlignment="1">
      <alignment horizontal="center" vertical="center"/>
    </xf>
    <xf numFmtId="3" fontId="4" fillId="2" borderId="0" xfId="0" applyNumberFormat="1" applyFont="1" applyFill="1" applyBorder="1" applyAlignment="1">
      <alignment horizontal="right" vertical="center"/>
    </xf>
    <xf numFmtId="164" fontId="0" fillId="2" borderId="26" xfId="0" applyNumberForma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ont="1" applyFill="1" applyAlignment="1">
      <alignment horizontal="center"/>
    </xf>
    <xf numFmtId="0" fontId="4" fillId="2" borderId="29" xfId="0" applyFont="1" applyFill="1" applyBorder="1" applyAlignment="1">
      <alignment horizontal="center" vertical="center"/>
    </xf>
    <xf numFmtId="165" fontId="0" fillId="2" borderId="29" xfId="0" applyNumberFormat="1" applyFill="1" applyBorder="1" applyAlignment="1">
      <alignment horizontal="center" vertical="center"/>
    </xf>
    <xf numFmtId="166" fontId="0" fillId="2" borderId="29" xfId="0" applyNumberFormat="1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164" fontId="0" fillId="2" borderId="29" xfId="0" applyNumberFormat="1" applyFill="1" applyBorder="1" applyAlignment="1">
      <alignment horizontal="center" vertical="center"/>
    </xf>
    <xf numFmtId="167" fontId="0" fillId="2" borderId="29" xfId="0" applyNumberFormat="1" applyFill="1" applyBorder="1" applyAlignment="1">
      <alignment horizontal="center" vertical="center"/>
    </xf>
    <xf numFmtId="164" fontId="4" fillId="2" borderId="29" xfId="0" applyNumberFormat="1" applyFont="1" applyFill="1" applyBorder="1" applyAlignment="1">
      <alignment horizontal="center" vertical="center"/>
    </xf>
    <xf numFmtId="3" fontId="4" fillId="2" borderId="29" xfId="0" applyNumberFormat="1" applyFont="1" applyFill="1" applyBorder="1" applyAlignment="1">
      <alignment horizontal="right" vertical="center"/>
    </xf>
    <xf numFmtId="164" fontId="0" fillId="2" borderId="30" xfId="0" applyNumberForma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165" fontId="0" fillId="2" borderId="0" xfId="0" applyNumberFormat="1" applyFill="1" applyAlignment="1">
      <alignment horizontal="center" vertical="center"/>
    </xf>
    <xf numFmtId="166" fontId="0" fillId="2" borderId="0" xfId="0" applyNumberFormat="1" applyFill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167" fontId="0" fillId="2" borderId="0" xfId="0" applyNumberFormat="1" applyFill="1" applyAlignment="1">
      <alignment horizontal="center" vertical="center"/>
    </xf>
    <xf numFmtId="164" fontId="4" fillId="2" borderId="0" xfId="0" applyNumberFormat="1" applyFont="1" applyFill="1" applyAlignment="1">
      <alignment horizontal="center" vertical="center"/>
    </xf>
    <xf numFmtId="3" fontId="4" fillId="2" borderId="0" xfId="0" applyNumberFormat="1" applyFont="1" applyFill="1" applyAlignment="1">
      <alignment horizontal="right" vertical="center"/>
    </xf>
    <xf numFmtId="164" fontId="0" fillId="0" borderId="0" xfId="0" applyNumberFormat="1" applyAlignment="1">
      <alignment horizontal="right" vertical="center"/>
    </xf>
    <xf numFmtId="0" fontId="4" fillId="2" borderId="1" xfId="0" applyFont="1" applyFill="1" applyBorder="1" applyAlignment="1">
      <alignment vertical="center"/>
    </xf>
    <xf numFmtId="0" fontId="4" fillId="2" borderId="4" xfId="0" applyFont="1" applyFill="1" applyBorder="1" applyAlignment="1">
      <alignment vertical="center"/>
    </xf>
    <xf numFmtId="0" fontId="4" fillId="2" borderId="6" xfId="0" applyFont="1" applyFill="1" applyBorder="1" applyAlignment="1">
      <alignment vertical="center"/>
    </xf>
    <xf numFmtId="0" fontId="4" fillId="2" borderId="5" xfId="0" applyFont="1" applyFill="1" applyBorder="1" applyAlignment="1">
      <alignment vertical="center"/>
    </xf>
    <xf numFmtId="0" fontId="4" fillId="2" borderId="27" xfId="0" applyFont="1" applyFill="1" applyBorder="1" applyAlignment="1">
      <alignment vertical="center"/>
    </xf>
    <xf numFmtId="0" fontId="4" fillId="2" borderId="0" xfId="0" applyFont="1" applyFill="1" applyBorder="1" applyAlignment="1">
      <alignment vertical="center"/>
    </xf>
    <xf numFmtId="0" fontId="0" fillId="2" borderId="7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167" fontId="0" fillId="0" borderId="0" xfId="0" applyNumberFormat="1" applyFill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7" borderId="0" xfId="0" applyFill="1"/>
    <xf numFmtId="0" fontId="0" fillId="7" borderId="7" xfId="0" applyFont="1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164" fontId="0" fillId="7" borderId="0" xfId="0" applyNumberFormat="1" applyFill="1" applyBorder="1" applyAlignment="1">
      <alignment horizontal="center" vertical="center"/>
    </xf>
    <xf numFmtId="0" fontId="0" fillId="0" borderId="31" xfId="0" applyFill="1" applyBorder="1" applyAlignment="1">
      <alignment horizontal="center" vertical="center"/>
    </xf>
    <xf numFmtId="0" fontId="0" fillId="17" borderId="19" xfId="0" applyFill="1" applyBorder="1" applyAlignment="1">
      <alignment horizontal="center" vertical="center"/>
    </xf>
    <xf numFmtId="0" fontId="0" fillId="17" borderId="23" xfId="0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0" fontId="0" fillId="17" borderId="20" xfId="0" applyFill="1" applyBorder="1" applyAlignment="1">
      <alignment horizontal="center" vertical="center"/>
    </xf>
    <xf numFmtId="0" fontId="0" fillId="17" borderId="0" xfId="0" applyFill="1"/>
    <xf numFmtId="0" fontId="0" fillId="17" borderId="7" xfId="0" applyFont="1" applyFill="1" applyBorder="1" applyAlignment="1">
      <alignment horizontal="center" vertical="center"/>
    </xf>
    <xf numFmtId="0" fontId="0" fillId="17" borderId="0" xfId="0" applyFill="1" applyAlignment="1">
      <alignment horizontal="center"/>
    </xf>
    <xf numFmtId="0" fontId="0" fillId="18" borderId="0" xfId="0" applyFill="1"/>
    <xf numFmtId="0" fontId="0" fillId="18" borderId="0" xfId="0" applyFill="1" applyAlignment="1">
      <alignment horizontal="center" vertical="center"/>
    </xf>
    <xf numFmtId="167" fontId="0" fillId="0" borderId="0" xfId="0" applyNumberFormat="1"/>
    <xf numFmtId="169" fontId="0" fillId="0" borderId="0" xfId="0" applyNumberFormat="1"/>
    <xf numFmtId="170" fontId="0" fillId="2" borderId="0" xfId="0" applyNumberFormat="1" applyFill="1" applyAlignment="1">
      <alignment horizontal="center" vertical="center"/>
    </xf>
    <xf numFmtId="166" fontId="0" fillId="0" borderId="0" xfId="0" applyNumberFormat="1"/>
    <xf numFmtId="164" fontId="0" fillId="0" borderId="32" xfId="0" applyNumberFormat="1" applyFill="1" applyBorder="1" applyAlignment="1">
      <alignment horizontal="center" vertical="center"/>
    </xf>
    <xf numFmtId="164" fontId="0" fillId="0" borderId="33" xfId="0" applyNumberFormat="1" applyFill="1" applyBorder="1" applyAlignment="1">
      <alignment horizontal="center" vertical="center"/>
    </xf>
    <xf numFmtId="164" fontId="0" fillId="2" borderId="33" xfId="0" applyNumberFormat="1" applyFill="1" applyBorder="1" applyAlignment="1">
      <alignment horizontal="center" vertical="center"/>
    </xf>
    <xf numFmtId="164" fontId="0" fillId="0" borderId="34" xfId="0" applyNumberFormat="1" applyFill="1" applyBorder="1" applyAlignment="1">
      <alignment horizontal="center" vertical="center"/>
    </xf>
    <xf numFmtId="0" fontId="0" fillId="7" borderId="29" xfId="0" applyFill="1" applyBorder="1" applyAlignment="1">
      <alignment horizontal="center" vertical="center"/>
    </xf>
    <xf numFmtId="167" fontId="0" fillId="0" borderId="29" xfId="0" applyNumberFormat="1" applyFill="1" applyBorder="1" applyAlignment="1">
      <alignment horizontal="center" vertical="center"/>
    </xf>
    <xf numFmtId="0" fontId="0" fillId="18" borderId="29" xfId="0" applyFill="1" applyBorder="1" applyAlignment="1">
      <alignment horizontal="center" vertical="center"/>
    </xf>
    <xf numFmtId="164" fontId="0" fillId="0" borderId="35" xfId="0" applyNumberFormat="1" applyFill="1" applyBorder="1" applyAlignment="1">
      <alignment horizontal="center" vertical="center"/>
    </xf>
    <xf numFmtId="171" fontId="0" fillId="0" borderId="0" xfId="0" applyNumberFormat="1" applyFill="1" applyAlignment="1">
      <alignment horizontal="center" vertical="center"/>
    </xf>
    <xf numFmtId="0" fontId="4" fillId="15" borderId="28" xfId="0" applyFont="1" applyFill="1" applyBorder="1" applyAlignment="1">
      <alignment horizontal="center" vertical="center"/>
    </xf>
    <xf numFmtId="0" fontId="4" fillId="15" borderId="18" xfId="0" applyFont="1" applyFill="1" applyBorder="1" applyAlignment="1">
      <alignment horizontal="center" vertical="center"/>
    </xf>
    <xf numFmtId="0" fontId="0" fillId="15" borderId="18" xfId="0" applyFill="1" applyBorder="1" applyAlignment="1">
      <alignment horizontal="center" vertical="center"/>
    </xf>
    <xf numFmtId="0" fontId="0" fillId="15" borderId="20" xfId="0" applyFill="1" applyBorder="1" applyAlignment="1">
      <alignment horizontal="center" vertical="center"/>
    </xf>
    <xf numFmtId="0" fontId="4" fillId="2" borderId="17" xfId="0" applyFont="1" applyFill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0" fontId="0" fillId="15" borderId="17" xfId="0" applyFill="1" applyBorder="1" applyAlignment="1">
      <alignment horizontal="center" vertical="center"/>
    </xf>
    <xf numFmtId="0" fontId="0" fillId="15" borderId="19" xfId="0" applyFill="1" applyBorder="1" applyAlignment="1">
      <alignment horizontal="center" vertical="center"/>
    </xf>
    <xf numFmtId="0" fontId="0" fillId="15" borderId="28" xfId="0" applyFill="1" applyBorder="1" applyAlignment="1">
      <alignment horizontal="center" vertical="center"/>
    </xf>
    <xf numFmtId="0" fontId="0" fillId="15" borderId="23" xfId="0" applyFill="1" applyBorder="1" applyAlignment="1">
      <alignment horizontal="center" vertical="center"/>
    </xf>
    <xf numFmtId="0" fontId="4" fillId="4" borderId="23" xfId="0" applyFont="1" applyFill="1" applyBorder="1" applyAlignment="1">
      <alignment horizontal="center" vertical="center"/>
    </xf>
    <xf numFmtId="0" fontId="4" fillId="4" borderId="20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27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 textRotation="90" wrapText="1"/>
    </xf>
    <xf numFmtId="0" fontId="0" fillId="0" borderId="29" xfId="0" applyBorder="1" applyAlignment="1">
      <alignment horizontal="center" vertical="center" textRotation="90" wrapText="1"/>
    </xf>
    <xf numFmtId="0" fontId="0" fillId="0" borderId="0" xfId="0" applyAlignment="1">
      <alignment horizontal="center" vertical="center" textRotation="90" wrapText="1"/>
    </xf>
    <xf numFmtId="0" fontId="4" fillId="0" borderId="23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0" fillId="0" borderId="29" xfId="0" applyBorder="1" applyAlignment="1">
      <alignment horizontal="center"/>
    </xf>
    <xf numFmtId="0" fontId="1" fillId="2" borderId="28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11" fillId="14" borderId="1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56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1F4CB-70B1-43D5-A457-5685869EF902}">
  <dimension ref="A1:M14"/>
  <sheetViews>
    <sheetView tabSelected="1" zoomScaleNormal="100" workbookViewId="0">
      <selection activeCell="I15" sqref="I15"/>
    </sheetView>
  </sheetViews>
  <sheetFormatPr defaultColWidth="9.140625" defaultRowHeight="15" x14ac:dyDescent="0.25"/>
  <cols>
    <col min="1" max="1" width="9.140625" style="34"/>
    <col min="2" max="2" width="13.140625" style="34" customWidth="1"/>
    <col min="3" max="3" width="19.140625" style="34" bestFit="1" customWidth="1"/>
    <col min="4" max="4" width="12.42578125" style="34" bestFit="1" customWidth="1"/>
    <col min="5" max="5" width="15.7109375" style="34" bestFit="1" customWidth="1"/>
    <col min="6" max="6" width="19" style="34" bestFit="1" customWidth="1"/>
    <col min="7" max="7" width="17.85546875" style="34" bestFit="1" customWidth="1"/>
    <col min="8" max="8" width="16.28515625" style="34" bestFit="1" customWidth="1"/>
    <col min="9" max="9" width="16.140625" style="34" customWidth="1"/>
    <col min="10" max="10" width="13.42578125" style="34" bestFit="1" customWidth="1"/>
    <col min="11" max="11" width="18.42578125" style="34" bestFit="1" customWidth="1"/>
    <col min="12" max="12" width="16.42578125" style="34" bestFit="1" customWidth="1"/>
    <col min="13" max="13" width="15.42578125" style="34" bestFit="1" customWidth="1"/>
    <col min="14" max="14" width="12.140625" style="34" bestFit="1" customWidth="1"/>
    <col min="15" max="15" width="8.7109375" style="34" bestFit="1" customWidth="1"/>
    <col min="16" max="16384" width="9.140625" style="34"/>
  </cols>
  <sheetData>
    <row r="1" spans="1:13" ht="4.5" customHeight="1" x14ac:dyDescent="0.25">
      <c r="A1" s="36"/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</row>
    <row r="2" spans="1:13" x14ac:dyDescent="0.25">
      <c r="A2" s="165" t="s">
        <v>64</v>
      </c>
      <c r="B2" s="158" t="s">
        <v>0</v>
      </c>
      <c r="C2" s="30" t="s">
        <v>32</v>
      </c>
      <c r="D2" s="30" t="s">
        <v>37</v>
      </c>
      <c r="E2" s="30" t="s">
        <v>33</v>
      </c>
      <c r="F2" s="30" t="s">
        <v>35</v>
      </c>
      <c r="G2" s="30" t="s">
        <v>58</v>
      </c>
      <c r="H2" s="154" t="s">
        <v>84</v>
      </c>
      <c r="I2" s="155"/>
      <c r="J2" s="28" t="s">
        <v>46</v>
      </c>
      <c r="K2" s="161"/>
      <c r="L2" s="162"/>
      <c r="M2" s="29" t="s">
        <v>1</v>
      </c>
    </row>
    <row r="3" spans="1:13" x14ac:dyDescent="0.25">
      <c r="A3" s="165"/>
      <c r="B3" s="159"/>
      <c r="C3" s="38" t="s">
        <v>9</v>
      </c>
      <c r="D3" s="38" t="s">
        <v>2</v>
      </c>
      <c r="E3" s="38" t="s">
        <v>34</v>
      </c>
      <c r="F3" s="38" t="s">
        <v>34</v>
      </c>
      <c r="G3" s="38"/>
      <c r="H3" s="59" t="s">
        <v>2</v>
      </c>
      <c r="I3" s="59" t="s">
        <v>82</v>
      </c>
      <c r="J3" s="39" t="s">
        <v>14</v>
      </c>
      <c r="K3" s="163"/>
      <c r="L3" s="164"/>
      <c r="M3" s="40"/>
    </row>
    <row r="4" spans="1:13" x14ac:dyDescent="0.25">
      <c r="A4" s="166"/>
      <c r="B4" s="57">
        <v>4800</v>
      </c>
      <c r="C4" s="60">
        <v>19.55</v>
      </c>
      <c r="D4" s="60">
        <v>304</v>
      </c>
      <c r="E4" s="57">
        <v>21</v>
      </c>
      <c r="F4" s="57">
        <v>13</v>
      </c>
      <c r="G4" s="57">
        <v>2</v>
      </c>
      <c r="H4" s="56">
        <v>-11.92</v>
      </c>
      <c r="I4" s="57">
        <v>20.92</v>
      </c>
      <c r="J4" s="86">
        <v>9</v>
      </c>
      <c r="K4" s="154"/>
      <c r="L4" s="155"/>
      <c r="M4" s="9">
        <v>40</v>
      </c>
    </row>
    <row r="5" spans="1:13" ht="4.5" customHeight="1" x14ac:dyDescent="0.25">
      <c r="A5" s="36"/>
      <c r="B5" s="36"/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</row>
    <row r="6" spans="1:13" ht="18" x14ac:dyDescent="0.25">
      <c r="A6" s="167" t="s">
        <v>41</v>
      </c>
      <c r="B6" s="158" t="s">
        <v>69</v>
      </c>
      <c r="C6" s="30" t="s">
        <v>70</v>
      </c>
      <c r="D6" s="30" t="s">
        <v>39</v>
      </c>
      <c r="E6" s="30" t="s">
        <v>38</v>
      </c>
      <c r="F6" s="41" t="s">
        <v>48</v>
      </c>
      <c r="G6" s="30" t="s">
        <v>71</v>
      </c>
      <c r="H6" s="158" t="s">
        <v>63</v>
      </c>
      <c r="I6" s="30" t="s">
        <v>54</v>
      </c>
      <c r="J6" s="30" t="s">
        <v>50</v>
      </c>
      <c r="K6" s="30" t="s">
        <v>52</v>
      </c>
      <c r="L6" s="30" t="s">
        <v>33</v>
      </c>
      <c r="M6" s="30" t="s">
        <v>74</v>
      </c>
    </row>
    <row r="7" spans="1:13" ht="17.25" x14ac:dyDescent="0.25">
      <c r="A7" s="167"/>
      <c r="B7" s="160"/>
      <c r="C7" s="42" t="s">
        <v>40</v>
      </c>
      <c r="D7" s="42" t="s">
        <v>9</v>
      </c>
      <c r="E7" s="42" t="s">
        <v>2</v>
      </c>
      <c r="F7" s="42" t="s">
        <v>49</v>
      </c>
      <c r="G7" s="42" t="s">
        <v>2</v>
      </c>
      <c r="H7" s="160"/>
      <c r="I7" s="38" t="s">
        <v>55</v>
      </c>
      <c r="J7" s="38" t="s">
        <v>51</v>
      </c>
      <c r="K7" s="38" t="s">
        <v>53</v>
      </c>
      <c r="L7" s="42" t="s">
        <v>2</v>
      </c>
      <c r="M7" s="38" t="s">
        <v>14</v>
      </c>
    </row>
    <row r="8" spans="1:13" x14ac:dyDescent="0.25">
      <c r="A8" s="167"/>
      <c r="B8" s="61">
        <f>B4/60</f>
        <v>80</v>
      </c>
      <c r="C8" s="62">
        <f>2*PI()*B8</f>
        <v>502.6548245743669</v>
      </c>
      <c r="D8" s="62">
        <f>SQRT(1.4*287*(273.15+I8))</f>
        <v>346.11655551273475</v>
      </c>
      <c r="E8" s="59">
        <f>E4*0.0254/2</f>
        <v>0.26669999999999999</v>
      </c>
      <c r="F8" s="63">
        <f>J8/K8</f>
        <v>64753.74275018512</v>
      </c>
      <c r="G8" s="59">
        <f>((2*E8-J12)/2)/M4</f>
        <v>6.2706249999999993E-3</v>
      </c>
      <c r="H8" s="159"/>
      <c r="I8" s="59">
        <v>25</v>
      </c>
      <c r="J8" s="59">
        <f>1.225*(1-(0.0065*D4)/(288.15))^(9.81/(0.0065*287)-1)</f>
        <v>1.1896229792258843</v>
      </c>
      <c r="K8" s="63">
        <f>0.00001716*(((I8+273.15)/(273.15))^1.5)*((273.15+110.4)/(I8+273.15+110.4))</f>
        <v>1.8371493734583912E-5</v>
      </c>
      <c r="L8" s="59">
        <f>E4*0.0254</f>
        <v>0.53339999999999999</v>
      </c>
      <c r="M8" s="59">
        <f>DEGREES(ATAN(F4/(0.75*PI()*E4)))</f>
        <v>14.720737280817831</v>
      </c>
    </row>
    <row r="9" spans="1:13" ht="4.5" customHeight="1" x14ac:dyDescent="0.25">
      <c r="A9" s="36"/>
      <c r="B9" s="36"/>
      <c r="C9" s="36"/>
      <c r="D9" s="36"/>
      <c r="E9" s="36"/>
      <c r="F9" s="36"/>
      <c r="G9" s="36"/>
      <c r="H9" s="36"/>
      <c r="I9" s="36"/>
      <c r="J9" s="36"/>
      <c r="K9" s="36"/>
      <c r="L9" s="36"/>
      <c r="M9" s="36"/>
    </row>
    <row r="10" spans="1:13" ht="18" x14ac:dyDescent="0.25">
      <c r="A10" s="167" t="s">
        <v>65</v>
      </c>
      <c r="B10" s="4" t="s">
        <v>60</v>
      </c>
      <c r="C10" s="4" t="s">
        <v>61</v>
      </c>
      <c r="D10" s="4" t="s">
        <v>62</v>
      </c>
      <c r="E10" s="4" t="s">
        <v>67</v>
      </c>
      <c r="F10" s="4" t="s">
        <v>68</v>
      </c>
      <c r="G10" s="4" t="s">
        <v>66</v>
      </c>
      <c r="H10" s="4" t="s">
        <v>72</v>
      </c>
      <c r="I10" s="156" t="s">
        <v>73</v>
      </c>
      <c r="J10" s="30" t="s">
        <v>36</v>
      </c>
      <c r="K10" s="30" t="s">
        <v>47</v>
      </c>
      <c r="L10" s="152" t="s">
        <v>83</v>
      </c>
      <c r="M10" s="47"/>
    </row>
    <row r="11" spans="1:13" x14ac:dyDescent="0.25">
      <c r="A11" s="167"/>
      <c r="B11" s="23" t="s">
        <v>26</v>
      </c>
      <c r="C11" s="23" t="s">
        <v>27</v>
      </c>
      <c r="D11" s="23" t="s">
        <v>28</v>
      </c>
      <c r="E11" s="23"/>
      <c r="F11" s="23"/>
      <c r="G11" s="23"/>
      <c r="H11" s="23"/>
      <c r="I11" s="157"/>
      <c r="J11" s="38" t="s">
        <v>2</v>
      </c>
      <c r="K11" s="38" t="s">
        <v>14</v>
      </c>
      <c r="L11" s="153"/>
      <c r="M11" s="48"/>
    </row>
    <row r="12" spans="1:13" x14ac:dyDescent="0.25">
      <c r="A12" s="167"/>
      <c r="B12" s="62">
        <f>'PROP_Table (2)'!BH9</f>
        <v>38.724634895557145</v>
      </c>
      <c r="C12" s="62">
        <f>'PROP_Table (2)'!BI9</f>
        <v>1.9399563405680262</v>
      </c>
      <c r="D12" s="62">
        <f>'PROP_Table (2)'!BJ9</f>
        <v>975.12841405015206</v>
      </c>
      <c r="E12" s="58">
        <f>B12/($J$8*$B$8^2*($L$8)^4)</f>
        <v>6.2832735523059083E-2</v>
      </c>
      <c r="F12" s="64">
        <f>C12/($J$8*$B$8^2*($L$8/$J$12)^5)</f>
        <v>1.9039530239367087E-10</v>
      </c>
      <c r="G12" s="58">
        <f>D12/($J$8*$B$8^3*($L$8)^5)</f>
        <v>3.7078098094445393E-2</v>
      </c>
      <c r="H12" s="58">
        <f>C4/(B8*(L8))</f>
        <v>0.45814585676790404</v>
      </c>
      <c r="I12" s="58">
        <f>H12*(E12/G12)</f>
        <v>0.77637632264626555</v>
      </c>
      <c r="J12" s="59">
        <v>3.175E-2</v>
      </c>
      <c r="K12" s="59">
        <f>H4*L12+I4</f>
        <v>20.210476190476193</v>
      </c>
      <c r="L12" s="59">
        <f>J12/L8</f>
        <v>5.9523809523809527E-2</v>
      </c>
      <c r="M12" s="49"/>
    </row>
    <row r="13" spans="1:13" ht="6" customHeight="1" x14ac:dyDescent="0.25">
      <c r="A13" s="36"/>
      <c r="B13" s="36"/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</row>
    <row r="14" spans="1:13" x14ac:dyDescent="0.25">
      <c r="E14" s="184"/>
      <c r="F14" s="184"/>
      <c r="G14" s="184"/>
      <c r="H14" s="184"/>
      <c r="I14" s="57">
        <f>(B12*C4)/(C8*C12)</f>
        <v>0.77637632264626577</v>
      </c>
    </row>
  </sheetData>
  <mergeCells count="10">
    <mergeCell ref="H6:H8"/>
    <mergeCell ref="A2:A4"/>
    <mergeCell ref="A6:A8"/>
    <mergeCell ref="A10:A12"/>
    <mergeCell ref="L10:L11"/>
    <mergeCell ref="H2:I2"/>
    <mergeCell ref="I10:I11"/>
    <mergeCell ref="B2:B3"/>
    <mergeCell ref="B6:B7"/>
    <mergeCell ref="K2:L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3670F-A3F7-49EB-AC62-35ED8946CF7F}">
  <dimension ref="A1:AO44"/>
  <sheetViews>
    <sheetView topLeftCell="B1" zoomScale="85" zoomScaleNormal="85" workbookViewId="0">
      <pane xSplit="1" topLeftCell="C1" activePane="topRight" state="frozen"/>
      <selection activeCell="B1" sqref="B1"/>
      <selection pane="topRight" activeCell="AI47" sqref="AI47"/>
    </sheetView>
  </sheetViews>
  <sheetFormatPr defaultColWidth="9.140625" defaultRowHeight="15" x14ac:dyDescent="0.25"/>
  <cols>
    <col min="1" max="1" width="4" style="65" hidden="1" customWidth="1"/>
    <col min="2" max="2" width="3.28515625" style="1" bestFit="1" customWidth="1"/>
    <col min="3" max="3" width="19.7109375" style="1" customWidth="1"/>
    <col min="4" max="5" width="7.140625" style="1" bestFit="1" customWidth="1"/>
    <col min="6" max="6" width="8.28515625" style="1" bestFit="1" customWidth="1"/>
    <col min="7" max="7" width="4.42578125" style="1" bestFit="1" customWidth="1"/>
    <col min="8" max="8" width="8.28515625" style="1" bestFit="1" customWidth="1"/>
    <col min="9" max="9" width="6.140625" style="1" bestFit="1" customWidth="1"/>
    <col min="10" max="10" width="6.140625" style="3" bestFit="1" customWidth="1"/>
    <col min="11" max="11" width="6.140625" style="1" bestFit="1" customWidth="1"/>
    <col min="12" max="12" width="10.5703125" style="1" customWidth="1"/>
    <col min="13" max="13" width="1.42578125" style="1" hidden="1" customWidth="1"/>
    <col min="14" max="14" width="4.5703125" style="1" customWidth="1"/>
    <col min="15" max="15" width="8.85546875" style="1" customWidth="1"/>
    <col min="16" max="16" width="10.85546875" style="1" customWidth="1"/>
    <col min="17" max="17" width="6.7109375" style="1" bestFit="1" customWidth="1"/>
    <col min="18" max="18" width="7.85546875" style="3" bestFit="1" customWidth="1"/>
    <col min="19" max="19" width="8.85546875" style="3" customWidth="1"/>
    <col min="20" max="20" width="6.7109375" style="1" bestFit="1" customWidth="1"/>
    <col min="21" max="21" width="9.28515625" style="1" customWidth="1"/>
    <col min="22" max="22" width="19.140625" style="2" customWidth="1"/>
    <col min="23" max="23" width="6.85546875" style="2" customWidth="1"/>
    <col min="24" max="24" width="7.7109375" style="2" customWidth="1"/>
    <col min="25" max="25" width="9.5703125" style="2" customWidth="1"/>
    <col min="26" max="26" width="6.7109375" style="2" customWidth="1"/>
    <col min="27" max="27" width="7.7109375" style="1" bestFit="1" customWidth="1"/>
    <col min="28" max="31" width="7" style="2" bestFit="1" customWidth="1"/>
    <col min="32" max="32" width="10.42578125" style="1" customWidth="1"/>
    <col min="33" max="33" width="10.28515625" style="1" customWidth="1"/>
    <col min="34" max="34" width="9.85546875" style="1" customWidth="1"/>
    <col min="35" max="35" width="9" style="1" customWidth="1"/>
    <col min="36" max="36" width="7.5703125" style="1" customWidth="1"/>
    <col min="37" max="37" width="12.28515625" style="2" customWidth="1"/>
    <col min="38" max="38" width="10.85546875" style="1" customWidth="1"/>
    <col min="39" max="40" width="7.85546875" style="1" bestFit="1" customWidth="1"/>
    <col min="41" max="41" width="1.7109375" style="1" customWidth="1"/>
    <col min="42" max="16384" width="9.140625" style="1"/>
  </cols>
  <sheetData>
    <row r="1" spans="1:41" x14ac:dyDescent="0.25">
      <c r="B1" s="178"/>
      <c r="C1" s="172" t="s">
        <v>7</v>
      </c>
      <c r="D1" s="173"/>
      <c r="E1" s="173"/>
      <c r="F1" s="174"/>
      <c r="G1" s="172" t="s">
        <v>12</v>
      </c>
      <c r="H1" s="173"/>
      <c r="I1" s="173"/>
      <c r="J1" s="173"/>
      <c r="K1" s="168" t="s">
        <v>15</v>
      </c>
      <c r="L1" s="168"/>
      <c r="M1" s="168"/>
      <c r="N1" s="168"/>
      <c r="O1" s="168"/>
      <c r="P1" s="168"/>
      <c r="Q1" s="168"/>
      <c r="R1" s="168"/>
      <c r="S1" s="168" t="s">
        <v>29</v>
      </c>
      <c r="T1" s="168"/>
      <c r="U1" s="168"/>
      <c r="V1" s="168" t="s">
        <v>30</v>
      </c>
      <c r="W1" s="168"/>
      <c r="X1" s="168"/>
      <c r="Y1" s="168"/>
      <c r="Z1" s="171"/>
      <c r="AA1" s="170" t="s">
        <v>75</v>
      </c>
      <c r="AB1" s="170"/>
      <c r="AC1" s="170"/>
      <c r="AD1" s="170"/>
      <c r="AE1" s="170"/>
      <c r="AF1" s="168" t="s">
        <v>90</v>
      </c>
      <c r="AG1" s="168"/>
      <c r="AH1" s="168"/>
      <c r="AI1" s="168"/>
      <c r="AJ1" s="168"/>
      <c r="AK1" s="35"/>
      <c r="AL1" s="172" t="s">
        <v>59</v>
      </c>
      <c r="AM1" s="173"/>
      <c r="AN1" s="174"/>
      <c r="AO1" s="35"/>
    </row>
    <row r="2" spans="1:41" ht="18" x14ac:dyDescent="0.25">
      <c r="B2" s="179"/>
      <c r="C2" s="4" t="s">
        <v>3</v>
      </c>
      <c r="D2" s="4" t="s">
        <v>4</v>
      </c>
      <c r="E2" s="4" t="s">
        <v>88</v>
      </c>
      <c r="F2" s="5" t="s">
        <v>5</v>
      </c>
      <c r="G2" s="6" t="s">
        <v>8</v>
      </c>
      <c r="H2" s="6" t="s">
        <v>10</v>
      </c>
      <c r="I2" s="6" t="s">
        <v>31</v>
      </c>
      <c r="J2" s="6" t="s">
        <v>11</v>
      </c>
      <c r="K2" s="169" t="s">
        <v>16</v>
      </c>
      <c r="L2" s="168"/>
      <c r="M2" s="169" t="s">
        <v>57</v>
      </c>
      <c r="N2" s="168"/>
      <c r="O2" s="169" t="s">
        <v>17</v>
      </c>
      <c r="P2" s="168"/>
      <c r="Q2" s="169" t="s">
        <v>87</v>
      </c>
      <c r="R2" s="168"/>
      <c r="S2" s="168" t="s">
        <v>18</v>
      </c>
      <c r="T2" s="168" t="s">
        <v>19</v>
      </c>
      <c r="U2" s="168" t="s">
        <v>20</v>
      </c>
      <c r="V2" s="4" t="s">
        <v>21</v>
      </c>
      <c r="W2" s="4" t="s">
        <v>22</v>
      </c>
      <c r="X2" s="4" t="s">
        <v>23</v>
      </c>
      <c r="Y2" s="4" t="s">
        <v>24</v>
      </c>
      <c r="Z2" s="53" t="s">
        <v>25</v>
      </c>
      <c r="AA2" s="51" t="s">
        <v>76</v>
      </c>
      <c r="AB2" s="4" t="s">
        <v>77</v>
      </c>
      <c r="AC2" s="4" t="s">
        <v>78</v>
      </c>
      <c r="AD2" s="4" t="s">
        <v>79</v>
      </c>
      <c r="AE2" s="4" t="s">
        <v>80</v>
      </c>
      <c r="AF2" s="4" t="s">
        <v>21</v>
      </c>
      <c r="AG2" s="4" t="s">
        <v>22</v>
      </c>
      <c r="AH2" s="4" t="s">
        <v>23</v>
      </c>
      <c r="AI2" s="4" t="s">
        <v>24</v>
      </c>
      <c r="AJ2" s="4" t="s">
        <v>25</v>
      </c>
      <c r="AK2" s="35"/>
      <c r="AL2" s="4" t="s">
        <v>60</v>
      </c>
      <c r="AM2" s="4" t="s">
        <v>61</v>
      </c>
      <c r="AN2" s="4" t="s">
        <v>62</v>
      </c>
      <c r="AO2" s="35"/>
    </row>
    <row r="3" spans="1:41" ht="17.25" x14ac:dyDescent="0.25">
      <c r="B3" s="7" t="s">
        <v>89</v>
      </c>
      <c r="C3" s="23" t="s">
        <v>2</v>
      </c>
      <c r="D3" s="23"/>
      <c r="E3" s="23" t="s">
        <v>2</v>
      </c>
      <c r="F3" s="23" t="s">
        <v>6</v>
      </c>
      <c r="G3" s="23" t="s">
        <v>9</v>
      </c>
      <c r="H3" s="23" t="s">
        <v>9</v>
      </c>
      <c r="I3" s="23" t="s">
        <v>9</v>
      </c>
      <c r="J3" s="69"/>
      <c r="K3" s="24" t="s">
        <v>13</v>
      </c>
      <c r="L3" s="24" t="s">
        <v>14</v>
      </c>
      <c r="M3" s="24" t="s">
        <v>13</v>
      </c>
      <c r="N3" s="24" t="s">
        <v>14</v>
      </c>
      <c r="O3" s="24" t="s">
        <v>13</v>
      </c>
      <c r="P3" s="24" t="s">
        <v>14</v>
      </c>
      <c r="Q3" s="24" t="s">
        <v>13</v>
      </c>
      <c r="R3" s="66" t="s">
        <v>14</v>
      </c>
      <c r="S3" s="168"/>
      <c r="T3" s="168"/>
      <c r="U3" s="168"/>
      <c r="V3" s="23" t="s">
        <v>26</v>
      </c>
      <c r="W3" s="23" t="s">
        <v>26</v>
      </c>
      <c r="X3" s="23" t="s">
        <v>26</v>
      </c>
      <c r="Y3" s="23" t="s">
        <v>27</v>
      </c>
      <c r="Z3" s="54" t="s">
        <v>28</v>
      </c>
      <c r="AA3" s="52"/>
      <c r="AB3" s="23"/>
      <c r="AC3" s="23"/>
      <c r="AD3" s="23"/>
      <c r="AE3" s="23"/>
      <c r="AF3" s="23" t="s">
        <v>26</v>
      </c>
      <c r="AG3" s="23" t="s">
        <v>26</v>
      </c>
      <c r="AH3" s="23" t="s">
        <v>26</v>
      </c>
      <c r="AI3" s="23" t="s">
        <v>27</v>
      </c>
      <c r="AJ3" s="23" t="s">
        <v>28</v>
      </c>
      <c r="AK3" s="35"/>
      <c r="AL3" s="23" t="s">
        <v>26</v>
      </c>
      <c r="AM3" s="23" t="s">
        <v>27</v>
      </c>
      <c r="AN3" s="23" t="s">
        <v>28</v>
      </c>
      <c r="AO3" s="35"/>
    </row>
    <row r="4" spans="1:41" x14ac:dyDescent="0.25">
      <c r="A4" s="175" t="s">
        <v>86</v>
      </c>
      <c r="B4" s="70">
        <v>1</v>
      </c>
      <c r="C4" s="71">
        <v>1.6E-2</v>
      </c>
      <c r="D4" s="72">
        <f>C4/PROP_InOut!$E$8</f>
        <v>5.9992500937382828E-2</v>
      </c>
      <c r="E4" s="72"/>
      <c r="F4" s="73">
        <f>E4*PROP_InOut!$G$8</f>
        <v>0</v>
      </c>
      <c r="G4" s="74">
        <f>PROP_InOut!$C$4</f>
        <v>19.55</v>
      </c>
      <c r="H4" s="71">
        <f>PROP_InOut!$C$8*PROP_Table!C4</f>
        <v>8.0424771931898711</v>
      </c>
      <c r="I4" s="75">
        <f>SQRT(G4^2+H4^2)</f>
        <v>21.139629594744068</v>
      </c>
      <c r="J4" s="76">
        <f>I4/PROP_InOut!$D$8</f>
        <v>6.1076620745367009E-2</v>
      </c>
      <c r="K4" s="71">
        <f>ATAN(G4/H4)</f>
        <v>1.1805183415980101</v>
      </c>
      <c r="L4" s="75">
        <f>DEGREES(K4)</f>
        <v>67.638718611349191</v>
      </c>
      <c r="M4" s="74">
        <v>0</v>
      </c>
      <c r="N4" s="74">
        <v>0</v>
      </c>
      <c r="O4" s="71">
        <f>RADIANS(P4)</f>
        <v>0.35029360641672724</v>
      </c>
      <c r="P4" s="75">
        <f>PROP_InOut!$K$12*(1-(B4-0.5)/PROP_InOut!$M$4)+PROP_InOut!$J$4*((B4-0.5)/PROP_InOut!$M$4)</f>
        <v>20.070345238095243</v>
      </c>
      <c r="Q4" s="71">
        <f>RADIANS(R4)</f>
        <v>-0.83022473518128292</v>
      </c>
      <c r="R4" s="76">
        <f>P4-L4-N4</f>
        <v>-47.568373373253948</v>
      </c>
      <c r="S4" s="77">
        <f>PROP_InOut!$F$8*PROP_Table!I4*PROP_Table!E4</f>
        <v>0</v>
      </c>
      <c r="T4" s="80">
        <v>-0.58399999999999996</v>
      </c>
      <c r="U4" s="80">
        <v>0.22</v>
      </c>
      <c r="V4" s="71">
        <f>0.5*PROP_InOut!$J$8*I4^2*E4*T4*PROP_InOut!$G$8</f>
        <v>0</v>
      </c>
      <c r="W4" s="71">
        <f>0.5*PROP_InOut!$J$8*I4^2*E4*U4*PROP_InOut!$G$8</f>
        <v>0</v>
      </c>
      <c r="X4" s="71">
        <f>(AF4*COS(K4+M4)-AG4*SIN(K4+M4))</f>
        <v>0</v>
      </c>
      <c r="Y4" s="71">
        <f>(C4*(AF4*SIN(K4+M4)+AG4*COS(K4+M4)))</f>
        <v>0</v>
      </c>
      <c r="Z4" s="55">
        <f>(H4*(AF4*SIN(K4+M4)+AG4*COS(K4+M4)))</f>
        <v>0</v>
      </c>
      <c r="AA4" s="79">
        <f>PROP_InOut!$G$4/2*((PROP_InOut!$E$8-PROP_Table!C4)/(PROP_Table!C4*SIN(PROP_Table!K4)))</f>
        <v>16.942791366375758</v>
      </c>
      <c r="AB4" s="79">
        <f>2/PI()*ACOS(EXP(-AA4))</f>
        <v>0.99999997209260338</v>
      </c>
      <c r="AC4" s="79">
        <f>PROP_InOut!$G$4/2*((C4-PROP_InOut!$J$12/2)/(C4*SIN(PROP_Table!K4)))</f>
        <v>8.4477420055722851E-3</v>
      </c>
      <c r="AD4" s="79">
        <f>2/PI()*ACOS(EXP(-AC4))</f>
        <v>8.2633053705427242E-2</v>
      </c>
      <c r="AE4" s="79">
        <f>AD4*AB4</f>
        <v>8.2633051399353841E-2</v>
      </c>
      <c r="AF4" s="72">
        <f>0.5*PROP_InOut!$J$8*I4^2*E4*T4*PROP_InOut!$G$8</f>
        <v>0</v>
      </c>
      <c r="AG4" s="72">
        <f>0.5*PROP_InOut!$J$8*I4^2*E4*U4*PROP_InOut!$G$8</f>
        <v>0</v>
      </c>
      <c r="AH4" s="72">
        <f t="shared" ref="AH4:AH23" si="0">AE4*(AF4*COS(K4+M4)-AG4*SIN(K4+M4))</f>
        <v>0</v>
      </c>
      <c r="AI4" s="72">
        <f t="shared" ref="AI4:AI23" si="1">AE4*(C4*(AF4*SIN(K4+M4)+AG4*COS(K4+M4)))</f>
        <v>0</v>
      </c>
      <c r="AJ4" s="72">
        <f>AE4*(H4*(AF4*SIN(K4+M4)+AG4*COS(K4+M4)))</f>
        <v>0</v>
      </c>
      <c r="AK4" s="78"/>
      <c r="AL4" s="37">
        <f>PROP_InOut!$G$4*SUM(X$4:X$43)</f>
        <v>47.438728751699784</v>
      </c>
      <c r="AM4" s="37" t="e">
        <f>PROP_InOut!$G$4*SUM(Y:Y)</f>
        <v>#DIV/0!</v>
      </c>
      <c r="AN4" s="37" t="e">
        <f>PROP_InOut!$G$4*SUM(Z:Z)</f>
        <v>#DIV/0!</v>
      </c>
      <c r="AO4" s="35"/>
    </row>
    <row r="5" spans="1:41" x14ac:dyDescent="0.25">
      <c r="A5" s="175"/>
      <c r="B5" s="70">
        <v>2</v>
      </c>
      <c r="C5" s="71">
        <v>2.4E-2</v>
      </c>
      <c r="D5" s="72">
        <f>C5/PROP_InOut!$E$8</f>
        <v>8.9988751406074249E-2</v>
      </c>
      <c r="E5" s="72"/>
      <c r="F5" s="73">
        <f>E5*PROP_InOut!$G$8</f>
        <v>0</v>
      </c>
      <c r="G5" s="74">
        <f>PROP_InOut!$C$4</f>
        <v>19.55</v>
      </c>
      <c r="H5" s="71">
        <f>PROP_InOut!$C$8*PROP_Table!C5</f>
        <v>12.063715789784807</v>
      </c>
      <c r="I5" s="75">
        <f t="shared" ref="I5:I23" si="2">SQRT(G5^2+H5^2)</f>
        <v>22.972499617079183</v>
      </c>
      <c r="J5" s="76">
        <f>I5/PROP_InOut!$D$8</f>
        <v>6.6372149067090644E-2</v>
      </c>
      <c r="K5" s="71">
        <f t="shared" ref="K5:K23" si="3">ATAN(G5/H5)</f>
        <v>1.0179199178461968</v>
      </c>
      <c r="L5" s="75">
        <f t="shared" ref="L5:L23" si="4">DEGREES(K5)</f>
        <v>58.322515174890569</v>
      </c>
      <c r="M5" s="74">
        <v>0</v>
      </c>
      <c r="N5" s="74">
        <v>0</v>
      </c>
      <c r="O5" s="71">
        <f t="shared" ref="O5:O23" si="5">RADIANS(P5)</f>
        <v>0.34540211341072119</v>
      </c>
      <c r="P5" s="75">
        <f>PROP_InOut!$K$12*(1-(B5-0.5)/PROP_InOut!$M$4)+PROP_InOut!$J$4*((B5-0.5)/PROP_InOut!$M$4)</f>
        <v>19.790083333333335</v>
      </c>
      <c r="Q5" s="71">
        <f t="shared" ref="Q5:Q22" si="6">RADIANS(R5)</f>
        <v>-0.67251780443547571</v>
      </c>
      <c r="R5" s="76">
        <f t="shared" ref="R5:R43" si="7">P5-L5-N5</f>
        <v>-38.532431841557234</v>
      </c>
      <c r="S5" s="77">
        <f>PROP_InOut!$F$8*PROP_Table!I5*PROP_Table!E5</f>
        <v>0</v>
      </c>
      <c r="T5" s="71">
        <v>-0.51400000000000001</v>
      </c>
      <c r="U5" s="71">
        <v>0.21099999999999999</v>
      </c>
      <c r="V5" s="71">
        <f>0.5*PROP_InOut!$J$8*I5^2*E5*T5*PROP_InOut!$G$8</f>
        <v>0</v>
      </c>
      <c r="W5" s="71">
        <f>0.5*PROP_InOut!$J$8*I5^2*E5*U5*PROP_InOut!$G$8</f>
        <v>0</v>
      </c>
      <c r="X5" s="71">
        <f t="shared" ref="X5:X23" si="8">(AF5*COS(K5+M5)-AG5*SIN(K5+M5))</f>
        <v>0</v>
      </c>
      <c r="Y5" s="71">
        <f t="shared" ref="Y5:Y23" si="9">(C5*(AF5*SIN(K5+M5)+AG5*COS(K5+M5)))</f>
        <v>0</v>
      </c>
      <c r="Z5" s="55">
        <f t="shared" ref="Z5:Z23" si="10">(H5*(AF5*SIN(K5+M5)+AG5*COS(K5+M5)))</f>
        <v>0</v>
      </c>
      <c r="AA5" s="79">
        <f>PROP_InOut!$G$4/2*((PROP_InOut!$E$8-PROP_Table!C5)/(PROP_Table!C5*SIN(PROP_Table!K5)))</f>
        <v>11.882833881212953</v>
      </c>
      <c r="AB5" s="79">
        <f t="shared" ref="AB5:AB23" si="11">2/PI()*ACOS(EXP(-AA5))</f>
        <v>0.9999956022459322</v>
      </c>
      <c r="AC5" s="79">
        <f>PROP_InOut!$G$4/2*((C5-PROP_InOut!$J$12/2)/(C5*SIN(PROP_Table!K5)))</f>
        <v>0.39780809758902042</v>
      </c>
      <c r="AD5" s="79">
        <f t="shared" ref="AD5:AD23" si="12">2/PI()*ACOS(EXP(-AC5))</f>
        <v>0.5310506572729613</v>
      </c>
      <c r="AE5" s="79">
        <f t="shared" ref="AE5:AE23" si="13">AD5*AB5</f>
        <v>0.53104832184277306</v>
      </c>
      <c r="AF5" s="72">
        <f>0.5*PROP_InOut!$J$8*I5^2*E5*T5*PROP_InOut!$G$8</f>
        <v>0</v>
      </c>
      <c r="AG5" s="72">
        <f>0.5*PROP_InOut!$J$8*I5^2*E5*U5*PROP_InOut!$G$8</f>
        <v>0</v>
      </c>
      <c r="AH5" s="72">
        <f t="shared" si="0"/>
        <v>0</v>
      </c>
      <c r="AI5" s="72">
        <f t="shared" si="1"/>
        <v>0</v>
      </c>
      <c r="AJ5" s="72">
        <f t="shared" ref="AJ5:AJ23" si="14">H5*(AF5*SIN(K5+M5)+AG5*COS(K5+M5))</f>
        <v>0</v>
      </c>
      <c r="AK5" s="78"/>
      <c r="AL5" s="35"/>
      <c r="AM5" s="35"/>
      <c r="AN5" s="35"/>
      <c r="AO5" s="35"/>
    </row>
    <row r="6" spans="1:41" x14ac:dyDescent="0.25">
      <c r="A6" s="175"/>
      <c r="B6" s="70">
        <v>3</v>
      </c>
      <c r="C6" s="71">
        <v>3.2000000000000001E-2</v>
      </c>
      <c r="D6" s="72">
        <f>C6/PROP_InOut!$E$8</f>
        <v>0.11998500187476566</v>
      </c>
      <c r="E6" s="72"/>
      <c r="F6" s="73">
        <f>E6*PROP_InOut!$G$8</f>
        <v>0</v>
      </c>
      <c r="G6" s="74">
        <f>PROP_InOut!$C$4</f>
        <v>19.55</v>
      </c>
      <c r="H6" s="71">
        <f>PROP_InOut!$C$8*PROP_Table!C6</f>
        <v>16.084954386379742</v>
      </c>
      <c r="I6" s="75">
        <f t="shared" si="2"/>
        <v>25.316560935717888</v>
      </c>
      <c r="J6" s="76">
        <f>I6/PROP_InOut!$D$8</f>
        <v>7.3144611352710664E-2</v>
      </c>
      <c r="K6" s="71">
        <f t="shared" si="3"/>
        <v>0.8823306961697317</v>
      </c>
      <c r="L6" s="75">
        <f t="shared" si="4"/>
        <v>50.553825025365377</v>
      </c>
      <c r="M6" s="74">
        <v>0</v>
      </c>
      <c r="N6" s="74">
        <v>0</v>
      </c>
      <c r="O6" s="71">
        <f t="shared" si="5"/>
        <v>0.34051062040471519</v>
      </c>
      <c r="P6" s="75">
        <f>PROP_InOut!$K$12*(1-(B6-0.5)/PROP_InOut!$M$4)+PROP_InOut!$J$4*((B6-0.5)/PROP_InOut!$M$4)</f>
        <v>19.509821428571431</v>
      </c>
      <c r="Q6" s="71">
        <f t="shared" si="6"/>
        <v>-0.54182007576501656</v>
      </c>
      <c r="R6" s="76">
        <f t="shared" si="7"/>
        <v>-31.044003596793946</v>
      </c>
      <c r="S6" s="77">
        <f>PROP_InOut!$F$8*PROP_Table!I6*PROP_Table!E6</f>
        <v>0</v>
      </c>
      <c r="T6" s="71">
        <v>-0.45800000000000002</v>
      </c>
      <c r="U6" s="71">
        <v>0.188</v>
      </c>
      <c r="V6" s="71">
        <f>0.5*PROP_InOut!$J$8*I6^2*E6*T6*PROP_InOut!$G$8</f>
        <v>0</v>
      </c>
      <c r="W6" s="71">
        <f>0.5*PROP_InOut!$J$8*I6^2*E6*U6*PROP_InOut!$G$8</f>
        <v>0</v>
      </c>
      <c r="X6" s="71">
        <f t="shared" si="8"/>
        <v>0</v>
      </c>
      <c r="Y6" s="71">
        <f t="shared" si="9"/>
        <v>0</v>
      </c>
      <c r="Z6" s="55">
        <f t="shared" si="10"/>
        <v>0</v>
      </c>
      <c r="AA6" s="79">
        <f>PROP_InOut!$G$4/2*((PROP_InOut!$E$8-PROP_Table!C6)/(PROP_Table!C6*SIN(PROP_Table!K6)))</f>
        <v>9.4977571157496605</v>
      </c>
      <c r="AB6" s="79">
        <f t="shared" si="11"/>
        <v>0.99995224084683565</v>
      </c>
      <c r="AC6" s="79">
        <f>PROP_InOut!$G$4/2*((C6-PROP_InOut!$J$12/2)/(C6*SIN(PROP_Table!K6)))</f>
        <v>0.65254083294189724</v>
      </c>
      <c r="AD6" s="79">
        <f t="shared" si="12"/>
        <v>0.65132634270746503</v>
      </c>
      <c r="AE6" s="79">
        <f t="shared" si="13"/>
        <v>0.65129523591290372</v>
      </c>
      <c r="AF6" s="72">
        <f>0.5*PROP_InOut!$J$8*I6^2*E6*T6*PROP_InOut!$G$8</f>
        <v>0</v>
      </c>
      <c r="AG6" s="72">
        <f>0.5*PROP_InOut!$J$8*I6^2*E6*U6*PROP_InOut!$G$8</f>
        <v>0</v>
      </c>
      <c r="AH6" s="72">
        <f t="shared" si="0"/>
        <v>0</v>
      </c>
      <c r="AI6" s="72">
        <f t="shared" si="1"/>
        <v>0</v>
      </c>
      <c r="AJ6" s="72">
        <f t="shared" si="14"/>
        <v>0</v>
      </c>
      <c r="AK6" s="78"/>
      <c r="AL6" s="172" t="s">
        <v>81</v>
      </c>
      <c r="AM6" s="173"/>
      <c r="AN6" s="174"/>
      <c r="AO6" s="35"/>
    </row>
    <row r="7" spans="1:41" x14ac:dyDescent="0.25">
      <c r="A7" s="175"/>
      <c r="B7" s="70">
        <v>4</v>
      </c>
      <c r="C7" s="71">
        <v>0.04</v>
      </c>
      <c r="D7" s="72">
        <f>C7/PROP_InOut!$E$8</f>
        <v>0.14998125234345708</v>
      </c>
      <c r="E7" s="72"/>
      <c r="F7" s="73">
        <f>E7*PROP_InOut!$G$8</f>
        <v>0</v>
      </c>
      <c r="G7" s="74">
        <f>PROP_InOut!$C$4</f>
        <v>19.55</v>
      </c>
      <c r="H7" s="71">
        <f>PROP_InOut!$C$8*PROP_Table!C7</f>
        <v>20.106192982974676</v>
      </c>
      <c r="I7" s="75">
        <f t="shared" si="2"/>
        <v>28.043920843359619</v>
      </c>
      <c r="J7" s="76">
        <f>I7/PROP_InOut!$D$8</f>
        <v>8.102449997462717E-2</v>
      </c>
      <c r="K7" s="71">
        <f t="shared" si="3"/>
        <v>0.77137370780407899</v>
      </c>
      <c r="L7" s="75">
        <f t="shared" si="4"/>
        <v>44.196457884531299</v>
      </c>
      <c r="M7" s="74">
        <v>0</v>
      </c>
      <c r="N7" s="74">
        <v>0</v>
      </c>
      <c r="O7" s="71">
        <f t="shared" si="5"/>
        <v>0.33561912739870919</v>
      </c>
      <c r="P7" s="75">
        <f>PROP_InOut!$K$12*(1-(B7-0.5)/PROP_InOut!$M$4)+PROP_InOut!$J$4*((B7-0.5)/PROP_InOut!$M$4)</f>
        <v>19.229559523809527</v>
      </c>
      <c r="Q7" s="71">
        <f t="shared" si="6"/>
        <v>-0.4357545804053698</v>
      </c>
      <c r="R7" s="76">
        <f t="shared" si="7"/>
        <v>-24.966898360721771</v>
      </c>
      <c r="S7" s="77">
        <f>PROP_InOut!$F$8*PROP_Table!I7*PROP_Table!E7</f>
        <v>0</v>
      </c>
      <c r="T7" s="71">
        <v>-0.41699999999999998</v>
      </c>
      <c r="U7" s="71">
        <v>0.16400000000000001</v>
      </c>
      <c r="V7" s="71">
        <f>0.5*PROP_InOut!$J$8*I7^2*E7*T7*PROP_InOut!$G$8</f>
        <v>0</v>
      </c>
      <c r="W7" s="71">
        <f>0.5*PROP_InOut!$J$8*I7^2*E7*U7*PROP_InOut!$G$8</f>
        <v>0</v>
      </c>
      <c r="X7" s="71">
        <f t="shared" si="8"/>
        <v>0</v>
      </c>
      <c r="Y7" s="71">
        <f t="shared" si="9"/>
        <v>0</v>
      </c>
      <c r="Z7" s="55">
        <f t="shared" si="10"/>
        <v>0</v>
      </c>
      <c r="AA7" s="79">
        <f>PROP_InOut!$G$4/2*((PROP_InOut!$E$8-PROP_Table!C7)/(PROP_Table!C7*SIN(PROP_Table!K7)))</f>
        <v>8.1298681012655063</v>
      </c>
      <c r="AB7" s="79">
        <f t="shared" si="11"/>
        <v>0.99981244732001384</v>
      </c>
      <c r="AC7" s="79">
        <f>PROP_InOut!$G$4/2*((C7-PROP_InOut!$J$12/2)/(C7*SIN(PROP_Table!K7)))</f>
        <v>0.86516571655505226</v>
      </c>
      <c r="AD7" s="79">
        <f t="shared" si="12"/>
        <v>0.72337125453632778</v>
      </c>
      <c r="AE7" s="79">
        <f t="shared" si="13"/>
        <v>0.72323558431891455</v>
      </c>
      <c r="AF7" s="72">
        <f>0.5*PROP_InOut!$J$8*I7^2*E7*T7*PROP_InOut!$G$8</f>
        <v>0</v>
      </c>
      <c r="AG7" s="72">
        <f>0.5*PROP_InOut!$J$8*I7^2*E7*U7*PROP_InOut!$G$8</f>
        <v>0</v>
      </c>
      <c r="AH7" s="72">
        <f t="shared" si="0"/>
        <v>0</v>
      </c>
      <c r="AI7" s="72">
        <f t="shared" si="1"/>
        <v>0</v>
      </c>
      <c r="AJ7" s="72">
        <f t="shared" si="14"/>
        <v>0</v>
      </c>
      <c r="AK7" s="78"/>
      <c r="AL7" s="4" t="s">
        <v>60</v>
      </c>
      <c r="AM7" s="4" t="s">
        <v>61</v>
      </c>
      <c r="AN7" s="4" t="s">
        <v>62</v>
      </c>
      <c r="AO7" s="35"/>
    </row>
    <row r="8" spans="1:41" x14ac:dyDescent="0.25">
      <c r="A8" s="175"/>
      <c r="B8" s="70">
        <v>5</v>
      </c>
      <c r="C8" s="71">
        <v>4.8000000000000001E-2</v>
      </c>
      <c r="D8" s="72">
        <f>C8/PROP_InOut!$E$8</f>
        <v>0.1799775028121485</v>
      </c>
      <c r="E8" s="72"/>
      <c r="F8" s="73">
        <f>E8*PROP_InOut!$G$8</f>
        <v>0</v>
      </c>
      <c r="G8" s="74">
        <f>PROP_InOut!$C$4</f>
        <v>19.55</v>
      </c>
      <c r="H8" s="71">
        <f>PROP_InOut!$C$8*PROP_Table!C8</f>
        <v>24.127431579569613</v>
      </c>
      <c r="I8" s="75">
        <f t="shared" si="2"/>
        <v>31.053751055658527</v>
      </c>
      <c r="J8" s="76">
        <f>I8/PROP_InOut!$D$8</f>
        <v>8.9720501839779684E-2</v>
      </c>
      <c r="K8" s="71">
        <f t="shared" si="3"/>
        <v>0.68097849666079902</v>
      </c>
      <c r="L8" s="75">
        <f t="shared" si="4"/>
        <v>39.01719379782741</v>
      </c>
      <c r="M8" s="74">
        <v>0</v>
      </c>
      <c r="N8" s="74">
        <v>0</v>
      </c>
      <c r="O8" s="71">
        <f t="shared" si="5"/>
        <v>0.33072763439270314</v>
      </c>
      <c r="P8" s="75">
        <f>PROP_InOut!$K$12*(1-(B8-0.5)/PROP_InOut!$M$4)+PROP_InOut!$J$4*((B8-0.5)/PROP_InOut!$M$4)</f>
        <v>18.94929761904762</v>
      </c>
      <c r="Q8" s="71">
        <f t="shared" si="6"/>
        <v>-0.35025086226809593</v>
      </c>
      <c r="R8" s="76">
        <f t="shared" si="7"/>
        <v>-20.06789617877979</v>
      </c>
      <c r="S8" s="77">
        <f>PROP_InOut!$F$8*PROP_Table!I8*PROP_Table!E8</f>
        <v>0</v>
      </c>
      <c r="T8" s="71">
        <v>-0.39600000000000002</v>
      </c>
      <c r="U8" s="71">
        <v>0.14199999999999999</v>
      </c>
      <c r="V8" s="71">
        <f>0.5*PROP_InOut!$J$8*I8^2*E8*T8*PROP_InOut!$G$8</f>
        <v>0</v>
      </c>
      <c r="W8" s="71">
        <f>0.5*PROP_InOut!$J$8*I8^2*E8*U8*PROP_InOut!$G$8</f>
        <v>0</v>
      </c>
      <c r="X8" s="71">
        <f t="shared" si="8"/>
        <v>0</v>
      </c>
      <c r="Y8" s="71">
        <f t="shared" si="9"/>
        <v>0</v>
      </c>
      <c r="Z8" s="55">
        <f t="shared" si="10"/>
        <v>0</v>
      </c>
      <c r="AA8" s="79">
        <f>PROP_InOut!$G$4/2*((PROP_InOut!$E$8-PROP_Table!C8)/(PROP_Table!C8*SIN(PROP_Table!K8)))</f>
        <v>7.237271265848805</v>
      </c>
      <c r="AB8" s="79">
        <f t="shared" si="11"/>
        <v>0.99954209731972565</v>
      </c>
      <c r="AC8" s="79">
        <f>PROP_InOut!$G$4/2*((C8-PROP_InOut!$J$12/2)/(C8*SIN(PROP_Table!K8)))</f>
        <v>1.0630879717210464</v>
      </c>
      <c r="AD8" s="79">
        <f t="shared" si="12"/>
        <v>0.77549490000650056</v>
      </c>
      <c r="AE8" s="79">
        <f t="shared" si="13"/>
        <v>0.77513979881324846</v>
      </c>
      <c r="AF8" s="72">
        <f>0.5*PROP_InOut!$J$8*I8^2*E8*T8*PROP_InOut!$G$8</f>
        <v>0</v>
      </c>
      <c r="AG8" s="72">
        <f>0.5*PROP_InOut!$J$8*I8^2*E8*U8*PROP_InOut!$G$8</f>
        <v>0</v>
      </c>
      <c r="AH8" s="72">
        <f t="shared" si="0"/>
        <v>0</v>
      </c>
      <c r="AI8" s="72">
        <f t="shared" si="1"/>
        <v>0</v>
      </c>
      <c r="AJ8" s="72">
        <f t="shared" si="14"/>
        <v>0</v>
      </c>
      <c r="AK8" s="78"/>
      <c r="AL8" s="23" t="s">
        <v>26</v>
      </c>
      <c r="AM8" s="23" t="s">
        <v>27</v>
      </c>
      <c r="AN8" s="23" t="s">
        <v>28</v>
      </c>
      <c r="AO8" s="35"/>
    </row>
    <row r="9" spans="1:41" x14ac:dyDescent="0.25">
      <c r="A9" s="175"/>
      <c r="B9" s="70">
        <v>6</v>
      </c>
      <c r="C9" s="71">
        <v>6.275E-2</v>
      </c>
      <c r="D9" s="72">
        <f>C9/PROP_InOut!$E$8</f>
        <v>0.23528308961379829</v>
      </c>
      <c r="E9" s="72"/>
      <c r="F9" s="73">
        <f>E9*PROP_InOut!$G$8</f>
        <v>0</v>
      </c>
      <c r="G9" s="74">
        <f>PROP_InOut!$C$4</f>
        <v>19.55</v>
      </c>
      <c r="H9" s="71">
        <f>PROP_InOut!$C$8*PROP_Table!C9</f>
        <v>31.541590242041522</v>
      </c>
      <c r="I9" s="75">
        <f t="shared" si="2"/>
        <v>37.108953299666766</v>
      </c>
      <c r="J9" s="76">
        <f>I9/PROP_InOut!$D$8</f>
        <v>0.10721519299963508</v>
      </c>
      <c r="K9" s="71">
        <f t="shared" si="3"/>
        <v>0.55486321229539304</v>
      </c>
      <c r="L9" s="75">
        <f t="shared" si="4"/>
        <v>31.791320271597428</v>
      </c>
      <c r="M9" s="74">
        <v>0</v>
      </c>
      <c r="N9" s="74">
        <v>0</v>
      </c>
      <c r="O9" s="71">
        <f t="shared" si="5"/>
        <v>0.3258361413866972</v>
      </c>
      <c r="P9" s="75">
        <f>PROP_InOut!$K$12*(1-(B9-0.5)/PROP_InOut!$M$4)+PROP_InOut!$J$4*((B9-0.5)/PROP_InOut!$M$4)</f>
        <v>18.66903571428572</v>
      </c>
      <c r="Q9" s="71">
        <f t="shared" si="6"/>
        <v>-0.22902707090869587</v>
      </c>
      <c r="R9" s="76">
        <f t="shared" si="7"/>
        <v>-13.122284557311708</v>
      </c>
      <c r="S9" s="77">
        <f>PROP_InOut!$F$8*PROP_Table!I9*PROP_Table!E9</f>
        <v>0</v>
      </c>
      <c r="T9" s="71">
        <v>-0.376</v>
      </c>
      <c r="U9" s="71">
        <v>0.11</v>
      </c>
      <c r="V9" s="71">
        <f>0.5*PROP_InOut!$J$8*I9^2*E9*T9*PROP_InOut!$G$8</f>
        <v>0</v>
      </c>
      <c r="W9" s="71">
        <f>0.5*PROP_InOut!$J$8*I9^2*E9*U9*PROP_InOut!$G$8</f>
        <v>0</v>
      </c>
      <c r="X9" s="71">
        <f t="shared" si="8"/>
        <v>0</v>
      </c>
      <c r="Y9" s="71">
        <f t="shared" si="9"/>
        <v>0</v>
      </c>
      <c r="Z9" s="55">
        <f t="shared" si="10"/>
        <v>0</v>
      </c>
      <c r="AA9" s="79">
        <f>PROP_InOut!$G$4/2*((PROP_InOut!$E$8-PROP_Table!C9)/(PROP_Table!C9*SIN(PROP_Table!K9)))</f>
        <v>6.169385700546794</v>
      </c>
      <c r="AB9" s="79">
        <f t="shared" si="11"/>
        <v>0.99866785875948283</v>
      </c>
      <c r="AC9" s="79">
        <f>PROP_InOut!$G$4/2*((C9-PROP_InOut!$J$12/2)/(C9*SIN(PROP_Table!K9)))</f>
        <v>1.4179453528469281</v>
      </c>
      <c r="AD9" s="79">
        <f t="shared" si="12"/>
        <v>0.8442546454739337</v>
      </c>
      <c r="AE9" s="79">
        <f t="shared" si="13"/>
        <v>0.84312997904319964</v>
      </c>
      <c r="AF9" s="72">
        <f>0.5*PROP_InOut!$J$8*I9^2*E9*T9*PROP_InOut!$G$8</f>
        <v>0</v>
      </c>
      <c r="AG9" s="72">
        <f>0.5*PROP_InOut!$J$8*I9^2*E9*U9*PROP_InOut!$G$8</f>
        <v>0</v>
      </c>
      <c r="AH9" s="72">
        <f t="shared" si="0"/>
        <v>0</v>
      </c>
      <c r="AI9" s="72">
        <f t="shared" si="1"/>
        <v>0</v>
      </c>
      <c r="AJ9" s="72">
        <f t="shared" si="14"/>
        <v>0</v>
      </c>
      <c r="AK9" s="78"/>
      <c r="AL9" s="37">
        <f>PROP_InOut!$G$4*SUM(AH$4:AH$41)</f>
        <v>41.292497221939691</v>
      </c>
      <c r="AM9" s="37">
        <f>PROP_InOut!$G$4*SUM(AI$4:AI$43)</f>
        <v>1.68552191036764</v>
      </c>
      <c r="AN9" s="37">
        <f>PROP_InOut!$G$4*SUM(AJ$4:AJ$43)</f>
        <v>977.28321302288066</v>
      </c>
      <c r="AO9" s="35"/>
    </row>
    <row r="10" spans="1:41" s="96" customFormat="1" x14ac:dyDescent="0.25">
      <c r="A10" s="175"/>
      <c r="B10" s="82">
        <v>7</v>
      </c>
      <c r="C10" s="87">
        <v>6.6040000000000001E-2</v>
      </c>
      <c r="D10" s="88">
        <f>C10/PROP_InOut!$E$8</f>
        <v>0.24761904761904763</v>
      </c>
      <c r="E10" s="88">
        <v>3.8569899999999997E-2</v>
      </c>
      <c r="F10" s="89">
        <f>E10*PROP_InOut!$G$8</f>
        <v>2.4185737918749995E-4</v>
      </c>
      <c r="G10" s="90">
        <f>PROP_InOut!$C$4</f>
        <v>19.55</v>
      </c>
      <c r="H10" s="91">
        <f>PROP_InOut!$C$8*PROP_Table!C10</f>
        <v>33.195324614891192</v>
      </c>
      <c r="I10" s="92">
        <f t="shared" si="2"/>
        <v>38.524434795179033</v>
      </c>
      <c r="J10" s="93">
        <f>I10/PROP_InOut!$D$8</f>
        <v>0.111304802332004</v>
      </c>
      <c r="K10" s="91">
        <f t="shared" si="3"/>
        <v>0.53224623506737734</v>
      </c>
      <c r="L10" s="92">
        <f t="shared" si="4"/>
        <v>30.495462931088635</v>
      </c>
      <c r="M10" s="90">
        <v>0</v>
      </c>
      <c r="N10" s="90">
        <v>0</v>
      </c>
      <c r="O10" s="91">
        <f t="shared" si="5"/>
        <v>0.54926384224887548</v>
      </c>
      <c r="P10" s="87">
        <v>31.470500000000001</v>
      </c>
      <c r="Q10" s="91">
        <f t="shared" si="6"/>
        <v>1.7017607181498178E-2</v>
      </c>
      <c r="R10" s="93">
        <f t="shared" si="7"/>
        <v>0.97503706891136588</v>
      </c>
      <c r="S10" s="94">
        <f>PROP_InOut!$F$8*PROP_Table!I10*PROP_Table!E10</f>
        <v>96216.524236135796</v>
      </c>
      <c r="T10" s="91">
        <v>1.286</v>
      </c>
      <c r="U10" s="91">
        <v>2.0459999999999999E-2</v>
      </c>
      <c r="V10" s="8">
        <f>0.5*PROP_InOut!$J$8*I10^2*E10*T10*(C10-C9)</f>
        <v>0.1440579664378665</v>
      </c>
      <c r="W10" s="8">
        <f>0.5*PROP_InOut!$J$8*I10^2*E10*U10*(C10-C9)</f>
        <v>2.2919331207766321E-3</v>
      </c>
      <c r="X10" s="91">
        <f t="shared" si="8"/>
        <v>0.12296724642272278</v>
      </c>
      <c r="Y10" s="91">
        <f t="shared" si="9"/>
        <v>4.958283445783915E-3</v>
      </c>
      <c r="Z10" s="95">
        <f t="shared" si="10"/>
        <v>2.4923050956305013</v>
      </c>
      <c r="AA10" s="88">
        <f>PROP_InOut!$G$4/2*((PROP_InOut!$E$8-PROP_Table!C10)/(PROP_Table!C10*SIN(PROP_Table!K10)))</f>
        <v>5.9874687169371317</v>
      </c>
      <c r="AB10" s="88">
        <f t="shared" si="11"/>
        <v>0.99840207660718094</v>
      </c>
      <c r="AC10" s="88">
        <f>PROP_InOut!$G$4/2*((C10-PROP_InOut!$J$12/2)/(C10*SIN(PROP_Table!K10)))</f>
        <v>1.4968671792342829</v>
      </c>
      <c r="AD10" s="88">
        <f t="shared" si="12"/>
        <v>0.85628773179238571</v>
      </c>
      <c r="AE10" s="88">
        <f t="shared" si="13"/>
        <v>0.85491944959477073</v>
      </c>
      <c r="AF10" s="25">
        <f>0.5*PROP_InOut!$J$8*I10^2*E10*T10*(C10-C9)</f>
        <v>0.1440579664378665</v>
      </c>
      <c r="AG10" s="25">
        <f>0.5*PROP_InOut!$J$8*I10^2*E10*U10*(C10-C9)</f>
        <v>2.2919331207766321E-3</v>
      </c>
      <c r="AH10" s="88">
        <f t="shared" si="0"/>
        <v>0.1051270906298987</v>
      </c>
      <c r="AI10" s="88">
        <f t="shared" si="1"/>
        <v>4.2389329544044478E-3</v>
      </c>
      <c r="AJ10" s="88">
        <f t="shared" si="14"/>
        <v>2.4923050956305013</v>
      </c>
      <c r="AK10" s="90"/>
      <c r="AM10" s="96">
        <v>2.0762727459962518</v>
      </c>
    </row>
    <row r="11" spans="1:41" s="96" customFormat="1" x14ac:dyDescent="0.25">
      <c r="A11" s="175"/>
      <c r="B11" s="82">
        <v>8</v>
      </c>
      <c r="C11" s="87">
        <v>6.9342000000000001E-2</v>
      </c>
      <c r="D11" s="88">
        <f>C11/PROP_InOut!$E$8</f>
        <v>0.26</v>
      </c>
      <c r="E11" s="88">
        <v>3.926586E-2</v>
      </c>
      <c r="F11" s="89">
        <f>E11*PROP_InOut!$G$8</f>
        <v>2.4622148336249995E-4</v>
      </c>
      <c r="G11" s="90">
        <f>PROP_InOut!$C$4</f>
        <v>19.55</v>
      </c>
      <c r="H11" s="91">
        <f>PROP_InOut!$C$8*PROP_Table!C11</f>
        <v>34.85509084563575</v>
      </c>
      <c r="I11" s="92">
        <f t="shared" si="2"/>
        <v>39.963481553257111</v>
      </c>
      <c r="J11" s="93">
        <f>I11/PROP_InOut!$D$8</f>
        <v>0.11546249642423338</v>
      </c>
      <c r="K11" s="91">
        <f t="shared" si="3"/>
        <v>0.51116838784828478</v>
      </c>
      <c r="L11" s="92">
        <f t="shared" si="4"/>
        <v>29.287791244213075</v>
      </c>
      <c r="M11" s="90">
        <v>0</v>
      </c>
      <c r="N11" s="90">
        <v>0</v>
      </c>
      <c r="O11" s="91">
        <f t="shared" si="5"/>
        <v>0.52781549107111714</v>
      </c>
      <c r="P11" s="87">
        <v>30.241599999999998</v>
      </c>
      <c r="Q11" s="91">
        <f t="shared" si="6"/>
        <v>1.6647103222832329E-2</v>
      </c>
      <c r="R11" s="93">
        <f t="shared" si="7"/>
        <v>0.95380875578692326</v>
      </c>
      <c r="S11" s="94">
        <f>PROP_InOut!$F$8*PROP_Table!I11*PROP_Table!E11</f>
        <v>101611.60367329103</v>
      </c>
      <c r="T11" s="97">
        <v>1.2765500000000001</v>
      </c>
      <c r="U11" s="91">
        <v>1.9429999999999999E-2</v>
      </c>
      <c r="V11" s="8">
        <f>0.5*PROP_InOut!$J$8*I11^2*E11*T11*(C11-C10)</f>
        <v>0.15723020985252115</v>
      </c>
      <c r="W11" s="8">
        <f>0.5*PROP_InOut!$J$8*I11^2*E11*U11*(C11-C10)</f>
        <v>2.3931557537381892E-3</v>
      </c>
      <c r="X11" s="91">
        <f t="shared" si="8"/>
        <v>0.13596130371828366</v>
      </c>
      <c r="Y11" s="91">
        <f t="shared" si="9"/>
        <v>5.4782769186444572E-3</v>
      </c>
      <c r="Z11" s="95">
        <f t="shared" si="10"/>
        <v>2.753682323511033</v>
      </c>
      <c r="AA11" s="88">
        <f>PROP_InOut!$G$4/2*((PROP_InOut!$E$8-PROP_Table!C11)/(PROP_Table!C11*SIN(PROP_Table!K11)))</f>
        <v>5.8180162009463423</v>
      </c>
      <c r="AB11" s="88">
        <f t="shared" si="11"/>
        <v>0.99810700951393072</v>
      </c>
      <c r="AC11" s="88">
        <f>PROP_InOut!$G$4/2*((C11-PROP_InOut!$J$12/2)/(C11*SIN(PROP_Table!K11)))</f>
        <v>1.5761807082357853</v>
      </c>
      <c r="AD11" s="88">
        <f t="shared" si="12"/>
        <v>0.86741400695681226</v>
      </c>
      <c r="AE11" s="88">
        <f t="shared" si="13"/>
        <v>0.86577200049415981</v>
      </c>
      <c r="AF11" s="25">
        <f>0.5*PROP_InOut!$J$8*I11^2*E11*T11*(C11-C10)</f>
        <v>0.15723020985252115</v>
      </c>
      <c r="AG11" s="25">
        <f>0.5*PROP_InOut!$J$8*I11^2*E11*U11*(C11-C10)</f>
        <v>2.3931557537381892E-3</v>
      </c>
      <c r="AH11" s="88">
        <f t="shared" si="0"/>
        <v>0.11771148990997249</v>
      </c>
      <c r="AI11" s="88">
        <f t="shared" si="1"/>
        <v>4.7429387671157931E-3</v>
      </c>
      <c r="AJ11" s="88">
        <f t="shared" si="14"/>
        <v>2.753682323511033</v>
      </c>
      <c r="AK11" s="90"/>
    </row>
    <row r="12" spans="1:41" s="96" customFormat="1" x14ac:dyDescent="0.25">
      <c r="A12" s="175"/>
      <c r="B12" s="82">
        <v>9</v>
      </c>
      <c r="C12" s="87">
        <v>7.2644E-2</v>
      </c>
      <c r="D12" s="88">
        <f>C12/PROP_InOut!$E$8</f>
        <v>0.27238095238095239</v>
      </c>
      <c r="E12" s="88">
        <v>3.9883080000000001E-2</v>
      </c>
      <c r="F12" s="89">
        <f>E12*PROP_InOut!$G$8</f>
        <v>2.5009183852500001E-4</v>
      </c>
      <c r="G12" s="90">
        <f>PROP_InOut!$C$4</f>
        <v>19.55</v>
      </c>
      <c r="H12" s="91">
        <f>PROP_InOut!$C$8*PROP_Table!C12</f>
        <v>36.514857076380309</v>
      </c>
      <c r="I12" s="92">
        <f t="shared" si="2"/>
        <v>41.419044983056779</v>
      </c>
      <c r="J12" s="93">
        <f>I12/PROP_InOut!$D$8</f>
        <v>0.11966791048668239</v>
      </c>
      <c r="K12" s="91">
        <f t="shared" si="3"/>
        <v>0.49156378229479686</v>
      </c>
      <c r="L12" s="92">
        <f t="shared" si="4"/>
        <v>28.164530086979482</v>
      </c>
      <c r="M12" s="90">
        <v>0</v>
      </c>
      <c r="N12" s="90">
        <v>0</v>
      </c>
      <c r="O12" s="91">
        <f t="shared" si="5"/>
        <v>0.50780878185550615</v>
      </c>
      <c r="P12" s="87">
        <v>29.095300000000002</v>
      </c>
      <c r="Q12" s="91">
        <f t="shared" si="6"/>
        <v>1.6244999560709301E-2</v>
      </c>
      <c r="R12" s="93">
        <f t="shared" si="7"/>
        <v>0.93076991302051937</v>
      </c>
      <c r="S12" s="94">
        <f>PROP_InOut!$F$8*PROP_Table!I12*PROP_Table!E12</f>
        <v>106967.94344719932</v>
      </c>
      <c r="T12" s="91">
        <v>1.26905</v>
      </c>
      <c r="U12" s="91">
        <v>1.8540000000000001E-2</v>
      </c>
      <c r="V12" s="8">
        <f>0.5*PROP_InOut!$J$8*I12^2*E12*T12*(C12-C11)</f>
        <v>0.17053911419163514</v>
      </c>
      <c r="W12" s="8">
        <f>0.5*PROP_InOut!$J$8*I12^2*E12*U12*(C12-C11)</f>
        <v>2.4914661968503332E-3</v>
      </c>
      <c r="X12" s="91">
        <f t="shared" si="8"/>
        <v>0.14917058611609862</v>
      </c>
      <c r="Y12" s="91">
        <f t="shared" si="9"/>
        <v>6.0070628221019105E-3</v>
      </c>
      <c r="Z12" s="95">
        <f t="shared" si="10"/>
        <v>3.0194791090508373</v>
      </c>
      <c r="AA12" s="88">
        <f>PROP_InOut!$G$4/2*((PROP_InOut!$E$8-PROP_Table!C12)/(PROP_Table!C12*SIN(PROP_Table!K12)))</f>
        <v>5.6595336267156799</v>
      </c>
      <c r="AB12" s="88">
        <f t="shared" si="11"/>
        <v>0.9977819221883899</v>
      </c>
      <c r="AC12" s="88">
        <f>PROP_InOut!$G$4/2*((C12-PROP_InOut!$J$12/2)/(C12*SIN(PROP_Table!K12)))</f>
        <v>1.6556358188101499</v>
      </c>
      <c r="AD12" s="88">
        <f t="shared" si="12"/>
        <v>0.87767297344713235</v>
      </c>
      <c r="AE12" s="88">
        <f t="shared" si="13"/>
        <v>0.87572622649887943</v>
      </c>
      <c r="AF12" s="25">
        <f>0.5*PROP_InOut!$J$8*I12^2*E12*T12*(C12-C11)</f>
        <v>0.17053911419163514</v>
      </c>
      <c r="AG12" s="25">
        <f>0.5*PROP_InOut!$J$8*I12^2*E12*U12*(C12-C11)</f>
        <v>2.4914661968503332E-3</v>
      </c>
      <c r="AH12" s="88">
        <f t="shared" si="0"/>
        <v>0.13063259448407719</v>
      </c>
      <c r="AI12" s="88">
        <f t="shared" si="1"/>
        <v>5.2605424575410155E-3</v>
      </c>
      <c r="AJ12" s="88">
        <f t="shared" si="14"/>
        <v>3.0194791090508373</v>
      </c>
      <c r="AK12" s="90"/>
    </row>
    <row r="13" spans="1:41" s="96" customFormat="1" x14ac:dyDescent="0.25">
      <c r="A13" s="175"/>
      <c r="B13" s="82">
        <v>10</v>
      </c>
      <c r="C13" s="87">
        <v>7.5946E-2</v>
      </c>
      <c r="D13" s="88">
        <f>C13/PROP_InOut!$E$8</f>
        <v>0.28476190476190477</v>
      </c>
      <c r="E13" s="88">
        <v>4.0424099999999998E-2</v>
      </c>
      <c r="F13" s="89">
        <f>E13*PROP_InOut!$G$8</f>
        <v>2.5348437206249995E-4</v>
      </c>
      <c r="G13" s="90">
        <f>PROP_InOut!$C$4</f>
        <v>19.55</v>
      </c>
      <c r="H13" s="91">
        <f>PROP_InOut!$C$8*PROP_Table!C13</f>
        <v>38.174623307124868</v>
      </c>
      <c r="I13" s="92">
        <f t="shared" si="2"/>
        <v>42.889443510505956</v>
      </c>
      <c r="J13" s="93">
        <f>I13/PROP_InOut!$D$8</f>
        <v>0.12391618611530969</v>
      </c>
      <c r="K13" s="91">
        <f t="shared" si="3"/>
        <v>0.47329677732958647</v>
      </c>
      <c r="L13" s="92">
        <f t="shared" si="4"/>
        <v>27.117907798128407</v>
      </c>
      <c r="M13" s="90">
        <v>0</v>
      </c>
      <c r="N13" s="90">
        <v>0</v>
      </c>
      <c r="O13" s="91">
        <f t="shared" si="5"/>
        <v>0.4891459761639308</v>
      </c>
      <c r="P13" s="87">
        <v>28.026</v>
      </c>
      <c r="Q13" s="91">
        <f t="shared" si="6"/>
        <v>1.5849198834344314E-2</v>
      </c>
      <c r="R13" s="93">
        <f t="shared" si="7"/>
        <v>0.90809220187159312</v>
      </c>
      <c r="S13" s="94">
        <f>PROP_InOut!$F$8*PROP_Table!I13*PROP_Table!E13</f>
        <v>112267.91224082897</v>
      </c>
      <c r="T13" s="91">
        <v>1.2624200000000001</v>
      </c>
      <c r="U13" s="91">
        <v>1.7760000000000001E-2</v>
      </c>
      <c r="V13" s="8">
        <f>0.5*PROP_InOut!$J$8*I13^2*E13*T13*(C13-C12)</f>
        <v>0.18437475929262512</v>
      </c>
      <c r="W13" s="8">
        <f>0.5*PROP_InOut!$J$8*I13^2*E13*U13*(C13-C12)</f>
        <v>2.5938243413737281E-3</v>
      </c>
      <c r="X13" s="91">
        <f t="shared" si="8"/>
        <v>0.16292418706137454</v>
      </c>
      <c r="Y13" s="91">
        <f t="shared" si="9"/>
        <v>6.5580103451840987E-3</v>
      </c>
      <c r="Z13" s="95">
        <f t="shared" si="10"/>
        <v>3.2964155396153965</v>
      </c>
      <c r="AA13" s="88">
        <f>PROP_InOut!$G$4/2*((PROP_InOut!$E$8-PROP_Table!C13)/(PROP_Table!C13*SIN(PROP_Table!K13)))</f>
        <v>5.5102638935223061</v>
      </c>
      <c r="AB13" s="88">
        <f t="shared" si="11"/>
        <v>0.99742484067176418</v>
      </c>
      <c r="AC13" s="88">
        <f>PROP_InOut!$G$4/2*((C13-PROP_InOut!$J$12/2)/(C13*SIN(PROP_Table!K13)))</f>
        <v>1.7352562061491685</v>
      </c>
      <c r="AD13" s="88">
        <f t="shared" si="12"/>
        <v>0.88713865516491985</v>
      </c>
      <c r="AE13" s="88">
        <f t="shared" si="13"/>
        <v>0.8848541317816333</v>
      </c>
      <c r="AF13" s="25">
        <f>0.5*PROP_InOut!$J$8*I13^2*E13*T13*(C13-C12)</f>
        <v>0.18437475929262512</v>
      </c>
      <c r="AG13" s="25">
        <f>0.5*PROP_InOut!$J$8*I13^2*E13*U13*(C13-C12)</f>
        <v>2.5938243413737281E-3</v>
      </c>
      <c r="AH13" s="88">
        <f t="shared" si="0"/>
        <v>0.14416414008842099</v>
      </c>
      <c r="AI13" s="88">
        <f t="shared" si="1"/>
        <v>5.8028825502028447E-3</v>
      </c>
      <c r="AJ13" s="88">
        <f t="shared" si="14"/>
        <v>3.2964155396153965</v>
      </c>
      <c r="AK13" s="90"/>
    </row>
    <row r="14" spans="1:41" s="96" customFormat="1" x14ac:dyDescent="0.25">
      <c r="A14" s="175"/>
      <c r="B14" s="82">
        <v>11</v>
      </c>
      <c r="C14" s="87">
        <v>7.9247999999999999E-2</v>
      </c>
      <c r="D14" s="88">
        <f>C14/PROP_InOut!$E$8</f>
        <v>0.29714285714285715</v>
      </c>
      <c r="E14" s="88">
        <v>4.0891460000000004E-2</v>
      </c>
      <c r="F14" s="89">
        <f>E14*PROP_InOut!$G$8</f>
        <v>2.5641501136249999E-4</v>
      </c>
      <c r="G14" s="90">
        <f>PROP_InOut!$C$4</f>
        <v>19.55</v>
      </c>
      <c r="H14" s="91">
        <f>PROP_InOut!$C$8*PROP_Table!C14</f>
        <v>39.834389537869427</v>
      </c>
      <c r="I14" s="92">
        <f t="shared" si="2"/>
        <v>44.373202384487882</v>
      </c>
      <c r="J14" s="93">
        <f>I14/PROP_InOut!$D$8</f>
        <v>0.128203062458985</v>
      </c>
      <c r="K14" s="91">
        <f t="shared" si="3"/>
        <v>0.45624602500768496</v>
      </c>
      <c r="L14" s="92">
        <f t="shared" si="4"/>
        <v>26.140971652560562</v>
      </c>
      <c r="M14" s="90">
        <v>0</v>
      </c>
      <c r="N14" s="90">
        <v>0</v>
      </c>
      <c r="O14" s="91">
        <f t="shared" si="5"/>
        <v>0.4717049009487515</v>
      </c>
      <c r="P14" s="87">
        <v>27.026700000000002</v>
      </c>
      <c r="Q14" s="91">
        <f t="shared" si="6"/>
        <v>1.5458875941066503E-2</v>
      </c>
      <c r="R14" s="93">
        <f t="shared" si="7"/>
        <v>0.88572834743943929</v>
      </c>
      <c r="S14" s="94">
        <f>PROP_InOut!$F$8*PROP_Table!I14*PROP_Table!E14</f>
        <v>117494.69688110646</v>
      </c>
      <c r="T14" s="91">
        <v>1.2551300000000001</v>
      </c>
      <c r="U14" s="91">
        <v>1.7049999999999999E-2</v>
      </c>
      <c r="V14" s="8">
        <f>0.5*PROP_InOut!$J$8*I14^2*E14*T14*(C14-C13)</f>
        <v>0.19848116034583993</v>
      </c>
      <c r="W14" s="8">
        <f>0.5*PROP_InOut!$J$8*I14^2*E14*U14*(C14-C13)</f>
        <v>2.6962177494734177E-3</v>
      </c>
      <c r="X14" s="91">
        <f t="shared" si="8"/>
        <v>0.17699116534550169</v>
      </c>
      <c r="Y14" s="91">
        <f t="shared" si="9"/>
        <v>7.1218198321400233E-3</v>
      </c>
      <c r="Z14" s="95">
        <f t="shared" si="10"/>
        <v>3.5798170983745905</v>
      </c>
      <c r="AA14" s="88">
        <f>PROP_InOut!$G$4/2*((PROP_InOut!$E$8-PROP_Table!C14)/(PROP_Table!C14*SIN(PROP_Table!K14)))</f>
        <v>5.3687821102616669</v>
      </c>
      <c r="AB14" s="88">
        <f t="shared" si="11"/>
        <v>0.9970334665504359</v>
      </c>
      <c r="AC14" s="88">
        <f>PROP_InOut!$G$4/2*((C14-PROP_InOut!$J$12/2)/(C14*SIN(PROP_Table!K14)))</f>
        <v>1.8150557405288426</v>
      </c>
      <c r="AD14" s="88">
        <f t="shared" si="12"/>
        <v>0.89587633267196065</v>
      </c>
      <c r="AE14" s="88">
        <f t="shared" si="13"/>
        <v>0.89321868556441641</v>
      </c>
      <c r="AF14" s="25">
        <f>0.5*PROP_InOut!$J$8*I14^2*E14*T14*(C14-C13)</f>
        <v>0.19848116034583993</v>
      </c>
      <c r="AG14" s="25">
        <f>0.5*PROP_InOut!$J$8*I14^2*E14*U14*(C14-C13)</f>
        <v>2.6962177494734177E-3</v>
      </c>
      <c r="AH14" s="88">
        <f t="shared" si="0"/>
        <v>0.15809181606642331</v>
      </c>
      <c r="AI14" s="88">
        <f t="shared" si="1"/>
        <v>6.3613425492907039E-3</v>
      </c>
      <c r="AJ14" s="88">
        <f t="shared" si="14"/>
        <v>3.5798170983745905</v>
      </c>
      <c r="AK14" s="90"/>
    </row>
    <row r="15" spans="1:41" s="96" customFormat="1" x14ac:dyDescent="0.25">
      <c r="A15" s="175"/>
      <c r="B15" s="82">
        <v>12</v>
      </c>
      <c r="C15" s="87">
        <v>8.2549999999999998E-2</v>
      </c>
      <c r="D15" s="88">
        <f>C15/PROP_InOut!$E$8</f>
        <v>0.30952380952380953</v>
      </c>
      <c r="E15" s="88">
        <v>4.1282619999999999E-2</v>
      </c>
      <c r="F15" s="89">
        <f>E15*PROP_InOut!$G$8</f>
        <v>2.5886782903749997E-4</v>
      </c>
      <c r="G15" s="90">
        <f>PROP_InOut!$C$4</f>
        <v>19.55</v>
      </c>
      <c r="H15" s="91">
        <f>PROP_InOut!$C$8*PROP_Table!C15</f>
        <v>41.494155768613986</v>
      </c>
      <c r="I15" s="92">
        <f t="shared" si="2"/>
        <v>45.869025092648322</v>
      </c>
      <c r="J15" s="93">
        <f>I15/PROP_InOut!$D$8</f>
        <v>0.13252479363403538</v>
      </c>
      <c r="K15" s="91">
        <f t="shared" si="3"/>
        <v>0.44030296054224166</v>
      </c>
      <c r="L15" s="92">
        <f t="shared" si="4"/>
        <v>25.227501346185665</v>
      </c>
      <c r="M15" s="90">
        <v>0</v>
      </c>
      <c r="N15" s="90">
        <v>0</v>
      </c>
      <c r="O15" s="91">
        <f t="shared" si="5"/>
        <v>0.45537909112559649</v>
      </c>
      <c r="P15" s="87">
        <v>26.0913</v>
      </c>
      <c r="Q15" s="91">
        <f t="shared" si="6"/>
        <v>1.5076130583354825E-2</v>
      </c>
      <c r="R15" s="93">
        <f t="shared" si="7"/>
        <v>0.86379865381433518</v>
      </c>
      <c r="S15" s="94">
        <f>PROP_InOut!$F$8*PROP_Table!I15*PROP_Table!E15</f>
        <v>122617.26848794463</v>
      </c>
      <c r="T15" s="91">
        <v>1.24855</v>
      </c>
      <c r="U15" s="91">
        <v>1.6449999999999999E-2</v>
      </c>
      <c r="V15" s="8">
        <f>0.5*PROP_InOut!$J$8*I15^2*E15*T15*(C15-C14)</f>
        <v>0.21299461723769461</v>
      </c>
      <c r="W15" s="8">
        <f>0.5*PROP_InOut!$J$8*I15^2*E15*U15*(C15-C14)</f>
        <v>2.8062644295863814E-3</v>
      </c>
      <c r="X15" s="91">
        <f t="shared" si="8"/>
        <v>0.19148367200301639</v>
      </c>
      <c r="Y15" s="91">
        <f t="shared" si="9"/>
        <v>7.7035496565165985E-3</v>
      </c>
      <c r="Z15" s="95">
        <f t="shared" si="10"/>
        <v>3.8722264011962748</v>
      </c>
      <c r="AA15" s="88">
        <f>PROP_InOut!$G$4/2*((PROP_InOut!$E$8-PROP_Table!C15)/(PROP_Table!C15*SIN(PROP_Table!K15)))</f>
        <v>5.2339237760645334</v>
      </c>
      <c r="AB15" s="88">
        <f t="shared" si="11"/>
        <v>0.99660517050608388</v>
      </c>
      <c r="AC15" s="88">
        <f>PROP_InOut!$G$4/2*((C15-PROP_InOut!$J$12/2)/(C15*SIN(PROP_Table!K15)))</f>
        <v>1.8950413671957795</v>
      </c>
      <c r="AD15" s="88">
        <f t="shared" si="12"/>
        <v>0.90394428201944799</v>
      </c>
      <c r="AE15" s="88">
        <f t="shared" si="13"/>
        <v>0.90087554530999159</v>
      </c>
      <c r="AF15" s="25">
        <f>0.5*PROP_InOut!$J$8*I15^2*E15*T15*(C15-C14)</f>
        <v>0.21299461723769461</v>
      </c>
      <c r="AG15" s="25">
        <f>0.5*PROP_InOut!$J$8*I15^2*E15*U15*(C15-C14)</f>
        <v>2.8062644295863814E-3</v>
      </c>
      <c r="AH15" s="88">
        <f t="shared" si="0"/>
        <v>0.17250295743367697</v>
      </c>
      <c r="AI15" s="88">
        <f t="shared" si="1"/>
        <v>6.9399394976369889E-3</v>
      </c>
      <c r="AJ15" s="88">
        <f t="shared" si="14"/>
        <v>3.8722264011962748</v>
      </c>
      <c r="AK15" s="90"/>
    </row>
    <row r="16" spans="1:41" s="96" customFormat="1" x14ac:dyDescent="0.25">
      <c r="A16" s="175"/>
      <c r="B16" s="82">
        <v>13</v>
      </c>
      <c r="C16" s="87">
        <v>8.6860380000000001E-2</v>
      </c>
      <c r="D16" s="88">
        <f>C16/PROP_InOut!$E$8</f>
        <v>0.3256857142857143</v>
      </c>
      <c r="E16" s="88">
        <v>4.1691559999999996E-2</v>
      </c>
      <c r="F16" s="89">
        <f>E16*PROP_InOut!$G$8</f>
        <v>2.6143213842499995E-4</v>
      </c>
      <c r="G16" s="90">
        <f>PROP_InOut!$C$4</f>
        <v>19.55</v>
      </c>
      <c r="H16" s="91">
        <f>PROP_InOut!$C$8*PROP_Table!C16</f>
        <v>43.660789071362849</v>
      </c>
      <c r="I16" s="92">
        <f t="shared" si="2"/>
        <v>47.837924310467713</v>
      </c>
      <c r="J16" s="93">
        <f>I16/PROP_InOut!$D$8</f>
        <v>0.13821333752614326</v>
      </c>
      <c r="K16" s="91">
        <f t="shared" si="3"/>
        <v>0.42099807128013028</v>
      </c>
      <c r="L16" s="92">
        <f t="shared" si="4"/>
        <v>24.121412667499261</v>
      </c>
      <c r="M16" s="90">
        <v>0</v>
      </c>
      <c r="N16" s="90">
        <v>0</v>
      </c>
      <c r="O16" s="91">
        <f t="shared" si="5"/>
        <v>0.43559054806648478</v>
      </c>
      <c r="P16" s="87">
        <v>24.9575</v>
      </c>
      <c r="Q16" s="91">
        <f t="shared" si="6"/>
        <v>1.459247678635449E-2</v>
      </c>
      <c r="R16" s="93">
        <f t="shared" si="7"/>
        <v>0.83608733250073897</v>
      </c>
      <c r="S16" s="94">
        <f>PROP_InOut!$F$8*PROP_Table!I16*PROP_Table!E16</f>
        <v>129147.30521736936</v>
      </c>
      <c r="T16" s="91">
        <v>1.23939</v>
      </c>
      <c r="U16" s="91">
        <v>1.5709999999999998E-2</v>
      </c>
      <c r="V16" s="8">
        <f>0.5*PROP_InOut!$J$8*I16^2*E16*T16*(C16-C15)</f>
        <v>0.30317661239708943</v>
      </c>
      <c r="W16" s="8">
        <f>0.5*PROP_InOut!$J$8*I16^2*E16*U16*(C16-C15)</f>
        <v>3.8429425610649391E-3</v>
      </c>
      <c r="X16" s="91">
        <f t="shared" si="8"/>
        <v>0.27513318748428262</v>
      </c>
      <c r="Y16" s="91">
        <f t="shared" si="9"/>
        <v>1.1066624527863125E-2</v>
      </c>
      <c r="Z16" s="95">
        <f t="shared" si="10"/>
        <v>5.5626922106834256</v>
      </c>
      <c r="AA16" s="88">
        <f>PROP_InOut!$G$4/2*((PROP_InOut!$E$8-PROP_Table!C16)/(PROP_Table!C16*SIN(PROP_Table!K16)))</f>
        <v>5.0662803312775369</v>
      </c>
      <c r="AB16" s="88">
        <f t="shared" si="11"/>
        <v>0.99598555594920513</v>
      </c>
      <c r="AC16" s="88">
        <f>PROP_InOut!$G$4/2*((C16-PROP_InOut!$J$12/2)/(C16*SIN(PROP_Table!K16)))</f>
        <v>1.9997364012571974</v>
      </c>
      <c r="AD16" s="88">
        <f t="shared" si="12"/>
        <v>0.91355476253091994</v>
      </c>
      <c r="AE16" s="88">
        <f t="shared" si="13"/>
        <v>0.90988734804940241</v>
      </c>
      <c r="AF16" s="25">
        <f>0.5*PROP_InOut!$J$8*I16^2*E16*T16*(C16-C15)</f>
        <v>0.30317661239708943</v>
      </c>
      <c r="AG16" s="25">
        <f>0.5*PROP_InOut!$J$8*I16^2*E16*U16*(C16-C15)</f>
        <v>3.8429425610649391E-3</v>
      </c>
      <c r="AH16" s="88">
        <f t="shared" si="0"/>
        <v>0.25034020632045295</v>
      </c>
      <c r="AI16" s="88">
        <f t="shared" si="1"/>
        <v>1.0069381643515849E-2</v>
      </c>
      <c r="AJ16" s="88">
        <f t="shared" si="14"/>
        <v>5.5626922106834256</v>
      </c>
      <c r="AK16" s="90"/>
    </row>
    <row r="17" spans="1:37" s="96" customFormat="1" x14ac:dyDescent="0.25">
      <c r="A17" s="175"/>
      <c r="B17" s="82">
        <v>14</v>
      </c>
      <c r="C17" s="87">
        <v>9.3431359999999991E-2</v>
      </c>
      <c r="D17" s="88">
        <f>C17/PROP_InOut!$E$8</f>
        <v>0.35032380952380948</v>
      </c>
      <c r="E17" s="88">
        <v>4.2090339999999997E-2</v>
      </c>
      <c r="F17" s="89">
        <f>E17*PROP_InOut!$G$8</f>
        <v>2.6393273826249994E-4</v>
      </c>
      <c r="G17" s="90">
        <f>PROP_InOut!$C$4</f>
        <v>19.55</v>
      </c>
      <c r="H17" s="91">
        <f>PROP_InOut!$C$8*PROP_Table!C17</f>
        <v>46.963723870544513</v>
      </c>
      <c r="I17" s="92">
        <f t="shared" si="2"/>
        <v>50.870363275572863</v>
      </c>
      <c r="J17" s="93">
        <f>I17/PROP_InOut!$D$8</f>
        <v>0.14697466060302677</v>
      </c>
      <c r="K17" s="91">
        <f t="shared" si="3"/>
        <v>0.39446053677269344</v>
      </c>
      <c r="L17" s="92">
        <f t="shared" si="4"/>
        <v>22.600923941540344</v>
      </c>
      <c r="M17" s="90">
        <v>0</v>
      </c>
      <c r="N17" s="90">
        <v>0</v>
      </c>
      <c r="O17" s="91">
        <f t="shared" si="5"/>
        <v>0.40835468508911327</v>
      </c>
      <c r="P17" s="87">
        <v>23.396999999999998</v>
      </c>
      <c r="Q17" s="91">
        <f t="shared" si="6"/>
        <v>1.3894148316419825E-2</v>
      </c>
      <c r="R17" s="93">
        <f t="shared" si="7"/>
        <v>0.79607605845965423</v>
      </c>
      <c r="S17" s="94">
        <f>PROP_InOut!$F$8*PROP_Table!I17*PROP_Table!E17</f>
        <v>138647.53367383196</v>
      </c>
      <c r="T17" s="91">
        <v>1.2252099999999999</v>
      </c>
      <c r="U17" s="91">
        <v>1.481E-2</v>
      </c>
      <c r="V17" s="8">
        <f>0.5*PROP_InOut!$J$8*I17^2*E17*T17*(C17-C16)</f>
        <v>0.52159346204765045</v>
      </c>
      <c r="W17" s="8">
        <f>0.5*PROP_InOut!$J$8*I17^2*E17*U17*(C17-C16)</f>
        <v>6.3048776723383772E-3</v>
      </c>
      <c r="X17" s="91">
        <f t="shared" si="8"/>
        <v>0.47911415206064323</v>
      </c>
      <c r="Y17" s="91">
        <f t="shared" si="9"/>
        <v>1.9272495988849787E-2</v>
      </c>
      <c r="Z17" s="95">
        <f t="shared" si="10"/>
        <v>9.687413090385478</v>
      </c>
      <c r="AA17" s="88">
        <f>PROP_InOut!$G$4/2*((PROP_InOut!$E$8-PROP_Table!C17)/(PROP_Table!C17*SIN(PROP_Table!K17)))</f>
        <v>4.8255339266912429</v>
      </c>
      <c r="AB17" s="88">
        <f t="shared" si="11"/>
        <v>0.99489280988469153</v>
      </c>
      <c r="AC17" s="88">
        <f>PROP_InOut!$G$4/2*((C17-PROP_InOut!$J$12/2)/(C17*SIN(PROP_Table!K17)))</f>
        <v>2.1599456567020989</v>
      </c>
      <c r="AD17" s="88">
        <f t="shared" si="12"/>
        <v>0.92641400684301189</v>
      </c>
      <c r="AE17" s="88">
        <f t="shared" si="13"/>
        <v>0.92168263438457998</v>
      </c>
      <c r="AF17" s="25">
        <f>0.5*PROP_InOut!$J$8*I17^2*E17*T17*(C17-C16)</f>
        <v>0.52159346204765045</v>
      </c>
      <c r="AG17" s="25">
        <f>0.5*PROP_InOut!$J$8*I17^2*E17*U17*(C17-C16)</f>
        <v>6.3048776723383772E-3</v>
      </c>
      <c r="AH17" s="88">
        <f t="shared" si="0"/>
        <v>0.44159119384218787</v>
      </c>
      <c r="AI17" s="88">
        <f t="shared" si="1"/>
        <v>1.7763124874169322E-2</v>
      </c>
      <c r="AJ17" s="88">
        <f t="shared" si="14"/>
        <v>9.687413090385478</v>
      </c>
      <c r="AK17" s="90"/>
    </row>
    <row r="18" spans="1:37" s="96" customFormat="1" x14ac:dyDescent="0.25">
      <c r="A18" s="175"/>
      <c r="B18" s="82">
        <v>15</v>
      </c>
      <c r="C18" s="87">
        <v>0.10000487999999999</v>
      </c>
      <c r="D18" s="88">
        <f>C18/PROP_InOut!$E$8</f>
        <v>0.37497142857142857</v>
      </c>
      <c r="E18" s="88">
        <v>4.2237659999999996E-2</v>
      </c>
      <c r="F18" s="89">
        <f>E18*PROP_InOut!$G$8</f>
        <v>2.6485652673749997E-4</v>
      </c>
      <c r="G18" s="90">
        <f>PROP_InOut!$C$4</f>
        <v>19.55</v>
      </c>
      <c r="H18" s="91">
        <f>PROP_InOut!$C$8*PROP_Table!C18</f>
        <v>50.267935412980606</v>
      </c>
      <c r="I18" s="92">
        <f t="shared" si="2"/>
        <v>53.93577505407324</v>
      </c>
      <c r="J18" s="93">
        <f>I18/PROP_InOut!$D$8</f>
        <v>0.15583124873692661</v>
      </c>
      <c r="K18" s="91">
        <f t="shared" si="3"/>
        <v>0.37091476269837059</v>
      </c>
      <c r="L18" s="92">
        <f t="shared" si="4"/>
        <v>21.251850461713094</v>
      </c>
      <c r="M18" s="90">
        <v>0</v>
      </c>
      <c r="N18" s="90">
        <v>0</v>
      </c>
      <c r="O18" s="91">
        <f t="shared" si="5"/>
        <v>0.38415569501021191</v>
      </c>
      <c r="P18" s="87">
        <v>22.0105</v>
      </c>
      <c r="Q18" s="91">
        <f t="shared" si="6"/>
        <v>1.3240932311841303E-2</v>
      </c>
      <c r="R18" s="93">
        <f t="shared" si="7"/>
        <v>0.75864953828690673</v>
      </c>
      <c r="S18" s="94">
        <f>PROP_InOut!$F$8*PROP_Table!I18*PROP_Table!E18</f>
        <v>147516.85656246229</v>
      </c>
      <c r="T18" s="91">
        <v>1.20991</v>
      </c>
      <c r="U18" s="91">
        <v>1.409E-2</v>
      </c>
      <c r="V18" s="8">
        <f>0.5*PROP_InOut!$J$8*I18^2*E18*T18*(C18-C17)</f>
        <v>0.58127828811025106</v>
      </c>
      <c r="W18" s="8">
        <f>0.5*PROP_InOut!$J$8*I18^2*E18*U18*(C18-C17)</f>
        <v>6.7692729868117779E-3</v>
      </c>
      <c r="X18" s="91">
        <f t="shared" si="8"/>
        <v>0.5392954885257587</v>
      </c>
      <c r="Y18" s="91">
        <f t="shared" si="9"/>
        <v>2.1701438546843213E-2</v>
      </c>
      <c r="Z18" s="95">
        <f t="shared" si="10"/>
        <v>10.908332785774878</v>
      </c>
      <c r="AA18" s="88">
        <f>PROP_InOut!$G$4/2*((PROP_InOut!$E$8-PROP_Table!C18)/(PROP_Table!C18*SIN(PROP_Table!K18)))</f>
        <v>4.5986658638433102</v>
      </c>
      <c r="AB18" s="88">
        <f t="shared" si="11"/>
        <v>0.99359215131926093</v>
      </c>
      <c r="AC18" s="88">
        <f>PROP_InOut!$G$4/2*((C18-PROP_InOut!$J$12/2)/(C18*SIN(PROP_Table!K18)))</f>
        <v>2.3209150170996846</v>
      </c>
      <c r="AD18" s="88">
        <f t="shared" si="12"/>
        <v>0.93739344786310519</v>
      </c>
      <c r="AE18" s="88">
        <f t="shared" si="13"/>
        <v>0.93138677249488211</v>
      </c>
      <c r="AF18" s="25">
        <f>0.5*PROP_InOut!$J$8*I18^2*E18*T18*(C18-C17)</f>
        <v>0.58127828811025106</v>
      </c>
      <c r="AG18" s="25">
        <f>0.5*PROP_InOut!$J$8*I18^2*E18*U18*(C18-C17)</f>
        <v>6.7692729868117779E-3</v>
      </c>
      <c r="AH18" s="88">
        <f t="shared" si="0"/>
        <v>0.50229268447905717</v>
      </c>
      <c r="AI18" s="88">
        <f t="shared" si="1"/>
        <v>2.0212432806640326E-2</v>
      </c>
      <c r="AJ18" s="88">
        <f t="shared" si="14"/>
        <v>10.908332785774878</v>
      </c>
      <c r="AK18" s="90"/>
    </row>
    <row r="19" spans="1:37" s="96" customFormat="1" x14ac:dyDescent="0.25">
      <c r="A19" s="175"/>
      <c r="B19" s="82">
        <v>16</v>
      </c>
      <c r="C19" s="87">
        <v>0.10657585999999999</v>
      </c>
      <c r="D19" s="88">
        <f>C19/PROP_InOut!$E$8</f>
        <v>0.3996095238095238</v>
      </c>
      <c r="E19" s="88">
        <v>4.2146219999999998E-2</v>
      </c>
      <c r="F19" s="89">
        <f>E19*PROP_InOut!$G$8</f>
        <v>2.6428314078749996E-4</v>
      </c>
      <c r="G19" s="90">
        <f>PROP_InOut!$C$4</f>
        <v>19.55</v>
      </c>
      <c r="H19" s="91">
        <f>PROP_InOut!$C$8*PROP_Table!C19</f>
        <v>53.570870212162284</v>
      </c>
      <c r="I19" s="92">
        <f t="shared" si="2"/>
        <v>57.026666001865621</v>
      </c>
      <c r="J19" s="93">
        <f>I19/PROP_InOut!$D$8</f>
        <v>0.16476145129026462</v>
      </c>
      <c r="K19" s="91">
        <f t="shared" si="3"/>
        <v>0.34991938152110158</v>
      </c>
      <c r="L19" s="92">
        <f t="shared" si="4"/>
        <v>20.04890373098717</v>
      </c>
      <c r="M19" s="90">
        <v>0</v>
      </c>
      <c r="N19" s="90">
        <v>0</v>
      </c>
      <c r="O19" s="91">
        <f t="shared" si="5"/>
        <v>0.36254328288276616</v>
      </c>
      <c r="P19" s="87">
        <v>20.772200000000002</v>
      </c>
      <c r="Q19" s="91">
        <f t="shared" si="6"/>
        <v>1.2623901361664538E-2</v>
      </c>
      <c r="R19" s="93">
        <f t="shared" si="7"/>
        <v>0.72329626901283106</v>
      </c>
      <c r="S19" s="94">
        <f>PROP_InOut!$F$8*PROP_Table!I19*PROP_Table!E19</f>
        <v>155632.92766839277</v>
      </c>
      <c r="T19" s="91">
        <v>1.19432</v>
      </c>
      <c r="U19" s="91">
        <v>1.35E-2</v>
      </c>
      <c r="V19" s="8">
        <f>0.5*PROP_InOut!$J$8*I19^2*E19*T19*(C19-C18)</f>
        <v>0.63980082051907916</v>
      </c>
      <c r="W19" s="8">
        <f>0.5*PROP_InOut!$J$8*I19^2*E19*U19*(C19-C18)</f>
        <v>7.2319906532650954E-3</v>
      </c>
      <c r="X19" s="91">
        <f t="shared" si="8"/>
        <v>0.59854983104350734</v>
      </c>
      <c r="Y19" s="91">
        <f t="shared" si="9"/>
        <v>2.4100167590494652E-2</v>
      </c>
      <c r="Z19" s="95">
        <f t="shared" si="10"/>
        <v>12.114065512412932</v>
      </c>
      <c r="AA19" s="88">
        <f>PROP_InOut!$G$4/2*((PROP_InOut!$E$8-PROP_Table!C19)/(PROP_Table!C19*SIN(PROP_Table!K19)))</f>
        <v>4.3825732590663922</v>
      </c>
      <c r="AB19" s="88">
        <f t="shared" si="11"/>
        <v>0.99204639464747146</v>
      </c>
      <c r="AC19" s="88">
        <f>PROP_InOut!$G$4/2*((C19-PROP_InOut!$J$12/2)/(C19*SIN(PROP_Table!K19)))</f>
        <v>2.4824686871718691</v>
      </c>
      <c r="AD19" s="88">
        <f t="shared" si="12"/>
        <v>0.9467568084273903</v>
      </c>
      <c r="AE19" s="88">
        <f t="shared" si="13"/>
        <v>0.9392266784083394</v>
      </c>
      <c r="AF19" s="25">
        <f>0.5*PROP_InOut!$J$8*I19^2*E19*T19*(C19-C18)</f>
        <v>0.63980082051907916</v>
      </c>
      <c r="AG19" s="25">
        <f>0.5*PROP_InOut!$J$8*I19^2*E19*U19*(C19-C18)</f>
        <v>7.2319906532650954E-3</v>
      </c>
      <c r="AH19" s="88">
        <f t="shared" si="0"/>
        <v>0.56217396967286615</v>
      </c>
      <c r="AI19" s="88">
        <f t="shared" si="1"/>
        <v>2.2635520355104605E-2</v>
      </c>
      <c r="AJ19" s="88">
        <f t="shared" si="14"/>
        <v>12.114065512412932</v>
      </c>
      <c r="AK19" s="90"/>
    </row>
    <row r="20" spans="1:37" s="96" customFormat="1" x14ac:dyDescent="0.25">
      <c r="A20" s="175"/>
      <c r="B20" s="82">
        <v>17</v>
      </c>
      <c r="C20" s="87">
        <v>0.11314937999999999</v>
      </c>
      <c r="D20" s="88">
        <f>C20/PROP_InOut!$E$8</f>
        <v>0.42425714285714283</v>
      </c>
      <c r="E20" s="88">
        <v>4.1838879999999995E-2</v>
      </c>
      <c r="F20" s="89">
        <f>E20*PROP_InOut!$G$8</f>
        <v>2.6235592689999993E-4</v>
      </c>
      <c r="G20" s="90">
        <f>PROP_InOut!$C$4</f>
        <v>19.55</v>
      </c>
      <c r="H20" s="91">
        <f>PROP_InOut!$C$8*PROP_Table!C20</f>
        <v>56.875081754598376</v>
      </c>
      <c r="I20" s="92">
        <f t="shared" si="2"/>
        <v>60.141312128953828</v>
      </c>
      <c r="J20" s="93">
        <f>I20/PROP_InOut!$D$8</f>
        <v>0.17376028731090568</v>
      </c>
      <c r="K20" s="91">
        <f t="shared" si="3"/>
        <v>0.33108335010415368</v>
      </c>
      <c r="L20" s="92">
        <f t="shared" si="4"/>
        <v>18.96967862802023</v>
      </c>
      <c r="M20" s="90">
        <v>0</v>
      </c>
      <c r="N20" s="90">
        <v>0</v>
      </c>
      <c r="O20" s="91">
        <f t="shared" si="5"/>
        <v>0.34314220291759712</v>
      </c>
      <c r="P20" s="87">
        <v>19.660599999999999</v>
      </c>
      <c r="Q20" s="91">
        <f t="shared" si="6"/>
        <v>1.2058852813443464E-2</v>
      </c>
      <c r="R20" s="93">
        <f t="shared" si="7"/>
        <v>0.69092137197976911</v>
      </c>
      <c r="S20" s="94">
        <f>PROP_InOut!$F$8*PROP_Table!I20*PROP_Table!E20</f>
        <v>162936.2905700464</v>
      </c>
      <c r="T20" s="91">
        <v>1.17954</v>
      </c>
      <c r="U20" s="91">
        <v>1.3010000000000001E-2</v>
      </c>
      <c r="V20" s="8">
        <f>0.5*PROP_InOut!$J$8*I20^2*E20*T20*(C20-C19)</f>
        <v>0.69793641599652134</v>
      </c>
      <c r="W20" s="8">
        <f>0.5*PROP_InOut!$J$8*I20^2*E20*U20*(C20-C19)</f>
        <v>7.6980456551831592E-3</v>
      </c>
      <c r="X20" s="91">
        <f t="shared" si="8"/>
        <v>0.65752961694556544</v>
      </c>
      <c r="Y20" s="91">
        <f t="shared" si="9"/>
        <v>2.6494671744360796E-2</v>
      </c>
      <c r="Z20" s="95">
        <f t="shared" si="10"/>
        <v>13.317674577817112</v>
      </c>
      <c r="AA20" s="88">
        <f>PROP_InOut!$G$4/2*((PROP_InOut!$E$8-PROP_Table!C20)/(PROP_Table!C20*SIN(PROP_Table!K20)))</f>
        <v>4.1747025106810041</v>
      </c>
      <c r="AB20" s="88">
        <f t="shared" si="11"/>
        <v>0.99020855065203239</v>
      </c>
      <c r="AC20" s="88">
        <f>PROP_InOut!$G$4/2*((C20-PROP_InOut!$J$12/2)/(C20*SIN(PROP_Table!K20)))</f>
        <v>2.6446757324127903</v>
      </c>
      <c r="AD20" s="88">
        <f t="shared" si="12"/>
        <v>0.95474381981229905</v>
      </c>
      <c r="AE20" s="88">
        <f t="shared" si="13"/>
        <v>0.94539549406032186</v>
      </c>
      <c r="AF20" s="25">
        <f>0.5*PROP_InOut!$J$8*I20^2*E20*T20*(C20-C19)</f>
        <v>0.69793641599652134</v>
      </c>
      <c r="AG20" s="25">
        <f>0.5*PROP_InOut!$J$8*I20^2*E20*U20*(C20-C19)</f>
        <v>7.6980456551831592E-3</v>
      </c>
      <c r="AH20" s="88">
        <f t="shared" si="0"/>
        <v>0.621625537071547</v>
      </c>
      <c r="AI20" s="88">
        <f t="shared" si="1"/>
        <v>2.5047943283726025E-2</v>
      </c>
      <c r="AJ20" s="88">
        <f t="shared" si="14"/>
        <v>13.317674577817112</v>
      </c>
      <c r="AK20" s="90"/>
    </row>
    <row r="21" spans="1:37" s="96" customFormat="1" x14ac:dyDescent="0.25">
      <c r="A21" s="175"/>
      <c r="B21" s="82">
        <v>18</v>
      </c>
      <c r="C21" s="87">
        <v>0.11972036</v>
      </c>
      <c r="D21" s="88">
        <f>C21/PROP_InOut!$E$8</f>
        <v>0.44889523809523812</v>
      </c>
      <c r="E21" s="88">
        <v>4.1325799999999996E-2</v>
      </c>
      <c r="F21" s="89">
        <f>E21*PROP_InOut!$G$8</f>
        <v>2.5913859462499997E-4</v>
      </c>
      <c r="G21" s="90">
        <f>PROP_InOut!$C$4</f>
        <v>19.55</v>
      </c>
      <c r="H21" s="91">
        <f>PROP_InOut!$C$8*PROP_Table!C21</f>
        <v>60.178016553780054</v>
      </c>
      <c r="I21" s="92">
        <f t="shared" si="2"/>
        <v>63.273977086532391</v>
      </c>
      <c r="J21" s="93">
        <f>I21/PROP_InOut!$D$8</f>
        <v>0.18281118333908861</v>
      </c>
      <c r="K21" s="91">
        <f t="shared" si="3"/>
        <v>0.31411382947114586</v>
      </c>
      <c r="L21" s="92">
        <f t="shared" si="4"/>
        <v>17.997396715388714</v>
      </c>
      <c r="M21" s="90">
        <v>0</v>
      </c>
      <c r="N21" s="90">
        <v>0</v>
      </c>
      <c r="O21" s="91">
        <f t="shared" si="5"/>
        <v>0.32564004117859807</v>
      </c>
      <c r="P21" s="87">
        <v>18.657800000000002</v>
      </c>
      <c r="Q21" s="91">
        <f t="shared" si="6"/>
        <v>1.1526211707452175E-2</v>
      </c>
      <c r="R21" s="93">
        <f t="shared" si="7"/>
        <v>0.66040328461128794</v>
      </c>
      <c r="S21" s="94">
        <f>PROP_InOut!$F$8*PROP_Table!I21*PROP_Table!E21</f>
        <v>169321.1767395963</v>
      </c>
      <c r="T21" s="91">
        <v>1.1664399999999999</v>
      </c>
      <c r="U21" s="91">
        <v>1.26E-2</v>
      </c>
      <c r="V21" s="8">
        <f>0.5*PROP_InOut!$J$8*I21^2*E21*T21*(C21-C20)</f>
        <v>0.75429882960335004</v>
      </c>
      <c r="W21" s="8">
        <f>0.5*PROP_InOut!$J$8*I21^2*E21*U21*(C21-C20)</f>
        <v>8.1480104017370887E-3</v>
      </c>
      <c r="X21" s="91">
        <f t="shared" si="8"/>
        <v>0.71487388550199094</v>
      </c>
      <c r="Y21" s="91">
        <f t="shared" si="9"/>
        <v>2.8829607867178239E-2</v>
      </c>
      <c r="Z21" s="95">
        <f t="shared" si="10"/>
        <v>14.491341485024266</v>
      </c>
      <c r="AA21" s="88">
        <f>PROP_InOut!$G$4/2*((PROP_InOut!$E$8-PROP_Table!C21)/(PROP_Table!C21*SIN(PROP_Table!K21)))</f>
        <v>3.9734480234014029</v>
      </c>
      <c r="AB21" s="88">
        <f t="shared" si="11"/>
        <v>0.98802545055813673</v>
      </c>
      <c r="AC21" s="88">
        <f>PROP_InOut!$G$4/2*((C21-PROP_InOut!$J$12/2)/(C21*SIN(PROP_Table!K21)))</f>
        <v>2.8073557700332312</v>
      </c>
      <c r="AD21" s="88">
        <f t="shared" si="12"/>
        <v>0.96154745333883851</v>
      </c>
      <c r="AE21" s="88">
        <f t="shared" si="13"/>
        <v>0.95003335581813486</v>
      </c>
      <c r="AF21" s="25">
        <f>0.5*PROP_InOut!$J$8*I21^2*E21*T21*(C21-C20)</f>
        <v>0.75429882960335004</v>
      </c>
      <c r="AG21" s="25">
        <f>0.5*PROP_InOut!$J$8*I21^2*E21*U21*(C21-C20)</f>
        <v>8.1480104017370887E-3</v>
      </c>
      <c r="AH21" s="88">
        <f t="shared" si="0"/>
        <v>0.67915403643020555</v>
      </c>
      <c r="AI21" s="88">
        <f t="shared" si="1"/>
        <v>2.7389089108976243E-2</v>
      </c>
      <c r="AJ21" s="88">
        <f t="shared" si="14"/>
        <v>14.491341485024266</v>
      </c>
      <c r="AK21" s="90"/>
    </row>
    <row r="22" spans="1:37" s="96" customFormat="1" x14ac:dyDescent="0.25">
      <c r="A22" s="175"/>
      <c r="B22" s="82">
        <v>19</v>
      </c>
      <c r="C22" s="87">
        <v>0.12629388</v>
      </c>
      <c r="D22" s="88">
        <f>C22/PROP_InOut!$E$8</f>
        <v>0.47354285714285715</v>
      </c>
      <c r="E22" s="88">
        <v>4.0624759999999996E-2</v>
      </c>
      <c r="F22" s="89">
        <f>E22*PROP_InOut!$G$8</f>
        <v>2.5474263567499996E-4</v>
      </c>
      <c r="G22" s="90">
        <f>PROP_InOut!$C$4</f>
        <v>19.55</v>
      </c>
      <c r="H22" s="91">
        <f>PROP_InOut!$C$8*PROP_Table!C22</f>
        <v>63.48222809621614</v>
      </c>
      <c r="I22" s="92">
        <f t="shared" si="2"/>
        <v>66.424361374875218</v>
      </c>
      <c r="J22" s="93">
        <f>I22/PROP_InOut!$D$8</f>
        <v>0.1919132740601634</v>
      </c>
      <c r="K22" s="91">
        <f t="shared" si="3"/>
        <v>0.2987436412765237</v>
      </c>
      <c r="L22" s="92">
        <f t="shared" si="4"/>
        <v>17.116749801515063</v>
      </c>
      <c r="M22" s="90">
        <v>0</v>
      </c>
      <c r="N22" s="90">
        <v>0</v>
      </c>
      <c r="O22" s="91">
        <f t="shared" si="5"/>
        <v>0.30978372492422956</v>
      </c>
      <c r="P22" s="87">
        <v>17.749300000000002</v>
      </c>
      <c r="Q22" s="91">
        <f t="shared" si="6"/>
        <v>1.1040083647705831E-2</v>
      </c>
      <c r="R22" s="93">
        <f t="shared" si="7"/>
        <v>0.63255019848493887</v>
      </c>
      <c r="S22" s="94">
        <f>PROP_InOut!$F$8*PROP_Table!I22*PROP_Table!E22</f>
        <v>174736.27431382673</v>
      </c>
      <c r="T22" s="91">
        <v>1.15448</v>
      </c>
      <c r="U22" s="91">
        <v>1.2239999999999999E-2</v>
      </c>
      <c r="V22" s="8">
        <f>0.5*PROP_InOut!$J$8*I22^2*E22*T22*(C22-C21)</f>
        <v>0.80911329029318879</v>
      </c>
      <c r="W22" s="8">
        <f>0.5*PROP_InOut!$J$8*I22^2*E22*U22*(C22-C21)</f>
        <v>8.5783614035657881E-3</v>
      </c>
      <c r="X22" s="91">
        <f t="shared" si="8"/>
        <v>0.77075046601798991</v>
      </c>
      <c r="Y22" s="91">
        <f t="shared" si="9"/>
        <v>3.111078024918635E-2</v>
      </c>
      <c r="Z22" s="95">
        <f t="shared" si="10"/>
        <v>15.637983788526443</v>
      </c>
      <c r="AA22" s="88">
        <f>PROP_InOut!$G$4/2*((PROP_InOut!$E$8-PROP_Table!C22)/(PROP_Table!C22*SIN(PROP_Table!K22)))</f>
        <v>3.777325045493714</v>
      </c>
      <c r="AB22" s="88">
        <f t="shared" si="11"/>
        <v>0.98543043413611953</v>
      </c>
      <c r="AC22" s="88">
        <f>PROP_InOut!$G$4/2*((C22-PROP_InOut!$J$12/2)/(C22*SIN(PROP_Table!K22)))</f>
        <v>2.9705827703191638</v>
      </c>
      <c r="AD22" s="88">
        <f t="shared" si="12"/>
        <v>0.96734400715485314</v>
      </c>
      <c r="AE22" s="88">
        <f t="shared" si="13"/>
        <v>0.95325022492958045</v>
      </c>
      <c r="AF22" s="25">
        <f>0.5*PROP_InOut!$J$8*I22^2*E22*T22*(C22-C21)</f>
        <v>0.80911329029318879</v>
      </c>
      <c r="AG22" s="25">
        <f>0.5*PROP_InOut!$J$8*I22^2*E22*U22*(C22-C21)</f>
        <v>8.5783614035657881E-3</v>
      </c>
      <c r="AH22" s="88">
        <f t="shared" si="0"/>
        <v>0.73471805509622778</v>
      </c>
      <c r="AI22" s="88">
        <f t="shared" si="1"/>
        <v>2.9656358270271636E-2</v>
      </c>
      <c r="AJ22" s="88">
        <f t="shared" si="14"/>
        <v>15.637983788526443</v>
      </c>
      <c r="AK22" s="90"/>
    </row>
    <row r="23" spans="1:37" s="96" customFormat="1" x14ac:dyDescent="0.25">
      <c r="A23" s="176"/>
      <c r="B23" s="98">
        <v>20</v>
      </c>
      <c r="C23" s="87">
        <v>0.1328674</v>
      </c>
      <c r="D23" s="99">
        <f>C23/PROP_InOut!$E$8</f>
        <v>0.49819047619047618</v>
      </c>
      <c r="E23" s="88">
        <v>3.9756079999999999E-2</v>
      </c>
      <c r="F23" s="100">
        <f>E23*PROP_InOut!$G$8</f>
        <v>2.4929546914999995E-4</v>
      </c>
      <c r="G23" s="101">
        <f>PROP_InOut!$C$4</f>
        <v>19.55</v>
      </c>
      <c r="H23" s="102">
        <f>PROP_InOut!$C$8*PROP_Table!C23</f>
        <v>66.78643963865224</v>
      </c>
      <c r="I23" s="103">
        <f t="shared" si="2"/>
        <v>69.589015078583628</v>
      </c>
      <c r="J23" s="104">
        <f>I23/PROP_InOut!$D$8</f>
        <v>0.20105659197808359</v>
      </c>
      <c r="K23" s="102">
        <f t="shared" si="3"/>
        <v>0.28476835653494698</v>
      </c>
      <c r="L23" s="103">
        <f t="shared" si="4"/>
        <v>16.316024968329138</v>
      </c>
      <c r="M23" s="101">
        <v>0</v>
      </c>
      <c r="N23" s="101">
        <v>0</v>
      </c>
      <c r="O23" s="102">
        <f t="shared" si="5"/>
        <v>0.29535508799799237</v>
      </c>
      <c r="P23" s="87">
        <v>16.922599999999999</v>
      </c>
      <c r="Q23" s="102">
        <f>RADIANS(R23)</f>
        <v>1.0586731463045404E-2</v>
      </c>
      <c r="R23" s="104">
        <f t="shared" si="7"/>
        <v>0.60657503167086091</v>
      </c>
      <c r="S23" s="105">
        <f>PROP_InOut!$F$8*PROP_Table!I23*PROP_Table!E23</f>
        <v>179146.82731735325</v>
      </c>
      <c r="T23" s="102">
        <v>1.1435900000000001</v>
      </c>
      <c r="U23" s="102">
        <v>1.1939999999999999E-2</v>
      </c>
      <c r="V23" s="8">
        <f>0.5*PROP_InOut!$J$8*I23^2*E23*T23*(C23-C22)</f>
        <v>0.86086018498794314</v>
      </c>
      <c r="W23" s="8">
        <f>0.5*PROP_InOut!$J$8*I23^2*E23*U23*(C23-C22)</f>
        <v>8.9880731807343885E-3</v>
      </c>
      <c r="X23" s="102">
        <f t="shared" si="8"/>
        <v>0.8236654863789391</v>
      </c>
      <c r="Y23" s="102">
        <f t="shared" si="9"/>
        <v>3.3279560049930247E-2</v>
      </c>
      <c r="Z23" s="106">
        <f t="shared" si="10"/>
        <v>16.728131418809799</v>
      </c>
      <c r="AA23" s="99">
        <f>PROP_InOut!$G$4/2*((PROP_InOut!$E$8-PROP_Table!C23)/(PROP_Table!C23*SIN(PROP_Table!K23)))</f>
        <v>3.5853982866166936</v>
      </c>
      <c r="AB23" s="99">
        <f t="shared" si="11"/>
        <v>0.98234705823795365</v>
      </c>
      <c r="AC23" s="99">
        <f>PROP_InOut!$G$4/2*((C23-PROP_InOut!$J$12/2)/(C23*SIN(PROP_Table!K23)))</f>
        <v>3.1342464429980055</v>
      </c>
      <c r="AD23" s="99">
        <f t="shared" si="12"/>
        <v>0.9722775598905371</v>
      </c>
      <c r="AE23" s="99">
        <f t="shared" si="13"/>
        <v>0.95511400074924491</v>
      </c>
      <c r="AF23" s="25">
        <f>0.5*PROP_InOut!$J$8*I23^2*E23*T23*(C23-C22)</f>
        <v>0.86086018498794314</v>
      </c>
      <c r="AG23" s="25">
        <f>0.5*PROP_InOut!$J$8*I23^2*E23*U23*(C23-C22)</f>
        <v>8.9880731807343885E-3</v>
      </c>
      <c r="AH23" s="99">
        <f t="shared" si="0"/>
        <v>0.78669443797446126</v>
      </c>
      <c r="AI23" s="99">
        <f t="shared" si="1"/>
        <v>3.1785773742463622E-2</v>
      </c>
      <c r="AJ23" s="99">
        <f t="shared" si="14"/>
        <v>16.728131418809799</v>
      </c>
      <c r="AK23" s="101"/>
    </row>
    <row r="24" spans="1:37" s="96" customFormat="1" x14ac:dyDescent="0.25">
      <c r="A24" s="177" t="s">
        <v>85</v>
      </c>
      <c r="B24" s="107">
        <v>21</v>
      </c>
      <c r="C24" s="87">
        <v>0.13943838</v>
      </c>
      <c r="D24" s="108">
        <f>C24/PROP_InOut!$E$8</f>
        <v>0.52282857142857142</v>
      </c>
      <c r="E24" s="88">
        <v>3.8732459999999996E-2</v>
      </c>
      <c r="F24" s="109">
        <f>E24*PROP_InOut!$G$8</f>
        <v>2.4287673198749996E-4</v>
      </c>
      <c r="G24" s="96">
        <f>PROP_InOut!$C$4</f>
        <v>19.55</v>
      </c>
      <c r="H24" s="110">
        <f>PROP_InOut!$C$8*PROP_Table!C24</f>
        <v>70.089374437833911</v>
      </c>
      <c r="I24" s="111">
        <f t="shared" ref="I24:I43" si="15">SQRT(G24^2+H24^2)</f>
        <v>72.76484665748211</v>
      </c>
      <c r="J24" s="112">
        <f>I24/PROP_InOut!$D$8</f>
        <v>0.21023220501454706</v>
      </c>
      <c r="K24" s="110">
        <f t="shared" ref="K24:K43" si="16">ATAN(G24/H24)</f>
        <v>0.27201583030279142</v>
      </c>
      <c r="L24" s="111">
        <f t="shared" ref="L24:L43" si="17">DEGREES(K24)</f>
        <v>15.585359037096755</v>
      </c>
      <c r="M24" s="96">
        <v>0</v>
      </c>
      <c r="N24" s="96">
        <v>0</v>
      </c>
      <c r="O24" s="110">
        <f t="shared" ref="O24:O43" si="18">RADIANS(P24)</f>
        <v>0.28217785214543523</v>
      </c>
      <c r="P24" s="87">
        <v>16.1676</v>
      </c>
      <c r="Q24" s="110">
        <f t="shared" ref="Q24:Q43" si="19">RADIANS(R24)</f>
        <v>1.0162021842643799E-2</v>
      </c>
      <c r="R24" s="112">
        <f t="shared" si="7"/>
        <v>0.58224096290324567</v>
      </c>
      <c r="S24" s="113">
        <f>PROP_InOut!$F$8*PROP_Table!I24*PROP_Table!E24</f>
        <v>182499.45636178998</v>
      </c>
      <c r="T24" s="110">
        <v>1.1336599999999999</v>
      </c>
      <c r="U24" s="110">
        <v>1.1690000000000001E-2</v>
      </c>
      <c r="V24" s="8">
        <f>0.5*PROP_InOut!$J$8*I24^2*E24*T24*(C24-C23)</f>
        <v>0.90867930151092979</v>
      </c>
      <c r="W24" s="8">
        <f>0.5*PROP_InOut!$J$8*I24^2*E24*U24*(C24-C23)</f>
        <v>9.3700589547684229E-3</v>
      </c>
      <c r="X24" s="110">
        <f t="shared" ref="X24:X42" si="20">(AF24*COS(K24+M24)-AG24*SIN(K24+M24))</f>
        <v>0.87275081405552835</v>
      </c>
      <c r="Y24" s="110">
        <f t="shared" ref="Y24:Y43" si="21">(C24*(AF24*SIN(K24+M24)+AG24*COS(K24+M24)))</f>
        <v>3.5300744069901323E-2</v>
      </c>
      <c r="Z24" s="95">
        <f t="shared" ref="Z24:Z43" si="22">(H24*(AF24*SIN(K24+M24)+AG24*COS(K24+M24)))</f>
        <v>17.744089317800874</v>
      </c>
      <c r="AA24" s="88">
        <f>PROP_InOut!$G$4/2*((PROP_InOut!$E$8-PROP_Table!C24)/(PROP_Table!C24*SIN(PROP_Table!K24)))</f>
        <v>3.3969564225809399</v>
      </c>
      <c r="AB24" s="88">
        <f t="shared" ref="AB24:AB43" si="23">2/PI()*ACOS(EXP(-AA24))</f>
        <v>0.97868517179246084</v>
      </c>
      <c r="AC24" s="88">
        <f>PROP_InOut!$G$4/2*((C24-PROP_InOut!$J$12/2)/(C24*SIN(PROP_Table!K24)))</f>
        <v>3.2982404065484103</v>
      </c>
      <c r="AD24" s="88">
        <f t="shared" ref="AD24:AD43" si="24">2/PI()*ACOS(EXP(-AC24))</f>
        <v>0.97647273859868589</v>
      </c>
      <c r="AE24" s="88">
        <f t="shared" ref="AE24:AE43" si="25">AD24*AB24</f>
        <v>0.95565938992610955</v>
      </c>
      <c r="AF24" s="25">
        <f>0.5*PROP_InOut!$J$8*I24^2*E24*T24*(C24-C23)</f>
        <v>0.90867930151092979</v>
      </c>
      <c r="AG24" s="25">
        <f>0.5*PROP_InOut!$J$8*I24^2*E24*U24*(C24-C23)</f>
        <v>9.3700589547684229E-3</v>
      </c>
      <c r="AH24" s="108">
        <f t="shared" ref="AH24:AH42" si="26">AE24*(AF24*COS(K24+M24)-AG24*SIN(K24+M24))</f>
        <v>0.8340525105178217</v>
      </c>
      <c r="AI24" s="108">
        <f t="shared" ref="AI24:AI42" si="27">AE24*(C24*(AF24*SIN(K24+M24)+AG24*COS(K24+M24)))</f>
        <v>3.373548754177963E-2</v>
      </c>
      <c r="AJ24" s="108">
        <f t="shared" ref="AJ24:AJ42" si="28">H24*(AF24*SIN(K24+M24)+AG24*COS(K24+M24))</f>
        <v>17.744089317800874</v>
      </c>
    </row>
    <row r="25" spans="1:37" s="96" customFormat="1" x14ac:dyDescent="0.25">
      <c r="A25" s="177"/>
      <c r="B25" s="107">
        <v>22</v>
      </c>
      <c r="C25" s="87">
        <v>0.1460119</v>
      </c>
      <c r="D25" s="108">
        <f>C25/PROP_InOut!$E$8</f>
        <v>0.54747619047619045</v>
      </c>
      <c r="E25" s="88">
        <v>3.7571680000000003E-2</v>
      </c>
      <c r="F25" s="109">
        <f>E25*PROP_InOut!$G$8</f>
        <v>2.3559791589999998E-4</v>
      </c>
      <c r="G25" s="96">
        <f>PROP_InOut!$C$4</f>
        <v>19.55</v>
      </c>
      <c r="H25" s="110">
        <f>PROP_InOut!$C$8*PROP_Table!C25</f>
        <v>73.393585980270004</v>
      </c>
      <c r="I25" s="111">
        <f t="shared" si="15"/>
        <v>75.952754808784164</v>
      </c>
      <c r="J25" s="112">
        <f>I25/PROP_InOut!$D$8</f>
        <v>0.2194427096856672</v>
      </c>
      <c r="K25" s="110">
        <f t="shared" si="16"/>
        <v>0.26032731510376522</v>
      </c>
      <c r="L25" s="111">
        <f t="shared" si="17"/>
        <v>14.915656447418037</v>
      </c>
      <c r="M25" s="96">
        <v>0</v>
      </c>
      <c r="N25" s="96">
        <v>0</v>
      </c>
      <c r="O25" s="110">
        <f t="shared" si="18"/>
        <v>0.2700966830631305</v>
      </c>
      <c r="P25" s="87">
        <v>15.4754</v>
      </c>
      <c r="Q25" s="110">
        <f t="shared" si="19"/>
        <v>9.7693679593652688E-3</v>
      </c>
      <c r="R25" s="112">
        <f t="shared" si="7"/>
        <v>0.5597435525819634</v>
      </c>
      <c r="S25" s="113">
        <f>PROP_InOut!$F$8*PROP_Table!I25*PROP_Table!E25</f>
        <v>184785.9813555654</v>
      </c>
      <c r="T25" s="110">
        <v>1.1247499999999999</v>
      </c>
      <c r="U25" s="110">
        <v>1.1480000000000001E-2</v>
      </c>
      <c r="V25" s="8">
        <f>0.5*PROP_InOut!$J$8*I25^2*E25*T25*(C25-C24)</f>
        <v>0.95319337429400086</v>
      </c>
      <c r="W25" s="8">
        <f>0.5*PROP_InOut!$J$8*I25^2*E25*U25*(C25-C24)</f>
        <v>9.7289708263126311E-3</v>
      </c>
      <c r="X25" s="110">
        <f t="shared" si="20"/>
        <v>0.91857206059295082</v>
      </c>
      <c r="Y25" s="110">
        <f t="shared" si="21"/>
        <v>3.7196551204172791E-2</v>
      </c>
      <c r="Z25" s="95">
        <f t="shared" si="22"/>
        <v>18.697025920304931</v>
      </c>
      <c r="AA25" s="88">
        <f>PROP_InOut!$G$4/2*((PROP_InOut!$E$8-PROP_Table!C25)/(PROP_Table!C25*SIN(PROP_Table!K25)))</f>
        <v>3.2112414912102092</v>
      </c>
      <c r="AB25" s="88">
        <f t="shared" si="23"/>
        <v>0.97433310540484153</v>
      </c>
      <c r="AC25" s="88">
        <f>PROP_InOut!$G$4/2*((C25-PROP_InOut!$J$12/2)/(C25*SIN(PROP_Table!K25)))</f>
        <v>3.4626530106735784</v>
      </c>
      <c r="AD25" s="88">
        <f t="shared" si="24"/>
        <v>0.98004093573812523</v>
      </c>
      <c r="AE25" s="88">
        <f t="shared" si="25"/>
        <v>0.95488632834159426</v>
      </c>
      <c r="AF25" s="25">
        <f>0.5*PROP_InOut!$J$8*I25^2*E25*T25*(C25-C24)</f>
        <v>0.95319337429400086</v>
      </c>
      <c r="AG25" s="25">
        <f>0.5*PROP_InOut!$J$8*I25^2*E25*U25*(C25-C24)</f>
        <v>9.7289708263126311E-3</v>
      </c>
      <c r="AH25" s="108">
        <f t="shared" si="26"/>
        <v>0.87713190225677529</v>
      </c>
      <c r="AI25" s="108">
        <f t="shared" si="27"/>
        <v>3.5518478206322666E-2</v>
      </c>
      <c r="AJ25" s="108">
        <f t="shared" si="28"/>
        <v>18.697025920304931</v>
      </c>
    </row>
    <row r="26" spans="1:37" s="96" customFormat="1" x14ac:dyDescent="0.25">
      <c r="A26" s="177"/>
      <c r="B26" s="107">
        <v>23</v>
      </c>
      <c r="C26" s="87">
        <v>0.15258542</v>
      </c>
      <c r="D26" s="108">
        <f>C26/PROP_InOut!$E$8</f>
        <v>0.57212380952380959</v>
      </c>
      <c r="E26" s="88">
        <v>3.6288979999999998E-2</v>
      </c>
      <c r="F26" s="109">
        <f>E26*PROP_InOut!$G$8</f>
        <v>2.2755458521249997E-4</v>
      </c>
      <c r="G26" s="96">
        <f>PROP_InOut!$C$4</f>
        <v>19.55</v>
      </c>
      <c r="H26" s="110">
        <f>PROP_InOut!$C$8*PROP_Table!C26</f>
        <v>76.697797522706097</v>
      </c>
      <c r="I26" s="111">
        <f t="shared" si="15"/>
        <v>79.150203062493915</v>
      </c>
      <c r="J26" s="112">
        <f>I26/PROP_InOut!$D$8</f>
        <v>0.22868077762198152</v>
      </c>
      <c r="K26" s="110">
        <f t="shared" si="16"/>
        <v>0.24958179602249597</v>
      </c>
      <c r="L26" s="111">
        <f t="shared" si="17"/>
        <v>14.299983555384015</v>
      </c>
      <c r="M26" s="96">
        <v>0</v>
      </c>
      <c r="N26" s="96">
        <v>0</v>
      </c>
      <c r="O26" s="110">
        <f t="shared" si="18"/>
        <v>0.25898591704493457</v>
      </c>
      <c r="P26" s="87">
        <v>14.838800000000001</v>
      </c>
      <c r="Q26" s="110">
        <f t="shared" si="19"/>
        <v>9.4041210224386218E-3</v>
      </c>
      <c r="R26" s="112">
        <f t="shared" si="7"/>
        <v>0.53881644461598555</v>
      </c>
      <c r="S26" s="113">
        <f>PROP_InOut!$F$8*PROP_Table!I26*PROP_Table!E26</f>
        <v>185990.8890285285</v>
      </c>
      <c r="T26" s="110">
        <v>1.11677</v>
      </c>
      <c r="U26" s="110">
        <v>1.1310000000000001E-2</v>
      </c>
      <c r="V26" s="8">
        <f>0.5*PROP_InOut!$J$8*I26^2*E26*T26*(C26-C25)</f>
        <v>0.99270430348042193</v>
      </c>
      <c r="W26" s="8">
        <f>0.5*PROP_InOut!$J$8*I26^2*E26*U26*(C26-C25)</f>
        <v>1.0053534454152219E-2</v>
      </c>
      <c r="X26" s="110">
        <f t="shared" si="20"/>
        <v>0.95946294679397237</v>
      </c>
      <c r="Y26" s="110">
        <f t="shared" si="21"/>
        <v>3.8899934801026104E-2</v>
      </c>
      <c r="Z26" s="95">
        <f t="shared" si="22"/>
        <v>19.553239903364087</v>
      </c>
      <c r="AA26" s="88">
        <f>PROP_InOut!$G$4/2*((PROP_InOut!$E$8-PROP_Table!C26)/(PROP_Table!C26*SIN(PROP_Table!K26)))</f>
        <v>3.027843125892197</v>
      </c>
      <c r="AB26" s="88">
        <f t="shared" si="23"/>
        <v>0.96916283763602862</v>
      </c>
      <c r="AC26" s="88">
        <f>PROP_InOut!$G$4/2*((C26-PROP_InOut!$J$12/2)/(C26*SIN(PROP_Table!K26)))</f>
        <v>3.6273866620271935</v>
      </c>
      <c r="AD26" s="88">
        <f t="shared" si="24"/>
        <v>0.98307310561126626</v>
      </c>
      <c r="AE26" s="88">
        <f t="shared" si="25"/>
        <v>0.95275792063787801</v>
      </c>
      <c r="AF26" s="25">
        <f>0.5*PROP_InOut!$J$8*I26^2*E26*T26*(C26-C25)</f>
        <v>0.99270430348042193</v>
      </c>
      <c r="AG26" s="25">
        <f>0.5*PROP_InOut!$J$8*I26^2*E26*U26*(C26-C25)</f>
        <v>1.0053534454152219E-2</v>
      </c>
      <c r="AH26" s="108">
        <f t="shared" si="26"/>
        <v>0.91413592211651606</v>
      </c>
      <c r="AI26" s="108">
        <f t="shared" si="27"/>
        <v>3.7062220993974659E-2</v>
      </c>
      <c r="AJ26" s="108">
        <f t="shared" si="28"/>
        <v>19.553239903364087</v>
      </c>
    </row>
    <row r="27" spans="1:37" s="96" customFormat="1" x14ac:dyDescent="0.25">
      <c r="A27" s="177"/>
      <c r="B27" s="107">
        <v>24</v>
      </c>
      <c r="C27" s="87">
        <v>0.1591564</v>
      </c>
      <c r="D27" s="108">
        <f>C27/PROP_InOut!$E$8</f>
        <v>0.59676190476190483</v>
      </c>
      <c r="E27" s="88">
        <v>3.4902139999999998E-2</v>
      </c>
      <c r="F27" s="109">
        <f>E27*PROP_InOut!$G$8</f>
        <v>2.1885823163749998E-4</v>
      </c>
      <c r="G27" s="96">
        <f>PROP_InOut!$C$4</f>
        <v>19.55</v>
      </c>
      <c r="H27" s="110">
        <f>PROP_InOut!$C$8*PROP_Table!C27</f>
        <v>80.000732321887767</v>
      </c>
      <c r="I27" s="111">
        <f t="shared" si="15"/>
        <v>82.354840003720113</v>
      </c>
      <c r="J27" s="112">
        <f>I27/PROP_InOut!$D$8</f>
        <v>0.2379396151152614</v>
      </c>
      <c r="K27" s="110">
        <f t="shared" si="16"/>
        <v>0.23967546799778081</v>
      </c>
      <c r="L27" s="111">
        <f t="shared" si="17"/>
        <v>13.732392769095668</v>
      </c>
      <c r="M27" s="96">
        <v>0</v>
      </c>
      <c r="N27" s="96">
        <v>0</v>
      </c>
      <c r="O27" s="110">
        <f t="shared" si="18"/>
        <v>0.24873559834797188</v>
      </c>
      <c r="P27" s="87">
        <v>14.2515</v>
      </c>
      <c r="Q27" s="110">
        <f t="shared" si="19"/>
        <v>9.0601303501910563E-3</v>
      </c>
      <c r="R27" s="112">
        <f t="shared" si="7"/>
        <v>0.51910723090433208</v>
      </c>
      <c r="S27" s="113">
        <f>PROP_InOut!$F$8*PROP_Table!I27*PROP_Table!E27</f>
        <v>186125.57807981575</v>
      </c>
      <c r="T27" s="110">
        <v>1.10934</v>
      </c>
      <c r="U27" s="110">
        <v>1.119E-2</v>
      </c>
      <c r="V27" s="8">
        <f>0.5*PROP_InOut!$J$8*I27^2*E27*T27*(C27-C26)</f>
        <v>1.0263712512895673</v>
      </c>
      <c r="W27" s="8">
        <f>0.5*PROP_InOut!$J$8*I27^2*E27*U27*(C27-C26)</f>
        <v>1.0353087693520705E-2</v>
      </c>
      <c r="X27" s="110">
        <f t="shared" si="20"/>
        <v>0.9945748042153858</v>
      </c>
      <c r="Y27" s="110">
        <f t="shared" si="21"/>
        <v>4.0378731707472817E-2</v>
      </c>
      <c r="Z27" s="95">
        <f t="shared" si="22"/>
        <v>20.296564302955176</v>
      </c>
      <c r="AA27" s="88">
        <f>PROP_InOut!$G$4/2*((PROP_InOut!$E$8-PROP_Table!C27)/(PROP_Table!C27*SIN(PROP_Table!K27)))</f>
        <v>2.8464452134056071</v>
      </c>
      <c r="AB27" s="88">
        <f t="shared" si="23"/>
        <v>0.96302323674162327</v>
      </c>
      <c r="AC27" s="88">
        <f>PROP_InOut!$G$4/2*((C27-PROP_InOut!$J$12/2)/(C27*SIN(PROP_Table!K27)))</f>
        <v>3.7923470592397335</v>
      </c>
      <c r="AD27" s="88">
        <f t="shared" si="24"/>
        <v>0.98564769975364896</v>
      </c>
      <c r="AE27" s="88">
        <f t="shared" si="25"/>
        <v>0.94920163810369473</v>
      </c>
      <c r="AF27" s="25">
        <f>0.5*PROP_InOut!$J$8*I27^2*E27*T27*(C27-C26)</f>
        <v>1.0263712512895673</v>
      </c>
      <c r="AG27" s="25">
        <f>0.5*PROP_InOut!$J$8*I27^2*E27*U27*(C27-C26)</f>
        <v>1.0353087693520705E-2</v>
      </c>
      <c r="AH27" s="108">
        <f t="shared" si="26"/>
        <v>0.94405203337790566</v>
      </c>
      <c r="AI27" s="108">
        <f t="shared" si="27"/>
        <v>3.83275582812828E-2</v>
      </c>
      <c r="AJ27" s="108">
        <f t="shared" si="28"/>
        <v>20.296564302955176</v>
      </c>
    </row>
    <row r="28" spans="1:37" s="96" customFormat="1" x14ac:dyDescent="0.25">
      <c r="A28" s="177"/>
      <c r="B28" s="107">
        <v>25</v>
      </c>
      <c r="C28" s="87">
        <v>0.16572992</v>
      </c>
      <c r="D28" s="108">
        <f>C28/PROP_InOut!$E$8</f>
        <v>0.62140952380952386</v>
      </c>
      <c r="E28" s="88">
        <v>3.3426400000000002E-2</v>
      </c>
      <c r="F28" s="109">
        <f>E28*PROP_InOut!$G$8</f>
        <v>2.0960441949999998E-4</v>
      </c>
      <c r="G28" s="96">
        <f>PROP_InOut!$C$4</f>
        <v>19.55</v>
      </c>
      <c r="H28" s="110">
        <f>PROP_InOut!$C$8*PROP_Table!C28</f>
        <v>83.30494386432386</v>
      </c>
      <c r="I28" s="111">
        <f t="shared" si="15"/>
        <v>85.568196032393658</v>
      </c>
      <c r="J28" s="112">
        <f>I28/PROP_InOut!$D$8</f>
        <v>0.24722364379719863</v>
      </c>
      <c r="K28" s="110">
        <f t="shared" si="16"/>
        <v>0.23050863785639267</v>
      </c>
      <c r="L28" s="111">
        <f t="shared" si="17"/>
        <v>13.207172090480816</v>
      </c>
      <c r="M28" s="96">
        <v>0</v>
      </c>
      <c r="N28" s="96">
        <v>0</v>
      </c>
      <c r="O28" s="110">
        <f t="shared" si="18"/>
        <v>0.23925147919263468</v>
      </c>
      <c r="P28" s="87">
        <v>13.7081</v>
      </c>
      <c r="Q28" s="110">
        <f t="shared" si="19"/>
        <v>8.7428413362420111E-3</v>
      </c>
      <c r="R28" s="112">
        <f t="shared" si="7"/>
        <v>0.50092790951918431</v>
      </c>
      <c r="S28" s="113">
        <f>PROP_InOut!$F$8*PROP_Table!I28*PROP_Table!E28</f>
        <v>185211.03457537148</v>
      </c>
      <c r="T28" s="110">
        <v>1.1029899999999999</v>
      </c>
      <c r="U28" s="110">
        <v>1.1089999999999999E-2</v>
      </c>
      <c r="V28" s="8">
        <f>0.5*PROP_InOut!$J$8*I28^2*E28*T28*(C28-C27)</f>
        <v>1.0555122327039035</v>
      </c>
      <c r="W28" s="8">
        <f>0.5*PROP_InOut!$J$8*I28^2*E28*U28*(C28-C27)</f>
        <v>1.0612635346364236E-2</v>
      </c>
      <c r="X28" s="110">
        <f t="shared" si="20"/>
        <v>1.0251695646274395</v>
      </c>
      <c r="Y28" s="110">
        <f t="shared" si="21"/>
        <v>4.1679037036885948E-2</v>
      </c>
      <c r="Z28" s="95">
        <f t="shared" si="22"/>
        <v>20.950169050204448</v>
      </c>
      <c r="AA28" s="88">
        <f>PROP_InOut!$G$4/2*((PROP_InOut!$E$8-PROP_Table!C28)/(PROP_Table!C28*SIN(PROP_Table!K28)))</f>
        <v>2.6665970486320085</v>
      </c>
      <c r="AB28" s="88">
        <f t="shared" si="23"/>
        <v>0.95572670276535521</v>
      </c>
      <c r="AC28" s="88">
        <f>PROP_InOut!$G$4/2*((C28-PROP_InOut!$J$12/2)/(C28*SIN(PROP_Table!K28)))</f>
        <v>3.9576346517204479</v>
      </c>
      <c r="AD28" s="88">
        <f t="shared" si="24"/>
        <v>0.98783456438614015</v>
      </c>
      <c r="AE28" s="88">
        <f t="shared" si="25"/>
        <v>0.94409987109841675</v>
      </c>
      <c r="AF28" s="25">
        <f>0.5*PROP_InOut!$J$8*I28^2*E28*T28*(C28-C27)</f>
        <v>1.0555122327039035</v>
      </c>
      <c r="AG28" s="25">
        <f>0.5*PROP_InOut!$J$8*I28^2*E28*U28*(C28-C27)</f>
        <v>1.0612635346364236E-2</v>
      </c>
      <c r="AH28" s="108">
        <f t="shared" si="26"/>
        <v>0.96786245381878566</v>
      </c>
      <c r="AI28" s="108">
        <f t="shared" si="27"/>
        <v>3.9349173494030158E-2</v>
      </c>
      <c r="AJ28" s="108">
        <f t="shared" si="28"/>
        <v>20.950169050204448</v>
      </c>
    </row>
    <row r="29" spans="1:37" s="96" customFormat="1" x14ac:dyDescent="0.25">
      <c r="A29" s="177"/>
      <c r="B29" s="107">
        <v>26</v>
      </c>
      <c r="C29" s="87">
        <v>0.17230344</v>
      </c>
      <c r="D29" s="108">
        <f>C29/PROP_InOut!$E$8</f>
        <v>0.64605714285714289</v>
      </c>
      <c r="E29" s="88">
        <v>3.1879540000000005E-2</v>
      </c>
      <c r="F29" s="109">
        <f>E29*PROP_InOut!$G$8</f>
        <v>1.9990464051250002E-4</v>
      </c>
      <c r="G29" s="96">
        <f>PROP_InOut!$C$4</f>
        <v>19.55</v>
      </c>
      <c r="H29" s="110">
        <f>PROP_InOut!$C$8*PROP_Table!C29</f>
        <v>86.609155406759953</v>
      </c>
      <c r="I29" s="111">
        <f t="shared" si="15"/>
        <v>88.78822163030577</v>
      </c>
      <c r="J29" s="112">
        <f>I29/PROP_InOut!$D$8</f>
        <v>0.25652694219950123</v>
      </c>
      <c r="K29" s="110">
        <f t="shared" si="16"/>
        <v>0.22200603087697537</v>
      </c>
      <c r="L29" s="111">
        <f t="shared" si="17"/>
        <v>12.720008595701728</v>
      </c>
      <c r="M29" s="96">
        <v>0</v>
      </c>
      <c r="N29" s="96">
        <v>0</v>
      </c>
      <c r="O29" s="110">
        <f t="shared" si="18"/>
        <v>0.23044978377482728</v>
      </c>
      <c r="P29" s="87">
        <v>13.203799999999999</v>
      </c>
      <c r="Q29" s="110">
        <f t="shared" si="19"/>
        <v>8.4437528978518819E-3</v>
      </c>
      <c r="R29" s="112">
        <f t="shared" si="7"/>
        <v>0.48379140429827139</v>
      </c>
      <c r="S29" s="113">
        <f>PROP_InOut!$F$8*PROP_Table!I29*PROP_Table!E29</f>
        <v>183287.26013667951</v>
      </c>
      <c r="T29" s="110">
        <v>1.0972900000000001</v>
      </c>
      <c r="U29" s="110">
        <v>1.1010000000000001E-2</v>
      </c>
      <c r="V29" s="8">
        <f>0.5*PROP_InOut!$J$8*I29^2*E29*T29*(C29-C28)</f>
        <v>1.0782550974947571</v>
      </c>
      <c r="W29" s="8">
        <f>0.5*PROP_InOut!$J$8*I29^2*E29*U29*(C29-C28)</f>
        <v>1.0819007394050138E-2</v>
      </c>
      <c r="X29" s="110">
        <f t="shared" si="20"/>
        <v>1.0494100456303954</v>
      </c>
      <c r="Y29" s="110">
        <f t="shared" si="21"/>
        <v>4.2726272122390926E-2</v>
      </c>
      <c r="Z29" s="95">
        <f t="shared" si="22"/>
        <v>21.476566818397075</v>
      </c>
      <c r="AA29" s="88">
        <f>PROP_InOut!$G$4/2*((PROP_InOut!$E$8-PROP_Table!C29)/(PROP_Table!C29*SIN(PROP_Table!K29)))</f>
        <v>2.4881170977188121</v>
      </c>
      <c r="AB29" s="88">
        <f t="shared" si="23"/>
        <v>0.94705739531905142</v>
      </c>
      <c r="AC29" s="88">
        <f>PROP_InOut!$G$4/2*((C29-PROP_InOut!$J$12/2)/(C29*SIN(PROP_Table!K29)))</f>
        <v>4.1231616505249917</v>
      </c>
      <c r="AD29" s="88">
        <f t="shared" si="24"/>
        <v>0.98969061515023415</v>
      </c>
      <c r="AE29" s="88">
        <f t="shared" si="25"/>
        <v>0.93729381615589047</v>
      </c>
      <c r="AF29" s="25">
        <f>0.5*PROP_InOut!$J$8*I29^2*E29*T29*(C29-C28)</f>
        <v>1.0782550974947571</v>
      </c>
      <c r="AG29" s="25">
        <f>0.5*PROP_InOut!$J$8*I29^2*E29*U29*(C29-C28)</f>
        <v>1.0819007394050138E-2</v>
      </c>
      <c r="AH29" s="108">
        <f t="shared" si="26"/>
        <v>0.98360554638124043</v>
      </c>
      <c r="AI29" s="108">
        <f t="shared" si="27"/>
        <v>4.0047070647710827E-2</v>
      </c>
      <c r="AJ29" s="108">
        <f t="shared" si="28"/>
        <v>21.476566818397075</v>
      </c>
    </row>
    <row r="30" spans="1:37" s="96" customFormat="1" x14ac:dyDescent="0.25">
      <c r="A30" s="177"/>
      <c r="B30" s="107">
        <v>27</v>
      </c>
      <c r="C30" s="87">
        <v>0.17887442000000001</v>
      </c>
      <c r="D30" s="108">
        <f>C30/PROP_InOut!$E$8</f>
        <v>0.67069523809523812</v>
      </c>
      <c r="E30" s="88">
        <v>3.0279339999999998E-2</v>
      </c>
      <c r="F30" s="109">
        <f>E30*PROP_InOut!$G$8</f>
        <v>1.8987038638749998E-4</v>
      </c>
      <c r="G30" s="96">
        <f>PROP_InOut!$C$4</f>
        <v>19.55</v>
      </c>
      <c r="H30" s="110">
        <f>PROP_InOut!$C$8*PROP_Table!C30</f>
        <v>89.912090205941624</v>
      </c>
      <c r="I30" s="111">
        <f t="shared" si="15"/>
        <v>92.012969005468918</v>
      </c>
      <c r="J30" s="112">
        <f>I30/PROP_InOut!$D$8</f>
        <v>0.26584388276128984</v>
      </c>
      <c r="K30" s="110">
        <f t="shared" si="16"/>
        <v>0.21410203176966761</v>
      </c>
      <c r="L30" s="111">
        <f t="shared" si="17"/>
        <v>12.267142805577821</v>
      </c>
      <c r="M30" s="96">
        <v>0</v>
      </c>
      <c r="N30" s="96">
        <v>0</v>
      </c>
      <c r="O30" s="110">
        <f t="shared" si="18"/>
        <v>0.22226418958297386</v>
      </c>
      <c r="P30" s="87">
        <v>12.7348</v>
      </c>
      <c r="Q30" s="110">
        <f t="shared" si="19"/>
        <v>8.1621578133062797E-3</v>
      </c>
      <c r="R30" s="112">
        <f t="shared" si="7"/>
        <v>0.46765719442217879</v>
      </c>
      <c r="S30" s="113">
        <f>PROP_InOut!$F$8*PROP_Table!I30*PROP_Table!E30</f>
        <v>180409.88289320952</v>
      </c>
      <c r="T30" s="110">
        <v>1.0922099999999999</v>
      </c>
      <c r="U30" s="110">
        <v>1.098E-2</v>
      </c>
      <c r="V30" s="8">
        <f>0.5*PROP_InOut!$J$8*I30^2*E30*T30*(C30-C29)</f>
        <v>1.0943598121704725</v>
      </c>
      <c r="W30" s="8">
        <f>0.5*PROP_InOut!$J$8*I30^2*E30*U30*(C30-C29)</f>
        <v>1.1001612087081962E-2</v>
      </c>
      <c r="X30" s="110">
        <f t="shared" si="20"/>
        <v>1.067035415708528</v>
      </c>
      <c r="Y30" s="110">
        <f t="shared" si="21"/>
        <v>4.3514619376431626E-2</v>
      </c>
      <c r="Z30" s="95">
        <f t="shared" si="22"/>
        <v>21.872833369080585</v>
      </c>
      <c r="AA30" s="88">
        <f>PROP_InOut!$G$4/2*((PROP_InOut!$E$8-PROP_Table!C30)/(PROP_Table!C30*SIN(PROP_Table!K30)))</f>
        <v>2.3108676380991535</v>
      </c>
      <c r="AB30" s="88">
        <f t="shared" si="23"/>
        <v>0.93675916819420679</v>
      </c>
      <c r="AC30" s="88">
        <f>PROP_InOut!$G$4/2*((C30-PROP_InOut!$J$12/2)/(C30*SIN(PROP_Table!K30)))</f>
        <v>4.288842552556237</v>
      </c>
      <c r="AD30" s="88">
        <f t="shared" si="24"/>
        <v>0.99126479510568766</v>
      </c>
      <c r="AE30" s="88">
        <f t="shared" si="25"/>
        <v>0.92857638492340477</v>
      </c>
      <c r="AF30" s="25">
        <f>0.5*PROP_InOut!$J$8*I30^2*E30*T30*(C30-C29)</f>
        <v>1.0943598121704725</v>
      </c>
      <c r="AG30" s="25">
        <f>0.5*PROP_InOut!$J$8*I30^2*E30*U30*(C30-C29)</f>
        <v>1.1001612087081962E-2</v>
      </c>
      <c r="AH30" s="108">
        <f t="shared" si="26"/>
        <v>0.9908238889038673</v>
      </c>
      <c r="AI30" s="108">
        <f t="shared" si="27"/>
        <v>4.0406647951884825E-2</v>
      </c>
      <c r="AJ30" s="108">
        <f t="shared" si="28"/>
        <v>21.872833369080585</v>
      </c>
    </row>
    <row r="31" spans="1:37" s="96" customFormat="1" x14ac:dyDescent="0.25">
      <c r="A31" s="177"/>
      <c r="B31" s="107">
        <v>28</v>
      </c>
      <c r="C31" s="87">
        <v>0.18544793999999998</v>
      </c>
      <c r="D31" s="108">
        <f>C31/PROP_InOut!$E$8</f>
        <v>0.69534285714285704</v>
      </c>
      <c r="E31" s="88">
        <v>2.8638499999999997E-2</v>
      </c>
      <c r="F31" s="109">
        <f>E31*PROP_InOut!$G$8</f>
        <v>1.7958129406249996E-4</v>
      </c>
      <c r="G31" s="96">
        <f>PROP_InOut!$C$4</f>
        <v>19.55</v>
      </c>
      <c r="H31" s="110">
        <f>PROP_InOut!$C$8*PROP_Table!C31</f>
        <v>93.216301748377703</v>
      </c>
      <c r="I31" s="111">
        <f t="shared" si="15"/>
        <v>95.244324826440987</v>
      </c>
      <c r="J31" s="112">
        <f>I31/PROP_InOut!$D$8</f>
        <v>0.27517991644562245</v>
      </c>
      <c r="K31" s="110">
        <f t="shared" si="16"/>
        <v>0.20673096429883434</v>
      </c>
      <c r="L31" s="111">
        <f t="shared" si="17"/>
        <v>11.844811748992905</v>
      </c>
      <c r="M31" s="96">
        <v>0</v>
      </c>
      <c r="N31" s="96">
        <v>0</v>
      </c>
      <c r="O31" s="110">
        <f t="shared" si="18"/>
        <v>0.21463011943475069</v>
      </c>
      <c r="P31" s="87">
        <v>12.2974</v>
      </c>
      <c r="Q31" s="110">
        <f t="shared" si="19"/>
        <v>7.8991551359163439E-3</v>
      </c>
      <c r="R31" s="112">
        <f t="shared" si="7"/>
        <v>0.45258825100709466</v>
      </c>
      <c r="S31" s="113">
        <f>PROP_InOut!$F$8*PROP_Table!I31*PROP_Table!E31</f>
        <v>176625.84405584261</v>
      </c>
      <c r="T31" s="110">
        <v>1.0875900000000001</v>
      </c>
      <c r="U31" s="110">
        <v>1.098E-2</v>
      </c>
      <c r="V31" s="8">
        <f>0.5*PROP_InOut!$J$8*I31^2*E31*T31*(C31-C30)</f>
        <v>1.1047678453595386</v>
      </c>
      <c r="W31" s="8">
        <f>0.5*PROP_InOut!$J$8*I31^2*E31*U31*(C31-C30)</f>
        <v>1.1153422651962352E-2</v>
      </c>
      <c r="X31" s="110">
        <f t="shared" si="20"/>
        <v>1.0789548207660276</v>
      </c>
      <c r="Y31" s="110">
        <f t="shared" si="21"/>
        <v>4.4077696806604533E-2</v>
      </c>
      <c r="Z31" s="95">
        <f t="shared" si="22"/>
        <v>22.15586695596593</v>
      </c>
      <c r="AA31" s="88">
        <f>PROP_InOut!$G$4/2*((PROP_InOut!$E$8-PROP_Table!C31)/(PROP_Table!C31*SIN(PROP_Table!K31)))</f>
        <v>2.1345420408556461</v>
      </c>
      <c r="AB31" s="88">
        <f t="shared" si="23"/>
        <v>0.92451190006472084</v>
      </c>
      <c r="AC31" s="88">
        <f>PROP_InOut!$G$4/2*((C31-PROP_InOut!$J$12/2)/(C31*SIN(PROP_Table!K31)))</f>
        <v>4.4547863699885504</v>
      </c>
      <c r="AD31" s="88">
        <f t="shared" si="24"/>
        <v>0.99260052745665939</v>
      </c>
      <c r="AE31" s="88">
        <f t="shared" si="25"/>
        <v>0.91767099964420029</v>
      </c>
      <c r="AF31" s="25">
        <f>0.5*PROP_InOut!$J$8*I31^2*E31*T31*(C31-C30)</f>
        <v>1.1047678453595386</v>
      </c>
      <c r="AG31" s="25">
        <f>0.5*PROP_InOut!$J$8*I31^2*E31*U31*(C31-C30)</f>
        <v>1.1153422651962352E-2</v>
      </c>
      <c r="AH31" s="108">
        <f t="shared" si="26"/>
        <v>0.99012554894328941</v>
      </c>
      <c r="AI31" s="108">
        <f t="shared" si="27"/>
        <v>4.0448824090530758E-2</v>
      </c>
      <c r="AJ31" s="108">
        <f t="shared" si="28"/>
        <v>22.15586695596593</v>
      </c>
    </row>
    <row r="32" spans="1:37" s="96" customFormat="1" x14ac:dyDescent="0.25">
      <c r="A32" s="177"/>
      <c r="B32" s="107">
        <v>29</v>
      </c>
      <c r="C32" s="87">
        <v>0.19202145999999998</v>
      </c>
      <c r="D32" s="108">
        <f>C32/PROP_InOut!$E$8</f>
        <v>0.71999047619047607</v>
      </c>
      <c r="E32" s="88">
        <v>2.69748E-2</v>
      </c>
      <c r="F32" s="109">
        <f>E32*PROP_InOut!$G$8</f>
        <v>1.6914885524999998E-4</v>
      </c>
      <c r="G32" s="96">
        <f>PROP_InOut!$C$4</f>
        <v>19.55</v>
      </c>
      <c r="H32" s="110">
        <f>PROP_InOut!$C$8*PROP_Table!C32</f>
        <v>96.520513290813795</v>
      </c>
      <c r="I32" s="111">
        <f t="shared" si="15"/>
        <v>98.480515767953619</v>
      </c>
      <c r="J32" s="112">
        <f>I32/PROP_InOut!$D$8</f>
        <v>0.28452991976088876</v>
      </c>
      <c r="K32" s="110">
        <f t="shared" si="16"/>
        <v>0.19984398754791211</v>
      </c>
      <c r="L32" s="111">
        <f t="shared" si="17"/>
        <v>11.450217047560342</v>
      </c>
      <c r="M32" s="96">
        <v>0</v>
      </c>
      <c r="N32" s="96">
        <v>0</v>
      </c>
      <c r="O32" s="110">
        <f t="shared" si="18"/>
        <v>0.20749521345259786</v>
      </c>
      <c r="P32" s="87">
        <v>11.8886</v>
      </c>
      <c r="Q32" s="110">
        <f t="shared" si="19"/>
        <v>7.6512259046857493E-3</v>
      </c>
      <c r="R32" s="112">
        <f t="shared" si="7"/>
        <v>0.43838295243965852</v>
      </c>
      <c r="S32" s="113">
        <f>PROP_InOut!$F$8*PROP_Table!I32*PROP_Table!E32</f>
        <v>172017.81362048231</v>
      </c>
      <c r="T32" s="110">
        <v>1.0834900000000001</v>
      </c>
      <c r="U32" s="110">
        <v>1.1010000000000001E-2</v>
      </c>
      <c r="V32" s="8">
        <f>0.5*PROP_InOut!$J$8*I32^2*E32*T32*(C32-C31)</f>
        <v>1.1083096309845026</v>
      </c>
      <c r="W32" s="8">
        <f>0.5*PROP_InOut!$J$8*I32^2*E32*U32*(C32-C31)</f>
        <v>1.1262207345835563E-2</v>
      </c>
      <c r="X32" s="110">
        <f t="shared" si="20"/>
        <v>1.0840158327938441</v>
      </c>
      <c r="Y32" s="110">
        <f t="shared" si="21"/>
        <v>4.4367658339114761E-2</v>
      </c>
      <c r="Z32" s="95">
        <f t="shared" si="22"/>
        <v>22.301617519223175</v>
      </c>
      <c r="AA32" s="88">
        <f>PROP_InOut!$G$4/2*((PROP_InOut!$E$8-PROP_Table!C32)/(PROP_Table!C32*SIN(PROP_Table!K32)))</f>
        <v>1.9590684203312783</v>
      </c>
      <c r="AB32" s="88">
        <f t="shared" si="23"/>
        <v>0.90994310971932713</v>
      </c>
      <c r="AC32" s="88">
        <f>PROP_InOut!$G$4/2*((C32-PROP_InOut!$J$12/2)/(C32*SIN(PROP_Table!K32)))</f>
        <v>4.6209120737918363</v>
      </c>
      <c r="AD32" s="88">
        <f t="shared" si="24"/>
        <v>0.99373313236175687</v>
      </c>
      <c r="AE32" s="88">
        <f t="shared" si="25"/>
        <v>0.90424061669238476</v>
      </c>
      <c r="AF32" s="25">
        <f>0.5*PROP_InOut!$J$8*I32^2*E32*T32*(C32-C31)</f>
        <v>1.1083096309845026</v>
      </c>
      <c r="AG32" s="25">
        <f>0.5*PROP_InOut!$J$8*I32^2*E32*U32*(C32-C31)</f>
        <v>1.1262207345835563E-2</v>
      </c>
      <c r="AH32" s="108">
        <f t="shared" si="26"/>
        <v>0.98021114514981456</v>
      </c>
      <c r="AI32" s="108">
        <f t="shared" si="27"/>
        <v>4.0119038737758156E-2</v>
      </c>
      <c r="AJ32" s="108">
        <f t="shared" si="28"/>
        <v>22.301617519223175</v>
      </c>
    </row>
    <row r="33" spans="1:36" s="96" customFormat="1" x14ac:dyDescent="0.25">
      <c r="A33" s="177"/>
      <c r="B33" s="107">
        <v>30</v>
      </c>
      <c r="C33" s="87">
        <v>0.19859243999999998</v>
      </c>
      <c r="D33" s="108">
        <f>C33/PROP_InOut!$E$8</f>
        <v>0.74462857142857142</v>
      </c>
      <c r="E33" s="88">
        <v>2.5306019999999999E-2</v>
      </c>
      <c r="F33" s="109">
        <f>E33*PROP_InOut!$G$8</f>
        <v>1.5868456166249998E-4</v>
      </c>
      <c r="G33" s="96">
        <f>PROP_InOut!$C$4</f>
        <v>19.55</v>
      </c>
      <c r="H33" s="110">
        <f>PROP_InOut!$C$8*PROP_Table!C33</f>
        <v>99.82344808999548</v>
      </c>
      <c r="I33" s="111">
        <f t="shared" si="15"/>
        <v>101.71982741125754</v>
      </c>
      <c r="J33" s="112">
        <f>I33/PROP_InOut!$D$8</f>
        <v>0.2938889394082016</v>
      </c>
      <c r="K33" s="110">
        <f t="shared" si="16"/>
        <v>0.19339793500871311</v>
      </c>
      <c r="L33" s="111">
        <f t="shared" si="17"/>
        <v>11.08088544254465</v>
      </c>
      <c r="M33" s="96">
        <v>0</v>
      </c>
      <c r="N33" s="96">
        <v>0</v>
      </c>
      <c r="O33" s="110">
        <f t="shared" si="18"/>
        <v>0.20081409307596357</v>
      </c>
      <c r="P33" s="87">
        <v>11.505800000000001</v>
      </c>
      <c r="Q33" s="110">
        <f t="shared" si="19"/>
        <v>7.4161580672504855E-3</v>
      </c>
      <c r="R33" s="112">
        <f t="shared" si="7"/>
        <v>0.42491455745535056</v>
      </c>
      <c r="S33" s="113">
        <f>PROP_InOut!$F$8*PROP_Table!I33*PROP_Table!E33</f>
        <v>166684.16245259094</v>
      </c>
      <c r="T33" s="110">
        <v>1.07958</v>
      </c>
      <c r="U33" s="110">
        <v>1.107E-2</v>
      </c>
      <c r="V33" s="8">
        <f>0.5*PROP_InOut!$J$8*I33^2*E33*T33*(C33-C32)</f>
        <v>1.1048400295532186</v>
      </c>
      <c r="W33" s="8">
        <f>0.5*PROP_InOut!$J$8*I33^2*E33*U33*(C33-C32)</f>
        <v>1.1329016031377138E-2</v>
      </c>
      <c r="X33" s="110">
        <f t="shared" si="20"/>
        <v>1.0820649412767287</v>
      </c>
      <c r="Y33" s="110">
        <f t="shared" si="21"/>
        <v>4.4377879345532577E-2</v>
      </c>
      <c r="Z33" s="95">
        <f t="shared" si="22"/>
        <v>22.3067551574111</v>
      </c>
      <c r="AA33" s="88">
        <f>PROP_InOut!$G$4/2*((PROP_InOut!$E$8-PROP_Table!C33)/(PROP_Table!C33*SIN(PROP_Table!K33)))</f>
        <v>1.7843969110877251</v>
      </c>
      <c r="AB33" s="88">
        <f t="shared" si="23"/>
        <v>0.89260396103550899</v>
      </c>
      <c r="AC33" s="88">
        <f>PROP_InOut!$G$4/2*((C33-PROP_InOut!$J$12/2)/(C33*SIN(PROP_Table!K33)))</f>
        <v>4.7871401579774204</v>
      </c>
      <c r="AD33" s="88">
        <f t="shared" si="24"/>
        <v>0.9946929082179311</v>
      </c>
      <c r="AE33" s="88">
        <f t="shared" si="25"/>
        <v>0.88786682988925525</v>
      </c>
      <c r="AF33" s="25">
        <f>0.5*PROP_InOut!$J$8*I33^2*E33*T33*(C33-C32)</f>
        <v>1.1048400295532186</v>
      </c>
      <c r="AG33" s="25">
        <f>0.5*PROP_InOut!$J$8*I33^2*E33*U33*(C33-C32)</f>
        <v>1.1329016031377138E-2</v>
      </c>
      <c r="AH33" s="108">
        <f t="shared" si="26"/>
        <v>0.9607295691456722</v>
      </c>
      <c r="AI33" s="108">
        <f t="shared" si="27"/>
        <v>3.9401647051725865E-2</v>
      </c>
      <c r="AJ33" s="108">
        <f t="shared" si="28"/>
        <v>22.3067551574111</v>
      </c>
    </row>
    <row r="34" spans="1:36" s="96" customFormat="1" x14ac:dyDescent="0.25">
      <c r="A34" s="177"/>
      <c r="B34" s="107">
        <v>31</v>
      </c>
      <c r="C34" s="87">
        <v>0.20516596000000001</v>
      </c>
      <c r="D34" s="108">
        <f>C34/PROP_InOut!$E$8</f>
        <v>0.76927619047619056</v>
      </c>
      <c r="E34" s="88">
        <v>2.3649940000000001E-2</v>
      </c>
      <c r="F34" s="109">
        <f>E34*PROP_InOut!$G$8</f>
        <v>1.4829990501249998E-4</v>
      </c>
      <c r="G34" s="96">
        <f>PROP_InOut!$C$4</f>
        <v>19.55</v>
      </c>
      <c r="H34" s="110">
        <f>PROP_InOut!$C$8*PROP_Table!C34</f>
        <v>103.12765963243157</v>
      </c>
      <c r="I34" s="111">
        <f t="shared" si="15"/>
        <v>104.96435909994715</v>
      </c>
      <c r="J34" s="112">
        <f>I34/PROP_InOut!$D$8</f>
        <v>0.30326304081136379</v>
      </c>
      <c r="K34" s="110">
        <f t="shared" si="16"/>
        <v>0.18734773429827259</v>
      </c>
      <c r="L34" s="111">
        <f t="shared" si="17"/>
        <v>10.734234476629357</v>
      </c>
      <c r="M34" s="96">
        <v>0</v>
      </c>
      <c r="N34" s="96">
        <v>0</v>
      </c>
      <c r="O34" s="110">
        <f t="shared" si="18"/>
        <v>0.19454487040279991</v>
      </c>
      <c r="P34" s="87">
        <v>11.146599999999999</v>
      </c>
      <c r="Q34" s="110">
        <f t="shared" si="19"/>
        <v>7.1971361045273328E-3</v>
      </c>
      <c r="R34" s="112">
        <f t="shared" si="7"/>
        <v>0.41236552337064225</v>
      </c>
      <c r="S34" s="113">
        <f>PROP_InOut!$F$8*PROP_Table!I34*PROP_Table!E34</f>
        <v>160744.74247271472</v>
      </c>
      <c r="T34" s="110">
        <v>1.0766100000000001</v>
      </c>
      <c r="U34" s="110">
        <v>1.116E-2</v>
      </c>
      <c r="V34" s="8">
        <f>0.5*PROP_InOut!$J$8*I34^2*E34*T34*(C34-C33)</f>
        <v>1.0968557264750705</v>
      </c>
      <c r="W34" s="8">
        <f>0.5*PROP_InOut!$J$8*I34^2*E34*U34*(C34-C33)</f>
        <v>1.1369864581846523E-2</v>
      </c>
      <c r="X34" s="110">
        <f t="shared" si="20"/>
        <v>1.0755449196401208</v>
      </c>
      <c r="Y34" s="110">
        <f t="shared" si="21"/>
        <v>4.4205949374238253E-2</v>
      </c>
      <c r="Z34" s="95">
        <f t="shared" si="22"/>
        <v>22.22033372785107</v>
      </c>
      <c r="AA34" s="88">
        <f>PROP_InOut!$G$4/2*((PROP_InOut!$E$8-PROP_Table!C34)/(PROP_Table!C34*SIN(PROP_Table!K34)))</f>
        <v>1.6102941658098047</v>
      </c>
      <c r="AB34" s="88">
        <f t="shared" si="23"/>
        <v>0.87192278636524778</v>
      </c>
      <c r="AC34" s="88">
        <f>PROP_InOut!$G$4/2*((C34-PROP_InOut!$J$12/2)/(C34*SIN(PROP_Table!K34)))</f>
        <v>4.9535855037071705</v>
      </c>
      <c r="AD34" s="88">
        <f t="shared" si="24"/>
        <v>0.99550666416830313</v>
      </c>
      <c r="AE34" s="88">
        <f t="shared" si="25"/>
        <v>0.86800494446679988</v>
      </c>
      <c r="AF34" s="25">
        <f>0.5*PROP_InOut!$J$8*I34^2*E34*T34*(C34-C33)</f>
        <v>1.0968557264750705</v>
      </c>
      <c r="AG34" s="25">
        <f>0.5*PROP_InOut!$J$8*I34^2*E34*U34*(C34-C33)</f>
        <v>1.1369864581846523E-2</v>
      </c>
      <c r="AH34" s="108">
        <f t="shared" si="26"/>
        <v>0.93357830824377175</v>
      </c>
      <c r="AI34" s="108">
        <f t="shared" si="27"/>
        <v>3.8370982631687839E-2</v>
      </c>
      <c r="AJ34" s="108">
        <f t="shared" si="28"/>
        <v>22.22033372785107</v>
      </c>
    </row>
    <row r="35" spans="1:36" s="96" customFormat="1" x14ac:dyDescent="0.25">
      <c r="A35" s="177"/>
      <c r="B35" s="107">
        <v>32</v>
      </c>
      <c r="C35" s="87">
        <v>0.21173947999999998</v>
      </c>
      <c r="D35" s="108">
        <f>C35/PROP_InOut!$E$8</f>
        <v>0.79392380952380948</v>
      </c>
      <c r="E35" s="88">
        <v>2.2019259999999999E-2</v>
      </c>
      <c r="F35" s="109">
        <f>E35*PROP_InOut!$G$8</f>
        <v>1.3807452223749998E-4</v>
      </c>
      <c r="G35" s="96">
        <f>PROP_InOut!$C$4</f>
        <v>19.55</v>
      </c>
      <c r="H35" s="110">
        <f>PROP_InOut!$C$8*PROP_Table!C35</f>
        <v>106.43187117486765</v>
      </c>
      <c r="I35" s="111">
        <f t="shared" si="15"/>
        <v>108.21250252065897</v>
      </c>
      <c r="J35" s="112">
        <f>I35/PROP_InOut!$D$8</f>
        <v>0.31264757723118358</v>
      </c>
      <c r="K35" s="110">
        <f t="shared" si="16"/>
        <v>0.18166054547352622</v>
      </c>
      <c r="L35" s="111">
        <f t="shared" si="17"/>
        <v>10.408382559677424</v>
      </c>
      <c r="M35" s="96">
        <v>0</v>
      </c>
      <c r="N35" s="96">
        <v>0</v>
      </c>
      <c r="O35" s="110">
        <f t="shared" si="18"/>
        <v>0.18865089351881509</v>
      </c>
      <c r="P35" s="87">
        <v>10.8089</v>
      </c>
      <c r="Q35" s="110">
        <f t="shared" si="19"/>
        <v>6.9903480452888425E-3</v>
      </c>
      <c r="R35" s="112">
        <f t="shared" si="7"/>
        <v>0.40051744032257552</v>
      </c>
      <c r="S35" s="113">
        <f>PROP_InOut!$F$8*PROP_Table!I35*PROP_Table!E35</f>
        <v>154292.57810192733</v>
      </c>
      <c r="T35" s="110">
        <v>1.0736699999999999</v>
      </c>
      <c r="U35" s="110">
        <v>1.129E-2</v>
      </c>
      <c r="V35" s="8">
        <f>0.5*PROP_InOut!$J$8*I35^2*E35*T35*(C35-C34)</f>
        <v>1.0824447959475867</v>
      </c>
      <c r="W35" s="8">
        <f>0.5*PROP_InOut!$J$8*I35^2*E35*U35*(C35-C34)</f>
        <v>1.1382269921156643E-2</v>
      </c>
      <c r="X35" s="110">
        <f t="shared" si="20"/>
        <v>1.0625768651574163</v>
      </c>
      <c r="Y35" s="110">
        <f t="shared" si="21"/>
        <v>4.3777718924700913E-2</v>
      </c>
      <c r="Z35" s="95">
        <f t="shared" si="22"/>
        <v>22.005081626361477</v>
      </c>
      <c r="AA35" s="88">
        <f>PROP_InOut!$G$4/2*((PROP_InOut!$E$8-PROP_Table!C35)/(PROP_Table!C35*SIN(PROP_Table!K35)))</f>
        <v>1.4367449185461905</v>
      </c>
      <c r="AB35" s="88">
        <f t="shared" si="23"/>
        <v>0.84721282238514006</v>
      </c>
      <c r="AC35" s="88">
        <f>PROP_InOut!$G$4/2*((C35-PROP_InOut!$J$12/2)/(C35*SIN(PROP_Table!K35)))</f>
        <v>5.1201716498259451</v>
      </c>
      <c r="AD35" s="88">
        <f t="shared" si="24"/>
        <v>0.99619617600944232</v>
      </c>
      <c r="AE35" s="88">
        <f t="shared" si="25"/>
        <v>0.84399017392624343</v>
      </c>
      <c r="AF35" s="25">
        <f>0.5*PROP_InOut!$J$8*I35^2*E35*T35*(C35-C34)</f>
        <v>1.0824447959475867</v>
      </c>
      <c r="AG35" s="25">
        <f>0.5*PROP_InOut!$J$8*I35^2*E35*U35*(C35-C34)</f>
        <v>1.1382269921156643E-2</v>
      </c>
      <c r="AH35" s="108">
        <f t="shared" si="26"/>
        <v>0.89680443323421033</v>
      </c>
      <c r="AI35" s="108">
        <f t="shared" si="27"/>
        <v>3.694796460935252E-2</v>
      </c>
      <c r="AJ35" s="108">
        <f t="shared" si="28"/>
        <v>22.005081626361477</v>
      </c>
    </row>
    <row r="36" spans="1:36" s="96" customFormat="1" x14ac:dyDescent="0.25">
      <c r="A36" s="177"/>
      <c r="B36" s="107">
        <v>33</v>
      </c>
      <c r="C36" s="87">
        <v>0.21831046000000001</v>
      </c>
      <c r="D36" s="108">
        <f>C36/PROP_InOut!$E$8</f>
        <v>0.81856190476190482</v>
      </c>
      <c r="E36" s="88">
        <v>2.043176E-2</v>
      </c>
      <c r="F36" s="109">
        <f>E36*PROP_InOut!$G$8</f>
        <v>1.2811990504999998E-4</v>
      </c>
      <c r="G36" s="96">
        <f>PROP_InOut!$C$4</f>
        <v>19.55</v>
      </c>
      <c r="H36" s="110">
        <f>PROP_InOut!$C$8*PROP_Table!C36</f>
        <v>109.73480597404935</v>
      </c>
      <c r="I36" s="111">
        <f t="shared" si="15"/>
        <v>111.46268497646312</v>
      </c>
      <c r="J36" s="112">
        <f>I36/PROP_InOut!$D$8</f>
        <v>0.32203800483147377</v>
      </c>
      <c r="K36" s="110">
        <f t="shared" si="16"/>
        <v>0.17630699506980455</v>
      </c>
      <c r="L36" s="111">
        <f t="shared" si="17"/>
        <v>10.101646716133613</v>
      </c>
      <c r="M36" s="96">
        <v>0</v>
      </c>
      <c r="N36" s="96">
        <v>0</v>
      </c>
      <c r="O36" s="110">
        <f t="shared" si="18"/>
        <v>0.18309900116822111</v>
      </c>
      <c r="P36" s="87">
        <v>10.4908</v>
      </c>
      <c r="Q36" s="110">
        <f t="shared" si="19"/>
        <v>6.7920060984165767E-3</v>
      </c>
      <c r="R36" s="112">
        <f t="shared" si="7"/>
        <v>0.3891532838663867</v>
      </c>
      <c r="S36" s="113">
        <f>PROP_InOut!$F$8*PROP_Table!I36*PROP_Table!E36</f>
        <v>147468.80279858841</v>
      </c>
      <c r="T36" s="110">
        <v>1.0712200000000001</v>
      </c>
      <c r="U36" s="110">
        <v>1.145E-2</v>
      </c>
      <c r="V36" s="8">
        <f>0.5*PROP_InOut!$J$8*I36^2*E36*T36*(C36-C35)</f>
        <v>1.0628034268562205</v>
      </c>
      <c r="W36" s="8">
        <f>0.5*PROP_InOut!$J$8*I36^2*E36*U36*(C36-C35)</f>
        <v>1.1360037375612595E-2</v>
      </c>
      <c r="X36" s="110">
        <f t="shared" si="20"/>
        <v>1.044335502311911</v>
      </c>
      <c r="Y36" s="110">
        <f t="shared" si="21"/>
        <v>4.3136916781564977E-2</v>
      </c>
      <c r="Z36" s="95">
        <f t="shared" si="22"/>
        <v>21.682979337516606</v>
      </c>
      <c r="AA36" s="88">
        <f>PROP_InOut!$G$4/2*((PROP_InOut!$E$8-PROP_Table!C36)/(PROP_Table!C36*SIN(PROP_Table!K36)))</f>
        <v>1.2637456903153077</v>
      </c>
      <c r="AB36" s="88">
        <f t="shared" si="23"/>
        <v>0.8176104880813263</v>
      </c>
      <c r="AC36" s="88">
        <f>PROP_InOut!$G$4/2*((C36-PROP_InOut!$J$12/2)/(C36*SIN(PROP_Table!K36)))</f>
        <v>5.2868231469445046</v>
      </c>
      <c r="AD36" s="88">
        <f t="shared" si="24"/>
        <v>0.99678008909361349</v>
      </c>
      <c r="AE36" s="88">
        <f t="shared" si="25"/>
        <v>0.81497785515357724</v>
      </c>
      <c r="AF36" s="25">
        <f>0.5*PROP_InOut!$J$8*I36^2*E36*T36*(C36-C35)</f>
        <v>1.0628034268562205</v>
      </c>
      <c r="AG36" s="25">
        <f>0.5*PROP_InOut!$J$8*I36^2*E36*U36*(C36-C35)</f>
        <v>1.1360037375612595E-2</v>
      </c>
      <c r="AH36" s="108">
        <f t="shared" si="26"/>
        <v>0.85111030773489493</v>
      </c>
      <c r="AI36" s="108">
        <f t="shared" si="27"/>
        <v>3.5155631916578174E-2</v>
      </c>
      <c r="AJ36" s="108">
        <f t="shared" si="28"/>
        <v>21.682979337516606</v>
      </c>
    </row>
    <row r="37" spans="1:36" s="96" customFormat="1" x14ac:dyDescent="0.25">
      <c r="A37" s="177"/>
      <c r="B37" s="107">
        <v>34</v>
      </c>
      <c r="C37" s="87">
        <v>0.22488397999999998</v>
      </c>
      <c r="D37" s="108">
        <f>C37/PROP_InOut!$E$8</f>
        <v>0.84320952380952374</v>
      </c>
      <c r="E37" s="88">
        <v>1.8905219999999997E-2</v>
      </c>
      <c r="F37" s="109">
        <f>E37*PROP_InOut!$G$8</f>
        <v>1.1854754516249997E-4</v>
      </c>
      <c r="G37" s="96">
        <f>PROP_InOut!$C$4</f>
        <v>19.55</v>
      </c>
      <c r="H37" s="110">
        <f>PROP_InOut!$C$8*PROP_Table!C37</f>
        <v>113.03901751648543</v>
      </c>
      <c r="I37" s="111">
        <f t="shared" si="15"/>
        <v>114.71713900325574</v>
      </c>
      <c r="J37" s="112">
        <f>I37/PROP_InOut!$D$8</f>
        <v>0.33144077385525389</v>
      </c>
      <c r="K37" s="110">
        <f t="shared" si="16"/>
        <v>0.17125504970282363</v>
      </c>
      <c r="L37" s="111">
        <f t="shared" si="17"/>
        <v>9.8121915682749368</v>
      </c>
      <c r="M37" s="96">
        <v>0</v>
      </c>
      <c r="N37" s="96">
        <v>0</v>
      </c>
      <c r="O37" s="110">
        <f t="shared" si="18"/>
        <v>0.17786126808298613</v>
      </c>
      <c r="P37" s="87">
        <v>10.1907</v>
      </c>
      <c r="Q37" s="110">
        <f t="shared" si="19"/>
        <v>6.6062183801625079E-3</v>
      </c>
      <c r="R37" s="112">
        <f t="shared" si="7"/>
        <v>0.37850843172506288</v>
      </c>
      <c r="S37" s="113">
        <f>PROP_InOut!$F$8*PROP_Table!I37*PROP_Table!E37</f>
        <v>140434.85770286556</v>
      </c>
      <c r="T37" s="110">
        <v>1.0688200000000001</v>
      </c>
      <c r="U37" s="110">
        <v>1.1650000000000001E-2</v>
      </c>
      <c r="V37" s="8">
        <f>0.5*PROP_InOut!$J$8*I37^2*E37*T37*(C37-C36)</f>
        <v>1.0397292447488848</v>
      </c>
      <c r="W37" s="8">
        <f>0.5*PROP_InOut!$J$8*I37^2*E37*U37*(C37-C36)</f>
        <v>1.1332914523796813E-2</v>
      </c>
      <c r="X37" s="110">
        <f t="shared" si="20"/>
        <v>1.0225883843503265</v>
      </c>
      <c r="Y37" s="110">
        <f t="shared" si="21"/>
        <v>4.2358456347885369E-2</v>
      </c>
      <c r="Z37" s="95">
        <f t="shared" si="22"/>
        <v>21.291682444787298</v>
      </c>
      <c r="AA37" s="88">
        <f>PROP_InOut!$G$4/2*((PROP_InOut!$E$8-PROP_Table!C37)/(PROP_Table!C37*SIN(PROP_Table!K37)))</f>
        <v>1.0911029289562846</v>
      </c>
      <c r="AB37" s="88">
        <f t="shared" si="23"/>
        <v>0.78195574019963665</v>
      </c>
      <c r="AC37" s="88">
        <f>PROP_InOut!$G$4/2*((C37-PROP_InOut!$J$12/2)/(C37*SIN(PROP_Table!K37)))</f>
        <v>5.4536589148409007</v>
      </c>
      <c r="AD37" s="88">
        <f t="shared" si="24"/>
        <v>0.99727486842101809</v>
      </c>
      <c r="AE37" s="88">
        <f t="shared" si="25"/>
        <v>0.7798248079186525</v>
      </c>
      <c r="AF37" s="25">
        <f>0.5*PROP_InOut!$J$8*I37^2*E37*T37*(C37-C36)</f>
        <v>1.0397292447488848</v>
      </c>
      <c r="AG37" s="25">
        <f>0.5*PROP_InOut!$J$8*I37^2*E37*U37*(C37-C36)</f>
        <v>1.1332914523796813E-2</v>
      </c>
      <c r="AH37" s="108">
        <f t="shared" si="26"/>
        <v>0.79743979040583857</v>
      </c>
      <c r="AI37" s="108">
        <f t="shared" si="27"/>
        <v>3.3032175085220335E-2</v>
      </c>
      <c r="AJ37" s="108">
        <f t="shared" si="28"/>
        <v>21.291682444787298</v>
      </c>
    </row>
    <row r="38" spans="1:36" s="96" customFormat="1" x14ac:dyDescent="0.25">
      <c r="A38" s="177"/>
      <c r="B38" s="107">
        <v>35</v>
      </c>
      <c r="C38" s="87">
        <v>0.23145750000000001</v>
      </c>
      <c r="D38" s="108">
        <f>C38/PROP_InOut!$E$8</f>
        <v>0.86785714285714288</v>
      </c>
      <c r="E38" s="88">
        <v>1.7454879999999999E-2</v>
      </c>
      <c r="F38" s="109">
        <f>E38*PROP_InOut!$G$8</f>
        <v>1.0945300689999998E-4</v>
      </c>
      <c r="G38" s="96">
        <f>PROP_InOut!$C$4</f>
        <v>19.55</v>
      </c>
      <c r="H38" s="110">
        <f>PROP_InOut!$C$8*PROP_Table!C38</f>
        <v>116.34322905892154</v>
      </c>
      <c r="I38" s="111">
        <f t="shared" si="15"/>
        <v>117.9743592813993</v>
      </c>
      <c r="J38" s="112">
        <f>I38/PROP_InOut!$D$8</f>
        <v>0.34085153513281929</v>
      </c>
      <c r="K38" s="110">
        <f t="shared" si="16"/>
        <v>0.16648195204612795</v>
      </c>
      <c r="L38" s="111">
        <f t="shared" si="17"/>
        <v>9.538713217342492</v>
      </c>
      <c r="M38" s="96">
        <v>0</v>
      </c>
      <c r="N38" s="96">
        <v>0</v>
      </c>
      <c r="O38" s="110">
        <f t="shared" si="18"/>
        <v>0.17291151432433022</v>
      </c>
      <c r="P38" s="87">
        <v>9.9070999999999998</v>
      </c>
      <c r="Q38" s="110">
        <f t="shared" si="19"/>
        <v>6.429562278202257E-3</v>
      </c>
      <c r="R38" s="112">
        <f t="shared" si="7"/>
        <v>0.36838678265750779</v>
      </c>
      <c r="S38" s="113">
        <f>PROP_InOut!$F$8*PROP_Table!I38*PROP_Table!E38</f>
        <v>133342.73858765018</v>
      </c>
      <c r="T38" s="110">
        <v>1.06612</v>
      </c>
      <c r="U38" s="110">
        <v>1.189E-2</v>
      </c>
      <c r="V38" s="8">
        <f>0.5*PROP_InOut!$J$8*I38^2*E38*T38*(C38-C37)</f>
        <v>1.0126877355346668</v>
      </c>
      <c r="W38" s="8">
        <f>0.5*PROP_InOut!$J$8*I38^2*E38*U38*(C38-C37)</f>
        <v>1.1294091824097839E-2</v>
      </c>
      <c r="X38" s="110">
        <f t="shared" si="20"/>
        <v>0.99681458243656373</v>
      </c>
      <c r="Y38" s="110">
        <f t="shared" si="21"/>
        <v>4.1420349144918531E-2</v>
      </c>
      <c r="Z38" s="95">
        <f t="shared" si="22"/>
        <v>20.820138333248053</v>
      </c>
      <c r="AA38" s="88">
        <f>PROP_InOut!$G$4/2*((PROP_InOut!$E$8-PROP_Table!C38)/(PROP_Table!C38*SIN(PROP_Table!K38)))</f>
        <v>0.91883243206966869</v>
      </c>
      <c r="AB38" s="88">
        <f t="shared" si="23"/>
        <v>0.73872536738914818</v>
      </c>
      <c r="AC38" s="88">
        <f>PROP_InOut!$G$4/2*((C38-PROP_InOut!$J$12/2)/(C38*SIN(PROP_Table!K38)))</f>
        <v>5.6206055979757235</v>
      </c>
      <c r="AD38" s="88">
        <f t="shared" si="24"/>
        <v>0.99769387376402807</v>
      </c>
      <c r="AE38" s="88">
        <f t="shared" si="25"/>
        <v>0.73702177343823405</v>
      </c>
      <c r="AF38" s="25">
        <f>0.5*PROP_InOut!$J$8*I38^2*E38*T38*(C38-C37)</f>
        <v>1.0126877355346668</v>
      </c>
      <c r="AG38" s="25">
        <f>0.5*PROP_InOut!$J$8*I38^2*E38*U38*(C38-C37)</f>
        <v>1.1294091824097839E-2</v>
      </c>
      <c r="AH38" s="108">
        <f t="shared" si="26"/>
        <v>0.734674051336489</v>
      </c>
      <c r="AI38" s="108">
        <f t="shared" si="27"/>
        <v>3.0527699183218696E-2</v>
      </c>
      <c r="AJ38" s="108">
        <f t="shared" si="28"/>
        <v>20.820138333248053</v>
      </c>
    </row>
    <row r="39" spans="1:36" s="96" customFormat="1" x14ac:dyDescent="0.25">
      <c r="A39" s="177"/>
      <c r="B39" s="107">
        <v>36</v>
      </c>
      <c r="C39" s="87">
        <v>0.23802847999999999</v>
      </c>
      <c r="D39" s="108">
        <f>C39/PROP_InOut!$E$8</f>
        <v>0.89249523809523812</v>
      </c>
      <c r="E39" s="88">
        <v>1.6098520000000002E-2</v>
      </c>
      <c r="F39" s="109">
        <f>E39*PROP_InOut!$G$8</f>
        <v>1.0094778197499999E-4</v>
      </c>
      <c r="G39" s="96">
        <f>PROP_InOut!$C$4</f>
        <v>19.55</v>
      </c>
      <c r="H39" s="110">
        <f>PROP_InOut!$C$8*PROP_Table!C39</f>
        <v>119.64616385810319</v>
      </c>
      <c r="I39" s="111">
        <f t="shared" si="15"/>
        <v>121.23286281351307</v>
      </c>
      <c r="J39" s="112">
        <f>I39/PROP_InOut!$D$8</f>
        <v>0.35026600398793267</v>
      </c>
      <c r="K39" s="110">
        <f t="shared" si="16"/>
        <v>0.16196713402716795</v>
      </c>
      <c r="L39" s="111">
        <f t="shared" si="17"/>
        <v>9.2800331995864678</v>
      </c>
      <c r="M39" s="96">
        <v>0</v>
      </c>
      <c r="N39" s="96">
        <v>0</v>
      </c>
      <c r="O39" s="110">
        <f t="shared" si="18"/>
        <v>0.16822879594122944</v>
      </c>
      <c r="P39" s="87">
        <v>9.6387999999999998</v>
      </c>
      <c r="Q39" s="110">
        <f t="shared" si="19"/>
        <v>6.2616619140614879E-3</v>
      </c>
      <c r="R39" s="112">
        <f t="shared" si="7"/>
        <v>0.35876680041353204</v>
      </c>
      <c r="S39" s="113">
        <f>PROP_InOut!$F$8*PROP_Table!I39*PROP_Table!E39</f>
        <v>126377.91552827982</v>
      </c>
      <c r="T39" s="110">
        <v>1.06382</v>
      </c>
      <c r="U39" s="110">
        <v>1.2160000000000001E-2</v>
      </c>
      <c r="V39" s="8">
        <f>0.5*PROP_InOut!$J$8*I39^2*E39*T39*(C39-C38)</f>
        <v>0.9837943367381875</v>
      </c>
      <c r="W39" s="8">
        <f>0.5*PROP_InOut!$J$8*I39^2*E39*U39*(C39-C38)</f>
        <v>1.1245266243101614E-2</v>
      </c>
      <c r="X39" s="110">
        <f t="shared" si="20"/>
        <v>0.96910499953897744</v>
      </c>
      <c r="Y39" s="110">
        <f t="shared" si="21"/>
        <v>4.0404065708382855E-2</v>
      </c>
      <c r="Z39" s="95">
        <f t="shared" si="22"/>
        <v>20.309298560738377</v>
      </c>
      <c r="AA39" s="88">
        <f>PROP_InOut!$G$4/2*((PROP_InOut!$E$8-PROP_Table!C39)/(PROP_Table!C39*SIN(PROP_Table!K39)))</f>
        <v>0.74695664151565855</v>
      </c>
      <c r="AB39" s="88">
        <f t="shared" si="23"/>
        <v>0.68575935251475617</v>
      </c>
      <c r="AC39" s="88">
        <f>PROP_InOut!$G$4/2*((C39-PROP_InOut!$J$12/2)/(C39*SIN(PROP_Table!K39)))</f>
        <v>5.7875905191568489</v>
      </c>
      <c r="AD39" s="88">
        <f t="shared" si="24"/>
        <v>0.99804852866152094</v>
      </c>
      <c r="AE39" s="88">
        <f t="shared" si="25"/>
        <v>0.6844211127932297</v>
      </c>
      <c r="AF39" s="25">
        <f>0.5*PROP_InOut!$J$8*I39^2*E39*T39*(C39-C38)</f>
        <v>0.9837943367381875</v>
      </c>
      <c r="AG39" s="25">
        <f>0.5*PROP_InOut!$J$8*I39^2*E39*U39*(C39-C38)</f>
        <v>1.1245266243101614E-2</v>
      </c>
      <c r="AH39" s="108">
        <f t="shared" si="26"/>
        <v>0.66327592219794929</v>
      </c>
      <c r="AI39" s="108">
        <f t="shared" si="27"/>
        <v>2.7653395613502166E-2</v>
      </c>
      <c r="AJ39" s="108">
        <f t="shared" si="28"/>
        <v>20.309298560738377</v>
      </c>
    </row>
    <row r="40" spans="1:36" s="96" customFormat="1" x14ac:dyDescent="0.25">
      <c r="A40" s="177"/>
      <c r="B40" s="107">
        <v>37</v>
      </c>
      <c r="C40" s="87">
        <v>0.24458929999999998</v>
      </c>
      <c r="D40" s="108">
        <f>C40/PROP_InOut!$E$8</f>
        <v>0.91709523809523807</v>
      </c>
      <c r="E40" s="88">
        <v>1.4792960000000001E-2</v>
      </c>
      <c r="F40" s="109">
        <f>E40*PROP_InOut!$G$8</f>
        <v>9.2761104799999992E-5</v>
      </c>
      <c r="G40" s="96">
        <f>PROP_InOut!$C$4</f>
        <v>19.55</v>
      </c>
      <c r="H40" s="110">
        <f>PROP_InOut!$C$8*PROP_Table!C40</f>
        <v>122.94399168426719</v>
      </c>
      <c r="I40" s="111">
        <f t="shared" si="15"/>
        <v>124.48866450910765</v>
      </c>
      <c r="J40" s="112">
        <f>I40/PROP_InOut!$D$8</f>
        <v>0.35967266669660158</v>
      </c>
      <c r="K40" s="110">
        <f t="shared" si="16"/>
        <v>0.15769518667179427</v>
      </c>
      <c r="L40" s="111">
        <f t="shared" si="17"/>
        <v>9.0352686458214837</v>
      </c>
      <c r="M40" s="96">
        <v>0</v>
      </c>
      <c r="N40" s="96">
        <v>0</v>
      </c>
      <c r="O40" s="110">
        <f t="shared" si="18"/>
        <v>0.16379740497041584</v>
      </c>
      <c r="P40" s="87">
        <v>9.3849</v>
      </c>
      <c r="Q40" s="110">
        <f t="shared" si="19"/>
        <v>6.1022182986215437E-3</v>
      </c>
      <c r="R40" s="112">
        <f t="shared" si="7"/>
        <v>0.34963135417851632</v>
      </c>
      <c r="S40" s="113">
        <f>PROP_InOut!$F$8*PROP_Table!I40*PROP_Table!E40</f>
        <v>119247.63276968864</v>
      </c>
      <c r="T40" s="110">
        <v>1.0615699999999999</v>
      </c>
      <c r="U40" s="110">
        <v>1.2489999999999999E-2</v>
      </c>
      <c r="V40" s="8">
        <f>0.5*PROP_InOut!$J$8*I40^2*E40*T40*(C40-C39)</f>
        <v>0.94973142296581126</v>
      </c>
      <c r="W40" s="8">
        <f>0.5*PROP_InOut!$J$8*I40^2*E40*U40*(C40-C39)</f>
        <v>1.1174152880020143E-2</v>
      </c>
      <c r="X40" s="110">
        <f t="shared" si="20"/>
        <v>0.93619220623950894</v>
      </c>
      <c r="Y40" s="110">
        <f t="shared" si="21"/>
        <v>3.9179198205672588E-2</v>
      </c>
      <c r="Z40" s="95">
        <f t="shared" si="22"/>
        <v>19.693613001036706</v>
      </c>
      <c r="AA40" s="88">
        <f>PROP_InOut!$G$4/2*((PROP_InOut!$E$8-PROP_Table!C40)/(PROP_Table!C40*SIN(PROP_Table!K40)))</f>
        <v>0.57563618221435797</v>
      </c>
      <c r="AB40" s="88">
        <f t="shared" si="23"/>
        <v>0.61979706312917437</v>
      </c>
      <c r="AC40" s="88">
        <f>PROP_InOut!$G$4/2*((C40-PROP_InOut!$J$12/2)/(C40*SIN(PROP_Table!K40)))</f>
        <v>5.9544124098210034</v>
      </c>
      <c r="AD40" s="88">
        <f t="shared" si="24"/>
        <v>0.9983483723013864</v>
      </c>
      <c r="AE40" s="88">
        <f t="shared" si="25"/>
        <v>0.61877338913219082</v>
      </c>
      <c r="AF40" s="25">
        <f>0.5*PROP_InOut!$J$8*I40^2*E40*T40*(C40-C39)</f>
        <v>0.94973142296581126</v>
      </c>
      <c r="AG40" s="25">
        <f>0.5*PROP_InOut!$J$8*I40^2*E40*U40*(C40-C39)</f>
        <v>1.1174152880020143E-2</v>
      </c>
      <c r="AH40" s="108">
        <f t="shared" si="26"/>
        <v>0.57929082433396395</v>
      </c>
      <c r="AI40" s="108">
        <f t="shared" si="27"/>
        <v>2.4243045257205876E-2</v>
      </c>
      <c r="AJ40" s="108">
        <f t="shared" si="28"/>
        <v>19.693613001036706</v>
      </c>
    </row>
    <row r="41" spans="1:36" s="96" customFormat="1" x14ac:dyDescent="0.25">
      <c r="A41" s="177"/>
      <c r="B41" s="107">
        <v>38</v>
      </c>
      <c r="C41" s="87">
        <v>0.25095200000000001</v>
      </c>
      <c r="D41" s="108">
        <f>C41/PROP_InOut!$E$8</f>
        <v>0.94095238095238098</v>
      </c>
      <c r="E41" s="88">
        <v>1.004824E-2</v>
      </c>
      <c r="F41" s="109">
        <f>E41*PROP_InOut!$G$8</f>
        <v>6.3008744949999993E-5</v>
      </c>
      <c r="G41" s="96">
        <f>PROP_InOut!$C$4</f>
        <v>19.55</v>
      </c>
      <c r="H41" s="110">
        <f>PROP_InOut!$C$8*PROP_Table!C41</f>
        <v>126.14223353658653</v>
      </c>
      <c r="I41" s="111">
        <f t="shared" si="15"/>
        <v>127.6482102561518</v>
      </c>
      <c r="J41" s="112">
        <f>I41/PROP_InOut!$D$8</f>
        <v>0.36880122670542181</v>
      </c>
      <c r="K41" s="110">
        <f t="shared" si="16"/>
        <v>0.15376045929865584</v>
      </c>
      <c r="L41" s="111">
        <f t="shared" si="17"/>
        <v>8.8098253738060528</v>
      </c>
      <c r="M41" s="96">
        <v>0</v>
      </c>
      <c r="N41" s="96">
        <v>0</v>
      </c>
      <c r="O41" s="110">
        <f t="shared" si="18"/>
        <v>0.15971507985000111</v>
      </c>
      <c r="P41" s="87">
        <v>9.1509999999999998</v>
      </c>
      <c r="Q41" s="110">
        <f t="shared" si="19"/>
        <v>5.9546205513452653E-3</v>
      </c>
      <c r="R41" s="112">
        <f t="shared" si="7"/>
        <v>0.34117462619394701</v>
      </c>
      <c r="S41" s="113">
        <f>PROP_InOut!$F$8*PROP_Table!I41*PROP_Table!E41</f>
        <v>83055.731032066149</v>
      </c>
      <c r="T41" s="110">
        <v>1.0377000000000001</v>
      </c>
      <c r="U41" s="110">
        <v>1.495E-2</v>
      </c>
      <c r="V41" s="8">
        <f>0.5*PROP_InOut!$J$8*I41^2*E41*T41*(C41-C40)</f>
        <v>0.64300162724647736</v>
      </c>
      <c r="W41" s="8">
        <f>0.5*PROP_InOut!$J$8*I41^2*E41*U41*(C41-C40)</f>
        <v>9.2636352773776947E-3</v>
      </c>
      <c r="X41" s="110">
        <f t="shared" si="20"/>
        <v>0.63399680415775628</v>
      </c>
      <c r="Y41" s="110">
        <f t="shared" si="21"/>
        <v>2.7010829939618813E-2</v>
      </c>
      <c r="Z41" s="95">
        <f t="shared" si="22"/>
        <v>13.577123984907152</v>
      </c>
      <c r="AA41" s="88">
        <f>PROP_InOut!$G$4/2*((PROP_InOut!$E$8-PROP_Table!C41)/(PROP_Table!C41*SIN(PROP_Table!K41)))</f>
        <v>0.40973466953215582</v>
      </c>
      <c r="AB41" s="88">
        <f t="shared" si="23"/>
        <v>0.53786277976314045</v>
      </c>
      <c r="AC41" s="88">
        <f>PROP_InOut!$G$4/2*((C41-PROP_InOut!$J$12/2)/(C41*SIN(PROP_Table!K41)))</f>
        <v>6.1162812363227514</v>
      </c>
      <c r="AD41" s="88">
        <f t="shared" si="24"/>
        <v>0.99859520392638113</v>
      </c>
      <c r="AE41" s="88">
        <f t="shared" si="25"/>
        <v>0.53710719224198344</v>
      </c>
      <c r="AF41" s="25">
        <f>0.5*PROP_InOut!$J$8*I41^2*E41*T41*(C41-C40)</f>
        <v>0.64300162724647736</v>
      </c>
      <c r="AG41" s="25">
        <f>0.5*PROP_InOut!$J$8*I41^2*E41*U41*(C41-C40)</f>
        <v>9.2636352773776947E-3</v>
      </c>
      <c r="AH41" s="108">
        <f t="shared" si="26"/>
        <v>0.34052424337156312</v>
      </c>
      <c r="AI41" s="108">
        <f t="shared" si="27"/>
        <v>1.4507711028994364E-2</v>
      </c>
      <c r="AJ41" s="108">
        <f t="shared" si="28"/>
        <v>13.577123984907152</v>
      </c>
    </row>
    <row r="42" spans="1:36" x14ac:dyDescent="0.25">
      <c r="A42" s="177"/>
      <c r="B42" s="3">
        <v>39</v>
      </c>
      <c r="C42" s="114">
        <f>PROP_InOut!E8</f>
        <v>0.26669999999999999</v>
      </c>
      <c r="D42" s="25">
        <f>C42/PROP_InOut!$E$8</f>
        <v>1</v>
      </c>
      <c r="E42" s="72">
        <v>1E-3</v>
      </c>
      <c r="F42" s="26">
        <f>E42*PROP_InOut!$G$8</f>
        <v>6.2706249999999998E-6</v>
      </c>
      <c r="G42" s="2">
        <f>PROP_InOut!$C$4</f>
        <v>19.55</v>
      </c>
      <c r="H42" s="8">
        <f>PROP_InOut!$C$8*PROP_Table!C42</f>
        <v>134.05804171398364</v>
      </c>
      <c r="I42" s="27">
        <f t="shared" si="15"/>
        <v>135.47605341235837</v>
      </c>
      <c r="J42" s="68">
        <f>I42/PROP_InOut!$D$8</f>
        <v>0.39141743223367359</v>
      </c>
      <c r="K42" s="8">
        <f t="shared" si="16"/>
        <v>0.14481154079122233</v>
      </c>
      <c r="L42" s="27">
        <f t="shared" si="17"/>
        <v>8.2970901121236018</v>
      </c>
      <c r="M42" s="2">
        <v>0</v>
      </c>
      <c r="N42" s="2">
        <v>0</v>
      </c>
      <c r="O42" s="8">
        <f t="shared" si="18"/>
        <v>0.15707963267948966</v>
      </c>
      <c r="P42" s="27">
        <v>9</v>
      </c>
      <c r="Q42" s="8">
        <f t="shared" si="19"/>
        <v>1.2268091888267321E-2</v>
      </c>
      <c r="R42" s="68">
        <f t="shared" si="7"/>
        <v>0.70290988787639819</v>
      </c>
      <c r="S42" s="67">
        <f>PROP_InOut!$F$8*PROP_Table!I42*PROP_Table!E42</f>
        <v>8772.5815114741927</v>
      </c>
      <c r="T42" s="8">
        <v>0.28899000000000002</v>
      </c>
      <c r="U42" s="8">
        <v>5.5419999999999997E-2</v>
      </c>
      <c r="V42" s="8">
        <f>0.5*PROP_InOut!$J$8*I42^2*E42*T42*(C42-C41)</f>
        <v>4.9683552711476113E-2</v>
      </c>
      <c r="W42" s="8">
        <f>0.5*PROP_InOut!$J$8*I42^2*E42*U42*(C42-C41)</f>
        <v>9.5278815573895496E-3</v>
      </c>
      <c r="X42" s="8">
        <f t="shared" si="20"/>
        <v>4.7788590930833937E-2</v>
      </c>
      <c r="Y42" s="8">
        <f t="shared" si="21"/>
        <v>4.4266296366645931E-3</v>
      </c>
      <c r="Z42" s="55">
        <f t="shared" si="22"/>
        <v>2.225066743473334</v>
      </c>
      <c r="AA42" s="79">
        <f>PROP_InOut!$G$4/2*((PROP_InOut!$E$8-PROP_Table!C42)/(PROP_Table!C42*SIN(PROP_Table!K42)))</f>
        <v>0</v>
      </c>
      <c r="AB42" s="79">
        <f t="shared" si="23"/>
        <v>0</v>
      </c>
      <c r="AC42" s="79">
        <f>PROP_InOut!$G$4/2*((C42-PROP_InOut!$J$12/2)/(C42*SIN(PROP_Table!K42)))</f>
        <v>6.5172379853710325</v>
      </c>
      <c r="AD42" s="79">
        <f t="shared" si="24"/>
        <v>0.99905923795664309</v>
      </c>
      <c r="AE42" s="79">
        <f t="shared" si="25"/>
        <v>0</v>
      </c>
      <c r="AF42" s="25">
        <f>0.5*PROP_InOut!$J$8*I42^2*E42*T42*(C42-C41)</f>
        <v>4.9683552711476113E-2</v>
      </c>
      <c r="AG42" s="25">
        <f>0.5*PROP_InOut!$J$8*I42^2*E42*U42*(C42-C41)</f>
        <v>9.5278815573895496E-3</v>
      </c>
      <c r="AH42" s="25">
        <f t="shared" si="26"/>
        <v>0</v>
      </c>
      <c r="AI42" s="25">
        <f t="shared" si="27"/>
        <v>0</v>
      </c>
      <c r="AJ42" s="25">
        <f t="shared" si="28"/>
        <v>2.225066743473334</v>
      </c>
    </row>
    <row r="43" spans="1:36" x14ac:dyDescent="0.25">
      <c r="A43" s="177"/>
      <c r="B43" s="3">
        <v>40</v>
      </c>
      <c r="C43" s="8"/>
      <c r="D43" s="25">
        <f>C43/PROP_InOut!$E$8</f>
        <v>0</v>
      </c>
      <c r="E43" s="72"/>
      <c r="F43" s="26">
        <f>E43*PROP_InOut!$G$8</f>
        <v>0</v>
      </c>
      <c r="G43" s="2">
        <f>PROP_InOut!$C$4</f>
        <v>19.55</v>
      </c>
      <c r="H43" s="8">
        <f>PROP_InOut!$C$8*PROP_Table!C43</f>
        <v>0</v>
      </c>
      <c r="I43" s="27">
        <f t="shared" si="15"/>
        <v>19.55</v>
      </c>
      <c r="J43" s="68">
        <f>I43/PROP_InOut!$D$8</f>
        <v>5.6483862700640715E-2</v>
      </c>
      <c r="K43" s="8" t="e">
        <f t="shared" si="16"/>
        <v>#DIV/0!</v>
      </c>
      <c r="L43" s="27" t="e">
        <f t="shared" si="17"/>
        <v>#DIV/0!</v>
      </c>
      <c r="M43" s="2">
        <v>0</v>
      </c>
      <c r="N43" s="2">
        <v>0</v>
      </c>
      <c r="O43" s="8">
        <f t="shared" si="18"/>
        <v>0</v>
      </c>
      <c r="P43" s="27"/>
      <c r="Q43" s="8" t="e">
        <f t="shared" si="19"/>
        <v>#DIV/0!</v>
      </c>
      <c r="R43" s="68" t="e">
        <f t="shared" si="7"/>
        <v>#DIV/0!</v>
      </c>
      <c r="S43" s="67">
        <f>PROP_InOut!$F$8*PROP_Table!I43*PROP_Table!E43</f>
        <v>0</v>
      </c>
      <c r="T43" s="8">
        <v>0.81499999999999995</v>
      </c>
      <c r="U43" s="8">
        <v>1.4E-2</v>
      </c>
      <c r="V43" s="8">
        <f>0.5*PROP_InOut!$J$8*I43^2*E43*T43*PROP_InOut!$G$8</f>
        <v>0</v>
      </c>
      <c r="W43" s="8">
        <f>0.5*PROP_InOut!$J$8*I43^2*E43*U43*PROP_InOut!$G$8</f>
        <v>0</v>
      </c>
      <c r="X43" s="8"/>
      <c r="Y43" s="8" t="e">
        <f t="shared" si="21"/>
        <v>#DIV/0!</v>
      </c>
      <c r="Z43" s="55" t="e">
        <f t="shared" si="22"/>
        <v>#DIV/0!</v>
      </c>
      <c r="AA43" s="79" t="e">
        <f>PROP_InOut!$G$4/2*((PROP_InOut!$E$8-PROP_Table!C43)/(PROP_Table!C43*SIN(PROP_Table!K43)))</f>
        <v>#DIV/0!</v>
      </c>
      <c r="AB43" s="79" t="e">
        <f t="shared" si="23"/>
        <v>#DIV/0!</v>
      </c>
      <c r="AC43" s="79" t="e">
        <f>PROP_InOut!$G$4/2*((C43-PROP_InOut!$J$12/2)/(C43*SIN(PROP_Table!K43)))</f>
        <v>#DIV/0!</v>
      </c>
      <c r="AD43" s="79" t="e">
        <f t="shared" si="24"/>
        <v>#DIV/0!</v>
      </c>
      <c r="AE43" s="79" t="e">
        <f t="shared" si="25"/>
        <v>#DIV/0!</v>
      </c>
      <c r="AF43" s="25">
        <f>0.5*PROP_InOut!$J$8*I43^2*E43*T43*PROP_InOut!$G$8</f>
        <v>0</v>
      </c>
      <c r="AG43" s="25">
        <f>0.5*PROP_InOut!$J$8*I43^2*E43*U43*PROP_InOut!$G$8</f>
        <v>0</v>
      </c>
      <c r="AH43" s="25"/>
      <c r="AI43" s="25"/>
      <c r="AJ43" s="25"/>
    </row>
    <row r="44" spans="1:36" x14ac:dyDescent="0.25">
      <c r="C44" s="8"/>
      <c r="D44" s="25"/>
      <c r="E44" s="25"/>
      <c r="F44" s="26"/>
      <c r="G44" s="2"/>
      <c r="H44" s="8"/>
      <c r="I44" s="27"/>
      <c r="J44" s="68"/>
      <c r="K44" s="8"/>
      <c r="L44" s="27"/>
      <c r="M44" s="2"/>
      <c r="N44" s="2"/>
      <c r="O44" s="8"/>
      <c r="P44" s="27"/>
      <c r="Q44" s="8"/>
      <c r="R44" s="68"/>
      <c r="S44" s="67"/>
      <c r="T44" s="8"/>
      <c r="U44" s="8"/>
      <c r="V44" s="8"/>
      <c r="W44" s="8"/>
      <c r="X44" s="8"/>
      <c r="Y44" s="8"/>
      <c r="Z44" s="55"/>
      <c r="AA44" s="50"/>
      <c r="AB44" s="50"/>
      <c r="AC44" s="50"/>
      <c r="AD44" s="50"/>
      <c r="AE44" s="50"/>
      <c r="AF44" s="2"/>
      <c r="AG44" s="2"/>
      <c r="AH44" s="2"/>
      <c r="AI44" s="2"/>
      <c r="AJ44" s="2"/>
    </row>
  </sheetData>
  <mergeCells count="19">
    <mergeCell ref="A4:A23"/>
    <mergeCell ref="A24:A43"/>
    <mergeCell ref="B1:B2"/>
    <mergeCell ref="C1:F1"/>
    <mergeCell ref="G1:J1"/>
    <mergeCell ref="AA1:AE1"/>
    <mergeCell ref="V1:Z1"/>
    <mergeCell ref="AL6:AN6"/>
    <mergeCell ref="AL1:AN1"/>
    <mergeCell ref="AF1:AJ1"/>
    <mergeCell ref="S2:S3"/>
    <mergeCell ref="T2:T3"/>
    <mergeCell ref="U2:U3"/>
    <mergeCell ref="S1:U1"/>
    <mergeCell ref="Q2:R2"/>
    <mergeCell ref="K1:R1"/>
    <mergeCell ref="K2:L2"/>
    <mergeCell ref="M2:N2"/>
    <mergeCell ref="O2:P2"/>
  </mergeCells>
  <pageMargins left="0.7" right="0.7" top="0.75" bottom="0.75" header="0.3" footer="0.3"/>
  <pageSetup paperSize="9" orientation="portrait" r:id="rId1"/>
  <ignoredErrors>
    <ignoredError sqref="AC4:AC5 AC6:AC23" formula="1"/>
  </ignoredError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4B8E9-CC12-49B2-A6D8-7524C79B6CFA}">
  <dimension ref="B1:F21"/>
  <sheetViews>
    <sheetView zoomScale="145" zoomScaleNormal="145" workbookViewId="0">
      <selection activeCell="C7" sqref="C7"/>
    </sheetView>
  </sheetViews>
  <sheetFormatPr defaultColWidth="9.140625" defaultRowHeight="15" x14ac:dyDescent="0.25"/>
  <cols>
    <col min="1" max="1" width="9.140625" style="12"/>
    <col min="2" max="2" width="9.140625" style="10"/>
    <col min="3" max="3" width="9.140625" style="11"/>
    <col min="4" max="4" width="9.140625" style="12"/>
    <col min="5" max="5" width="20.140625" style="12" customWidth="1"/>
    <col min="6" max="16384" width="9.140625" style="12"/>
  </cols>
  <sheetData>
    <row r="1" spans="2:6" ht="16.5" thickBot="1" x14ac:dyDescent="0.3">
      <c r="B1" s="17" t="s">
        <v>34</v>
      </c>
      <c r="C1" s="18" t="s">
        <v>43</v>
      </c>
      <c r="E1" s="44" t="s">
        <v>41</v>
      </c>
      <c r="F1" s="45"/>
    </row>
    <row r="2" spans="2:6" x14ac:dyDescent="0.25">
      <c r="B2" s="19" t="s">
        <v>42</v>
      </c>
      <c r="C2" s="20" t="s">
        <v>2</v>
      </c>
      <c r="E2" s="43">
        <f>974.16*2</f>
        <v>1948.32</v>
      </c>
      <c r="F2" s="46"/>
    </row>
    <row r="3" spans="2:6" ht="15.75" thickBot="1" x14ac:dyDescent="0.3">
      <c r="B3" s="21"/>
      <c r="C3" s="22">
        <f>B3*0.3048</f>
        <v>0</v>
      </c>
    </row>
    <row r="4" spans="2:6" x14ac:dyDescent="0.25">
      <c r="B4" s="19" t="s">
        <v>2</v>
      </c>
      <c r="C4" s="20" t="s">
        <v>42</v>
      </c>
    </row>
    <row r="5" spans="2:6" ht="15.75" thickBot="1" x14ac:dyDescent="0.3">
      <c r="B5" s="21"/>
      <c r="C5" s="22">
        <f>B5*3.28</f>
        <v>0</v>
      </c>
    </row>
    <row r="6" spans="2:6" x14ac:dyDescent="0.25">
      <c r="B6" s="19" t="s">
        <v>34</v>
      </c>
      <c r="C6" s="20" t="s">
        <v>2</v>
      </c>
    </row>
    <row r="7" spans="2:6" ht="15.75" thickBot="1" x14ac:dyDescent="0.3">
      <c r="B7" s="21"/>
      <c r="C7" s="22">
        <f>B7*0.0254</f>
        <v>0</v>
      </c>
    </row>
    <row r="8" spans="2:6" x14ac:dyDescent="0.25">
      <c r="B8" s="19" t="s">
        <v>2</v>
      </c>
      <c r="C8" s="20" t="s">
        <v>34</v>
      </c>
    </row>
    <row r="9" spans="2:6" ht="15.75" thickBot="1" x14ac:dyDescent="0.3">
      <c r="B9" s="21"/>
      <c r="C9" s="22">
        <f>B9*39.3700787</f>
        <v>0</v>
      </c>
    </row>
    <row r="10" spans="2:6" x14ac:dyDescent="0.25">
      <c r="B10" s="19" t="s">
        <v>9</v>
      </c>
      <c r="C10" s="20" t="s">
        <v>45</v>
      </c>
    </row>
    <row r="11" spans="2:6" ht="15.75" thickBot="1" x14ac:dyDescent="0.3">
      <c r="B11" s="21"/>
      <c r="C11" s="22">
        <f>B11*1.94384449</f>
        <v>0</v>
      </c>
    </row>
    <row r="12" spans="2:6" x14ac:dyDescent="0.25">
      <c r="B12" s="19" t="s">
        <v>45</v>
      </c>
      <c r="C12" s="20" t="s">
        <v>9</v>
      </c>
    </row>
    <row r="13" spans="2:6" ht="15.75" thickBot="1" x14ac:dyDescent="0.3">
      <c r="B13" s="21">
        <v>160</v>
      </c>
      <c r="C13" s="22">
        <f>B13*0.514444444</f>
        <v>82.31111104</v>
      </c>
    </row>
    <row r="14" spans="2:6" x14ac:dyDescent="0.25">
      <c r="B14" s="19" t="s">
        <v>9</v>
      </c>
      <c r="C14" s="20" t="s">
        <v>44</v>
      </c>
    </row>
    <row r="15" spans="2:6" ht="15.75" thickBot="1" x14ac:dyDescent="0.3">
      <c r="B15" s="21"/>
      <c r="C15" s="22">
        <f>B15*3.6</f>
        <v>0</v>
      </c>
    </row>
    <row r="16" spans="2:6" x14ac:dyDescent="0.25">
      <c r="B16" s="19" t="s">
        <v>44</v>
      </c>
      <c r="C16" s="20" t="s">
        <v>9</v>
      </c>
    </row>
    <row r="17" spans="2:3" x14ac:dyDescent="0.25">
      <c r="B17" s="31"/>
      <c r="C17" s="32">
        <f>B17/3.6</f>
        <v>0</v>
      </c>
    </row>
    <row r="18" spans="2:3" x14ac:dyDescent="0.25">
      <c r="B18" s="13" t="s">
        <v>56</v>
      </c>
      <c r="C18" s="14" t="s">
        <v>26</v>
      </c>
    </row>
    <row r="19" spans="2:3" x14ac:dyDescent="0.25">
      <c r="B19" s="15">
        <v>219</v>
      </c>
      <c r="C19" s="16">
        <f>B19*4.4482216</f>
        <v>974.16053039999997</v>
      </c>
    </row>
    <row r="20" spans="2:3" x14ac:dyDescent="0.25">
      <c r="B20" s="33" t="s">
        <v>26</v>
      </c>
      <c r="C20" s="14" t="s">
        <v>56</v>
      </c>
    </row>
    <row r="21" spans="2:3" x14ac:dyDescent="0.25">
      <c r="B21" s="15">
        <v>101</v>
      </c>
      <c r="C21" s="16">
        <f>B21*0.224808943870961</f>
        <v>22.705703330967062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EA88B-41FD-4D47-99C8-6267545EC7E9}">
  <dimension ref="A1:BJ44"/>
  <sheetViews>
    <sheetView topLeftCell="B1" zoomScale="80" zoomScaleNormal="80" workbookViewId="0">
      <pane xSplit="1" topLeftCell="AM1" activePane="topRight" state="frozen"/>
      <selection activeCell="B1" sqref="B1"/>
      <selection pane="topRight" activeCell="BI16" sqref="BI16"/>
    </sheetView>
  </sheetViews>
  <sheetFormatPr defaultColWidth="9.140625" defaultRowHeight="15" x14ac:dyDescent="0.25"/>
  <cols>
    <col min="1" max="1" width="4" style="65" hidden="1" customWidth="1"/>
    <col min="2" max="2" width="3.28515625" style="65" bestFit="1" customWidth="1"/>
    <col min="3" max="3" width="19.7109375" style="65" customWidth="1"/>
    <col min="4" max="4" width="7.140625" style="65" bestFit="1" customWidth="1"/>
    <col min="5" max="5" width="9.85546875" style="65" customWidth="1"/>
    <col min="6" max="6" width="8.28515625" style="65" bestFit="1" customWidth="1"/>
    <col min="7" max="7" width="5.140625" style="65" bestFit="1" customWidth="1"/>
    <col min="8" max="8" width="8.28515625" style="65" bestFit="1" customWidth="1"/>
    <col min="9" max="9" width="6.140625" style="65" bestFit="1" customWidth="1"/>
    <col min="10" max="10" width="9.28515625" style="3" customWidth="1"/>
    <col min="11" max="11" width="6.140625" style="65" bestFit="1" customWidth="1"/>
    <col min="12" max="12" width="10.5703125" style="65" customWidth="1"/>
    <col min="13" max="14" width="12.28515625" style="65" bestFit="1" customWidth="1"/>
    <col min="15" max="15" width="8.85546875" style="65" customWidth="1"/>
    <col min="16" max="16" width="10.85546875" style="65" customWidth="1"/>
    <col min="17" max="17" width="6.7109375" style="65" bestFit="1" customWidth="1"/>
    <col min="18" max="18" width="7.85546875" style="3" bestFit="1" customWidth="1"/>
    <col min="19" max="20" width="9.140625" style="125"/>
    <col min="22" max="22" width="10.28515625" bestFit="1" customWidth="1"/>
    <col min="23" max="23" width="11.85546875" customWidth="1"/>
    <col min="24" max="24" width="9.85546875" customWidth="1"/>
    <col min="25" max="25" width="10.28515625" style="125" bestFit="1" customWidth="1"/>
    <col min="26" max="26" width="9.140625" style="125"/>
    <col min="30" max="30" width="12.28515625" style="137" bestFit="1" customWidth="1"/>
    <col min="31" max="31" width="12.28515625" bestFit="1" customWidth="1"/>
    <col min="32" max="32" width="10.7109375" customWidth="1"/>
    <col min="33" max="33" width="10.5703125" customWidth="1"/>
    <col min="40" max="40" width="15.140625" bestFit="1" customWidth="1"/>
    <col min="41" max="41" width="11.7109375" style="3" customWidth="1"/>
    <col min="42" max="42" width="6.7109375" style="65" bestFit="1" customWidth="1"/>
    <col min="43" max="43" width="9.28515625" style="65" customWidth="1"/>
    <col min="44" max="44" width="10.42578125" style="65" customWidth="1"/>
    <col min="45" max="45" width="13.7109375" style="65" customWidth="1"/>
    <col min="46" max="46" width="7.7109375" style="65" customWidth="1"/>
    <col min="47" max="47" width="9.5703125" style="65" customWidth="1"/>
    <col min="48" max="48" width="6.7109375" style="65" customWidth="1"/>
    <col min="49" max="49" width="7.7109375" style="65" bestFit="1" customWidth="1"/>
    <col min="50" max="52" width="7" style="65" bestFit="1" customWidth="1"/>
    <col min="53" max="53" width="8.140625" style="65" bestFit="1" customWidth="1"/>
    <col min="54" max="54" width="10.42578125" style="65" customWidth="1"/>
    <col min="55" max="55" width="10.28515625" style="65" customWidth="1"/>
    <col min="56" max="56" width="9.85546875" style="65" customWidth="1"/>
    <col min="57" max="57" width="9" style="65" customWidth="1"/>
    <col min="58" max="58" width="8.140625" style="65" bestFit="1" customWidth="1"/>
    <col min="59" max="59" width="12.28515625" style="65" customWidth="1"/>
    <col min="60" max="61" width="10.85546875" style="65" customWidth="1"/>
    <col min="62" max="62" width="7.85546875" style="65" bestFit="1" customWidth="1"/>
    <col min="63" max="16384" width="9.140625" style="65"/>
  </cols>
  <sheetData>
    <row r="1" spans="1:62" x14ac:dyDescent="0.25">
      <c r="B1" s="178"/>
      <c r="C1" s="172" t="s">
        <v>7</v>
      </c>
      <c r="D1" s="173"/>
      <c r="E1" s="173"/>
      <c r="F1" s="174"/>
      <c r="G1" s="172" t="s">
        <v>12</v>
      </c>
      <c r="H1" s="173"/>
      <c r="I1" s="173"/>
      <c r="J1" s="173"/>
      <c r="K1" s="168" t="s">
        <v>15</v>
      </c>
      <c r="L1" s="168"/>
      <c r="M1" s="168"/>
      <c r="N1" s="168"/>
      <c r="O1" s="168"/>
      <c r="P1" s="168"/>
      <c r="Q1" s="168"/>
      <c r="R1" s="168"/>
      <c r="AO1" s="115" t="s">
        <v>29</v>
      </c>
      <c r="AP1" s="115"/>
      <c r="AQ1" s="115"/>
      <c r="AR1" s="116" t="s">
        <v>30</v>
      </c>
      <c r="AS1" s="118"/>
      <c r="AT1" s="117"/>
      <c r="AU1" s="115"/>
      <c r="AV1" s="119"/>
      <c r="AW1" s="120" t="s">
        <v>75</v>
      </c>
      <c r="AX1" s="120"/>
      <c r="AY1" s="120"/>
      <c r="AZ1" s="120"/>
      <c r="BA1" s="82"/>
      <c r="BB1" s="115" t="s">
        <v>90</v>
      </c>
      <c r="BC1" s="115"/>
      <c r="BD1" s="115"/>
      <c r="BE1" s="81"/>
      <c r="BF1" s="81"/>
      <c r="BG1" s="35"/>
      <c r="BH1" s="83" t="s">
        <v>59</v>
      </c>
      <c r="BI1" s="84"/>
      <c r="BJ1" s="85"/>
    </row>
    <row r="2" spans="1:62" ht="18" x14ac:dyDescent="0.25">
      <c r="B2" s="179"/>
      <c r="C2" s="4" t="s">
        <v>3</v>
      </c>
      <c r="D2" s="4" t="s">
        <v>4</v>
      </c>
      <c r="E2" s="4" t="s">
        <v>88</v>
      </c>
      <c r="F2" s="5" t="s">
        <v>5</v>
      </c>
      <c r="G2" s="6" t="s">
        <v>8</v>
      </c>
      <c r="H2" s="6" t="s">
        <v>10</v>
      </c>
      <c r="I2" s="6" t="s">
        <v>31</v>
      </c>
      <c r="J2" s="6" t="s">
        <v>11</v>
      </c>
      <c r="K2" s="169" t="s">
        <v>16</v>
      </c>
      <c r="L2" s="168"/>
      <c r="M2" s="169" t="s">
        <v>57</v>
      </c>
      <c r="N2" s="168"/>
      <c r="O2" s="169" t="s">
        <v>17</v>
      </c>
      <c r="P2" s="168"/>
      <c r="Q2" s="169" t="s">
        <v>87</v>
      </c>
      <c r="R2" s="168"/>
      <c r="S2" s="125" t="s">
        <v>92</v>
      </c>
      <c r="T2" s="125" t="s">
        <v>93</v>
      </c>
      <c r="U2" s="136" t="s">
        <v>101</v>
      </c>
      <c r="V2" s="136" t="s">
        <v>98</v>
      </c>
      <c r="W2" s="136" t="s">
        <v>99</v>
      </c>
      <c r="X2" s="136" t="s">
        <v>93</v>
      </c>
      <c r="Y2" s="135" t="s">
        <v>19</v>
      </c>
      <c r="Z2" s="135" t="s">
        <v>20</v>
      </c>
      <c r="AA2" s="134" t="s">
        <v>94</v>
      </c>
      <c r="AB2" s="134" t="s">
        <v>95</v>
      </c>
      <c r="AC2" s="136" t="s">
        <v>100</v>
      </c>
      <c r="AD2" s="137" t="s">
        <v>96</v>
      </c>
      <c r="AE2" s="136" t="s">
        <v>102</v>
      </c>
      <c r="AF2" s="134"/>
      <c r="AG2" s="181" t="s">
        <v>91</v>
      </c>
      <c r="AH2" s="182"/>
      <c r="AI2" s="182"/>
      <c r="AJ2" s="182"/>
      <c r="AK2" s="182"/>
      <c r="AL2" s="182"/>
      <c r="AM2" s="182"/>
      <c r="AN2" s="183"/>
      <c r="AO2" s="168" t="s">
        <v>18</v>
      </c>
      <c r="AP2" s="168" t="s">
        <v>19</v>
      </c>
      <c r="AQ2" s="168" t="s">
        <v>20</v>
      </c>
      <c r="AR2" s="4" t="s">
        <v>21</v>
      </c>
      <c r="AS2" s="4" t="s">
        <v>22</v>
      </c>
      <c r="AT2" s="4" t="s">
        <v>23</v>
      </c>
      <c r="AU2" s="4" t="s">
        <v>24</v>
      </c>
      <c r="AV2" s="53" t="s">
        <v>25</v>
      </c>
      <c r="AW2" s="51" t="s">
        <v>76</v>
      </c>
      <c r="AX2" s="4" t="s">
        <v>77</v>
      </c>
      <c r="AY2" s="4" t="s">
        <v>78</v>
      </c>
      <c r="AZ2" s="4" t="s">
        <v>79</v>
      </c>
      <c r="BA2" s="4" t="s">
        <v>80</v>
      </c>
      <c r="BB2" s="4" t="s">
        <v>21</v>
      </c>
      <c r="BC2" s="4" t="s">
        <v>22</v>
      </c>
      <c r="BD2" s="4" t="s">
        <v>23</v>
      </c>
      <c r="BE2" s="4" t="s">
        <v>24</v>
      </c>
      <c r="BF2" s="4" t="s">
        <v>25</v>
      </c>
      <c r="BG2" s="35"/>
      <c r="BH2" s="4" t="s">
        <v>60</v>
      </c>
      <c r="BI2" s="4" t="s">
        <v>61</v>
      </c>
      <c r="BJ2" s="4" t="s">
        <v>62</v>
      </c>
    </row>
    <row r="3" spans="1:62" ht="17.25" x14ac:dyDescent="0.25">
      <c r="B3" s="81" t="s">
        <v>89</v>
      </c>
      <c r="C3" s="23" t="s">
        <v>2</v>
      </c>
      <c r="D3" s="23"/>
      <c r="E3" s="23" t="s">
        <v>2</v>
      </c>
      <c r="F3" s="23" t="s">
        <v>6</v>
      </c>
      <c r="G3" s="23" t="s">
        <v>9</v>
      </c>
      <c r="H3" s="23" t="s">
        <v>9</v>
      </c>
      <c r="I3" s="23" t="s">
        <v>9</v>
      </c>
      <c r="J3" s="69"/>
      <c r="K3" s="24" t="s">
        <v>13</v>
      </c>
      <c r="L3" s="24" t="s">
        <v>14</v>
      </c>
      <c r="M3" s="24" t="s">
        <v>13</v>
      </c>
      <c r="N3" s="24" t="s">
        <v>14</v>
      </c>
      <c r="O3" s="24" t="s">
        <v>13</v>
      </c>
      <c r="P3" s="24" t="s">
        <v>14</v>
      </c>
      <c r="Q3" s="24" t="s">
        <v>13</v>
      </c>
      <c r="R3" s="81" t="s">
        <v>14</v>
      </c>
      <c r="S3" s="126" t="s">
        <v>9</v>
      </c>
      <c r="T3" s="126" t="s">
        <v>9</v>
      </c>
      <c r="U3" s="121" t="s">
        <v>9</v>
      </c>
      <c r="V3" s="121" t="s">
        <v>14</v>
      </c>
      <c r="W3" s="121" t="s">
        <v>14</v>
      </c>
      <c r="X3" s="121" t="s">
        <v>9</v>
      </c>
      <c r="AC3" s="124"/>
      <c r="AO3" s="168"/>
      <c r="AP3" s="168"/>
      <c r="AQ3" s="168"/>
      <c r="AR3" s="23" t="s">
        <v>26</v>
      </c>
      <c r="AS3" s="23" t="s">
        <v>26</v>
      </c>
      <c r="AT3" s="23" t="s">
        <v>26</v>
      </c>
      <c r="AU3" s="23" t="s">
        <v>27</v>
      </c>
      <c r="AV3" s="54" t="s">
        <v>28</v>
      </c>
      <c r="AW3" s="52"/>
      <c r="AX3" s="23"/>
      <c r="AY3" s="23"/>
      <c r="AZ3" s="23"/>
      <c r="BA3" s="23"/>
      <c r="BB3" s="23" t="s">
        <v>26</v>
      </c>
      <c r="BC3" s="23" t="s">
        <v>26</v>
      </c>
      <c r="BD3" s="23" t="s">
        <v>26</v>
      </c>
      <c r="BE3" s="23" t="s">
        <v>27</v>
      </c>
      <c r="BF3" s="23" t="s">
        <v>28</v>
      </c>
      <c r="BG3" s="35"/>
      <c r="BH3" s="23" t="s">
        <v>26</v>
      </c>
      <c r="BI3" s="23" t="s">
        <v>27</v>
      </c>
      <c r="BJ3" s="23" t="s">
        <v>28</v>
      </c>
    </row>
    <row r="4" spans="1:62" x14ac:dyDescent="0.25">
      <c r="A4" s="175" t="s">
        <v>86</v>
      </c>
      <c r="B4" s="70">
        <v>1</v>
      </c>
      <c r="C4" s="71">
        <v>1.6E-2</v>
      </c>
      <c r="D4" s="72">
        <f>C4/PROP_InOut!$E$8</f>
        <v>5.9992500937382828E-2</v>
      </c>
      <c r="E4" s="72"/>
      <c r="F4" s="73">
        <f>E4*PROP_InOut!$G$8</f>
        <v>0</v>
      </c>
      <c r="G4" s="74">
        <f>PROP_InOut!$C$4</f>
        <v>19.55</v>
      </c>
      <c r="H4" s="71">
        <f>PROP_InOut!$C$8*'PROP_Table (2)'!C4</f>
        <v>8.0424771931898711</v>
      </c>
      <c r="I4" s="75">
        <f>SQRT(G4^2+H4^2)</f>
        <v>21.139629594744068</v>
      </c>
      <c r="J4" s="76">
        <f>I4/PROP_InOut!$D$8</f>
        <v>6.1076620745367009E-2</v>
      </c>
      <c r="K4" s="71">
        <f>ATAN(G4/H4)</f>
        <v>1.1805183415980101</v>
      </c>
      <c r="L4" s="75">
        <f>DEGREES(K4)</f>
        <v>67.638718611349191</v>
      </c>
      <c r="M4" s="74">
        <v>0</v>
      </c>
      <c r="N4" s="74">
        <v>0</v>
      </c>
      <c r="O4" s="71">
        <f>RADIANS(P4)</f>
        <v>0.35029360641672724</v>
      </c>
      <c r="P4" s="75">
        <f>PROP_InOut!$K$12*(1-(B4-0.5)/PROP_InOut!$M$4)+PROP_InOut!$J$4*((B4-0.5)/PROP_InOut!$M$4)</f>
        <v>20.070345238095243</v>
      </c>
      <c r="Q4" s="71">
        <f>RADIANS(R4)</f>
        <v>-0.83022473518128292</v>
      </c>
      <c r="R4" s="76">
        <f>P4-L4-N4</f>
        <v>-47.568373373253948</v>
      </c>
      <c r="AO4" s="77">
        <f>PROP_InOut!$F$8*'PROP_Table (2)'!I4*'PROP_Table (2)'!E4</f>
        <v>0</v>
      </c>
      <c r="AP4" s="80"/>
      <c r="AQ4" s="80"/>
      <c r="AR4" s="71">
        <f>0.5*PROP_InOut!$J$8*I4^2*E4*AP4*PROP_InOut!$G$8</f>
        <v>0</v>
      </c>
      <c r="AS4" s="71">
        <f>0.5*PROP_InOut!$J$8*I4^2*E4*AQ4*PROP_InOut!$G$8</f>
        <v>0</v>
      </c>
      <c r="AT4" s="71">
        <f t="shared" ref="AT4:AT41" si="0">(BB4*COS(K4+M4)-BC4*SIN(K4+M4))</f>
        <v>0</v>
      </c>
      <c r="AU4" s="71">
        <f t="shared" ref="AU4:AU41" si="1">(C4*(BB4*SIN(K4+M4)+BC4*COS(K4+M4)))</f>
        <v>0</v>
      </c>
      <c r="AV4" s="55">
        <f t="shared" ref="AV4:AV41" si="2">(H4*(BB4*SIN(K4+M4)+BC4*COS(K4+M4)))</f>
        <v>0</v>
      </c>
      <c r="AW4" s="79">
        <f>PROP_InOut!$G$4/2*((PROP_InOut!$E$8-'PROP_Table (2)'!C4)/('PROP_Table (2)'!C4*SIN('PROP_Table (2)'!K4)))</f>
        <v>16.942791366375758</v>
      </c>
      <c r="AX4" s="79">
        <f>2/PI()*ACOS(EXP(-AW4))</f>
        <v>0.99999997209260338</v>
      </c>
      <c r="AY4" s="79">
        <f>PROP_InOut!$G$4/2*((C4-PROP_InOut!$J$12/2)/(C4*SIN('PROP_Table (2)'!K4)))</f>
        <v>8.4477420055722851E-3</v>
      </c>
      <c r="AZ4" s="79">
        <f>2/PI()*ACOS(EXP(-AY4))</f>
        <v>8.2633053705427242E-2</v>
      </c>
      <c r="BA4" s="79">
        <f>AZ4*AX4</f>
        <v>8.2633051399353841E-2</v>
      </c>
      <c r="BB4" s="72">
        <f>0.5*PROP_InOut!$J$8*I4^2*E4*AP4*PROP_InOut!$G$8</f>
        <v>0</v>
      </c>
      <c r="BC4" s="72">
        <f>0.5*PROP_InOut!$J$8*I4^2*E4*AQ4*PROP_InOut!$G$8</f>
        <v>0</v>
      </c>
      <c r="BD4" s="72">
        <f t="shared" ref="BD4:BD41" si="3">BA4*(BB4*COS(K4+M4)-BC4*SIN(K4+M4))</f>
        <v>0</v>
      </c>
      <c r="BE4" s="72">
        <f t="shared" ref="BE4:BE41" si="4">BA4*(C4*(BB4*SIN(K4+M4)+BC4*COS(K4+M4)))</f>
        <v>0</v>
      </c>
      <c r="BF4" s="72">
        <f>BA4*(H4*(BB4*SIN(K4+M4)+BC4*COS(K4+M4)))</f>
        <v>0</v>
      </c>
      <c r="BG4" s="78"/>
      <c r="BH4" s="37">
        <f>PROP_InOut!$G$4*SUM(AT$4:AT$42)</f>
        <v>46.591872029352807</v>
      </c>
      <c r="BI4" s="37">
        <f>PROP_InOut!$G$4*SUM(AU:AU)</f>
        <v>2.3363488137719024</v>
      </c>
      <c r="BJ4" s="37">
        <f>PROP_InOut!$G$4*SUM(AV:AV)</f>
        <v>1174.3770031310455</v>
      </c>
    </row>
    <row r="5" spans="1:62" x14ac:dyDescent="0.25">
      <c r="A5" s="175"/>
      <c r="B5" s="70">
        <v>2</v>
      </c>
      <c r="C5" s="71">
        <v>2.4E-2</v>
      </c>
      <c r="D5" s="72">
        <f>C5/PROP_InOut!$E$8</f>
        <v>8.9988751406074249E-2</v>
      </c>
      <c r="E5" s="72"/>
      <c r="F5" s="73">
        <f>E5*PROP_InOut!$G$8</f>
        <v>0</v>
      </c>
      <c r="G5" s="74">
        <f>PROP_InOut!$C$4</f>
        <v>19.55</v>
      </c>
      <c r="H5" s="71">
        <f>PROP_InOut!$C$8*'PROP_Table (2)'!C5</f>
        <v>12.063715789784807</v>
      </c>
      <c r="I5" s="75">
        <f t="shared" ref="I5:I41" si="5">SQRT(G5^2+H5^2)</f>
        <v>22.972499617079183</v>
      </c>
      <c r="J5" s="76">
        <f>I5/PROP_InOut!$D$8</f>
        <v>6.6372149067090644E-2</v>
      </c>
      <c r="K5" s="71">
        <f t="shared" ref="K5:K41" si="6">ATAN(G5/H5)</f>
        <v>1.0179199178461968</v>
      </c>
      <c r="L5" s="75">
        <f t="shared" ref="L5:L41" si="7">DEGREES(K5)</f>
        <v>58.322515174890569</v>
      </c>
      <c r="M5" s="74">
        <v>0</v>
      </c>
      <c r="N5" s="74">
        <v>0</v>
      </c>
      <c r="O5" s="71">
        <f t="shared" ref="O5:O41" si="8">RADIANS(P5)</f>
        <v>0.34540211341072119</v>
      </c>
      <c r="P5" s="75">
        <f>PROP_InOut!$K$12*(1-(B5-0.5)/PROP_InOut!$M$4)+PROP_InOut!$J$4*((B5-0.5)/PROP_InOut!$M$4)</f>
        <v>19.790083333333335</v>
      </c>
      <c r="Q5" s="71">
        <f t="shared" ref="Q5:Q22" si="9">RADIANS(R5)</f>
        <v>-0.67251780443547571</v>
      </c>
      <c r="R5" s="76">
        <f t="shared" ref="R5:R41" si="10">P5-L5-N5</f>
        <v>-38.532431841557234</v>
      </c>
      <c r="AO5" s="77">
        <f>PROP_InOut!$F$8*'PROP_Table (2)'!I5*'PROP_Table (2)'!E5</f>
        <v>0</v>
      </c>
      <c r="AP5" s="71"/>
      <c r="AQ5" s="71"/>
      <c r="AR5" s="71">
        <f>0.5*PROP_InOut!$J$8*I5^2*E5*AP5*PROP_InOut!$G$8</f>
        <v>0</v>
      </c>
      <c r="AS5" s="71">
        <f>0.5*PROP_InOut!$J$8*I5^2*E5*AQ5*PROP_InOut!$G$8</f>
        <v>0</v>
      </c>
      <c r="AT5" s="71">
        <f t="shared" si="0"/>
        <v>0</v>
      </c>
      <c r="AU5" s="71">
        <f t="shared" si="1"/>
        <v>0</v>
      </c>
      <c r="AV5" s="55">
        <f t="shared" si="2"/>
        <v>0</v>
      </c>
      <c r="AW5" s="79">
        <f>PROP_InOut!$G$4/2*((PROP_InOut!$E$8-'PROP_Table (2)'!C5)/('PROP_Table (2)'!C5*SIN('PROP_Table (2)'!K5)))</f>
        <v>11.882833881212953</v>
      </c>
      <c r="AX5" s="79">
        <f t="shared" ref="AX5:AX41" si="11">2/PI()*ACOS(EXP(-AW5))</f>
        <v>0.9999956022459322</v>
      </c>
      <c r="AY5" s="79">
        <f>PROP_InOut!$G$4/2*((C5-PROP_InOut!$J$12/2)/(C5*SIN('PROP_Table (2)'!K5)))</f>
        <v>0.39780809758902042</v>
      </c>
      <c r="AZ5" s="79">
        <f t="shared" ref="AZ5:AZ41" si="12">2/PI()*ACOS(EXP(-AY5))</f>
        <v>0.5310506572729613</v>
      </c>
      <c r="BA5" s="79">
        <f t="shared" ref="BA5:BA41" si="13">AZ5*AX5</f>
        <v>0.53104832184277306</v>
      </c>
      <c r="BB5" s="72">
        <f>0.5*PROP_InOut!$J$8*I5^2*E5*AP5*PROP_InOut!$G$8</f>
        <v>0</v>
      </c>
      <c r="BC5" s="72">
        <f>0.5*PROP_InOut!$J$8*I5^2*E5*AQ5*PROP_InOut!$G$8</f>
        <v>0</v>
      </c>
      <c r="BD5" s="72">
        <f t="shared" si="3"/>
        <v>0</v>
      </c>
      <c r="BE5" s="72">
        <f t="shared" si="4"/>
        <v>0</v>
      </c>
      <c r="BF5" s="72">
        <f t="shared" ref="BF5:BF41" si="14">H5*(BB5*SIN(K5+M5)+BC5*COS(K5+M5))</f>
        <v>0</v>
      </c>
      <c r="BG5" s="78"/>
      <c r="BH5" s="35"/>
      <c r="BI5" s="35"/>
      <c r="BJ5" s="35"/>
    </row>
    <row r="6" spans="1:62" x14ac:dyDescent="0.25">
      <c r="A6" s="175"/>
      <c r="B6" s="70">
        <v>3</v>
      </c>
      <c r="C6" s="71">
        <v>3.2000000000000001E-2</v>
      </c>
      <c r="D6" s="72">
        <f>C6/PROP_InOut!$E$8</f>
        <v>0.11998500187476566</v>
      </c>
      <c r="E6" s="72"/>
      <c r="F6" s="73">
        <f>E6*PROP_InOut!$G$8</f>
        <v>0</v>
      </c>
      <c r="G6" s="74">
        <f>PROP_InOut!$C$4</f>
        <v>19.55</v>
      </c>
      <c r="H6" s="71">
        <f>PROP_InOut!$C$8*'PROP_Table (2)'!C6</f>
        <v>16.084954386379742</v>
      </c>
      <c r="I6" s="75">
        <f t="shared" si="5"/>
        <v>25.316560935717888</v>
      </c>
      <c r="J6" s="76">
        <f>I6/PROP_InOut!$D$8</f>
        <v>7.3144611352710664E-2</v>
      </c>
      <c r="K6" s="71">
        <f t="shared" si="6"/>
        <v>0.8823306961697317</v>
      </c>
      <c r="L6" s="75">
        <f t="shared" si="7"/>
        <v>50.553825025365377</v>
      </c>
      <c r="M6" s="74">
        <v>0</v>
      </c>
      <c r="N6" s="74">
        <v>0</v>
      </c>
      <c r="O6" s="71">
        <f t="shared" si="8"/>
        <v>0.34051062040471519</v>
      </c>
      <c r="P6" s="75">
        <f>PROP_InOut!$K$12*(1-(B6-0.5)/PROP_InOut!$M$4)+PROP_InOut!$J$4*((B6-0.5)/PROP_InOut!$M$4)</f>
        <v>19.509821428571431</v>
      </c>
      <c r="Q6" s="71">
        <f t="shared" si="9"/>
        <v>-0.54182007576501656</v>
      </c>
      <c r="R6" s="76">
        <f t="shared" si="10"/>
        <v>-31.044003596793946</v>
      </c>
      <c r="Y6" s="125">
        <v>0.31037999999999999</v>
      </c>
      <c r="Z6" s="125">
        <v>2.4029999999999999E-2</v>
      </c>
      <c r="AI6">
        <v>1.2260974984208941</v>
      </c>
      <c r="AJ6">
        <v>1.2265743583411572</v>
      </c>
      <c r="AK6">
        <v>1.2040976360406923</v>
      </c>
      <c r="AO6" s="77">
        <f>PROP_InOut!$F$8*'PROP_Table (2)'!I6*'PROP_Table (2)'!E6</f>
        <v>0</v>
      </c>
      <c r="AP6" s="71"/>
      <c r="AQ6" s="71"/>
      <c r="AR6" s="71">
        <f>0.5*PROP_InOut!$J$8*I6^2*E6*AP6*PROP_InOut!$G$8</f>
        <v>0</v>
      </c>
      <c r="AS6" s="71">
        <f>0.5*PROP_InOut!$J$8*I6^2*E6*AQ6*PROP_InOut!$G$8</f>
        <v>0</v>
      </c>
      <c r="AT6" s="71">
        <f t="shared" si="0"/>
        <v>0</v>
      </c>
      <c r="AU6" s="71">
        <f t="shared" si="1"/>
        <v>0</v>
      </c>
      <c r="AV6" s="55">
        <f t="shared" si="2"/>
        <v>0</v>
      </c>
      <c r="AW6" s="79">
        <f>PROP_InOut!$G$4/2*((PROP_InOut!$E$8-'PROP_Table (2)'!C6)/('PROP_Table (2)'!C6*SIN('PROP_Table (2)'!K6)))</f>
        <v>9.4977571157496605</v>
      </c>
      <c r="AX6" s="79">
        <f t="shared" si="11"/>
        <v>0.99995224084683565</v>
      </c>
      <c r="AY6" s="79">
        <f>PROP_InOut!$G$4/2*((C6-PROP_InOut!$J$12/2)/(C6*SIN('PROP_Table (2)'!K6)))</f>
        <v>0.65254083294189724</v>
      </c>
      <c r="AZ6" s="79">
        <f t="shared" si="12"/>
        <v>0.65132634270746503</v>
      </c>
      <c r="BA6" s="79">
        <f t="shared" si="13"/>
        <v>0.65129523591290372</v>
      </c>
      <c r="BB6" s="72">
        <f>0.5*PROP_InOut!$J$8*I6^2*E6*AP6*PROP_InOut!$G$8</f>
        <v>0</v>
      </c>
      <c r="BC6" s="72">
        <f>0.5*PROP_InOut!$J$8*I6^2*E6*AQ6*PROP_InOut!$G$8</f>
        <v>0</v>
      </c>
      <c r="BD6" s="72">
        <f t="shared" si="3"/>
        <v>0</v>
      </c>
      <c r="BE6" s="72">
        <f t="shared" si="4"/>
        <v>0</v>
      </c>
      <c r="BF6" s="72">
        <f t="shared" si="14"/>
        <v>0</v>
      </c>
      <c r="BG6" s="78"/>
      <c r="BH6" s="83" t="s">
        <v>81</v>
      </c>
      <c r="BI6" s="84"/>
      <c r="BJ6" s="85"/>
    </row>
    <row r="7" spans="1:62" x14ac:dyDescent="0.25">
      <c r="A7" s="175"/>
      <c r="B7" s="70">
        <v>4</v>
      </c>
      <c r="C7" s="71">
        <v>0.04</v>
      </c>
      <c r="D7" s="72">
        <f>C7/PROP_InOut!$E$8</f>
        <v>0.14998125234345708</v>
      </c>
      <c r="E7" s="72"/>
      <c r="F7" s="73">
        <f>E7*PROP_InOut!$G$8</f>
        <v>0</v>
      </c>
      <c r="G7" s="74">
        <f>PROP_InOut!$C$4</f>
        <v>19.55</v>
      </c>
      <c r="H7" s="71">
        <f>PROP_InOut!$C$8*'PROP_Table (2)'!C7</f>
        <v>20.106192982974676</v>
      </c>
      <c r="I7" s="75">
        <f t="shared" si="5"/>
        <v>28.043920843359619</v>
      </c>
      <c r="J7" s="76">
        <f>I7/PROP_InOut!$D$8</f>
        <v>8.102449997462717E-2</v>
      </c>
      <c r="K7" s="71">
        <f t="shared" si="6"/>
        <v>0.77137370780407899</v>
      </c>
      <c r="L7" s="75">
        <f t="shared" si="7"/>
        <v>44.196457884531299</v>
      </c>
      <c r="M7" s="74">
        <v>0</v>
      </c>
      <c r="N7" s="74">
        <v>0</v>
      </c>
      <c r="O7" s="71">
        <f t="shared" si="8"/>
        <v>0.33561912739870919</v>
      </c>
      <c r="P7" s="75">
        <f>PROP_InOut!$K$12*(1-(B7-0.5)/PROP_InOut!$M$4)+PROP_InOut!$J$4*((B7-0.5)/PROP_InOut!$M$4)</f>
        <v>19.229559523809527</v>
      </c>
      <c r="Q7" s="71">
        <f t="shared" si="9"/>
        <v>-0.4357545804053698</v>
      </c>
      <c r="R7" s="76">
        <f t="shared" si="10"/>
        <v>-24.966898360721771</v>
      </c>
      <c r="W7" s="142"/>
      <c r="AO7" s="77">
        <f>PROP_InOut!$F$8*'PROP_Table (2)'!I7*'PROP_Table (2)'!E7</f>
        <v>0</v>
      </c>
      <c r="AP7" s="71"/>
      <c r="AQ7" s="71"/>
      <c r="AR7" s="71">
        <f>0.5*PROP_InOut!$J$8*I7^2*E7*AP7*PROP_InOut!$G$8</f>
        <v>0</v>
      </c>
      <c r="AS7" s="71">
        <f>0.5*PROP_InOut!$J$8*I7^2*E7*AQ7*PROP_InOut!$G$8</f>
        <v>0</v>
      </c>
      <c r="AT7" s="71">
        <f t="shared" si="0"/>
        <v>0</v>
      </c>
      <c r="AU7" s="71">
        <f t="shared" si="1"/>
        <v>0</v>
      </c>
      <c r="AV7" s="55">
        <f t="shared" si="2"/>
        <v>0</v>
      </c>
      <c r="AW7" s="79">
        <f>PROP_InOut!$G$4/2*((PROP_InOut!$E$8-'PROP_Table (2)'!C7)/('PROP_Table (2)'!C7*SIN('PROP_Table (2)'!K7)))</f>
        <v>8.1298681012655063</v>
      </c>
      <c r="AX7" s="79">
        <f t="shared" si="11"/>
        <v>0.99981244732001384</v>
      </c>
      <c r="AY7" s="79">
        <f>PROP_InOut!$G$4/2*((C7-PROP_InOut!$J$12/2)/(C7*SIN('PROP_Table (2)'!K7)))</f>
        <v>0.86516571655505226</v>
      </c>
      <c r="AZ7" s="79">
        <f t="shared" si="12"/>
        <v>0.72337125453632778</v>
      </c>
      <c r="BA7" s="79">
        <f t="shared" si="13"/>
        <v>0.72323558431891455</v>
      </c>
      <c r="BB7" s="72">
        <f>0.5*PROP_InOut!$J$8*I7^2*E7*AP7*PROP_InOut!$G$8</f>
        <v>0</v>
      </c>
      <c r="BC7" s="72">
        <f>0.5*PROP_InOut!$J$8*I7^2*E7*AQ7*PROP_InOut!$G$8</f>
        <v>0</v>
      </c>
      <c r="BD7" s="72">
        <f t="shared" si="3"/>
        <v>0</v>
      </c>
      <c r="BE7" s="72">
        <f t="shared" si="4"/>
        <v>0</v>
      </c>
      <c r="BF7" s="72">
        <f t="shared" si="14"/>
        <v>0</v>
      </c>
      <c r="BG7" s="78"/>
      <c r="BH7" s="4" t="s">
        <v>60</v>
      </c>
      <c r="BI7" s="4" t="s">
        <v>61</v>
      </c>
      <c r="BJ7" s="4" t="s">
        <v>62</v>
      </c>
    </row>
    <row r="8" spans="1:62" x14ac:dyDescent="0.25">
      <c r="A8" s="175"/>
      <c r="B8" s="70">
        <v>5</v>
      </c>
      <c r="C8" s="71">
        <v>4.8000000000000001E-2</v>
      </c>
      <c r="D8" s="72">
        <f>C8/PROP_InOut!$E$8</f>
        <v>0.1799775028121485</v>
      </c>
      <c r="E8" s="72"/>
      <c r="F8" s="73">
        <f>E8*PROP_InOut!$G$8</f>
        <v>0</v>
      </c>
      <c r="G8" s="74">
        <f>PROP_InOut!$C$4</f>
        <v>19.55</v>
      </c>
      <c r="H8" s="71">
        <f>PROP_InOut!$C$8*'PROP_Table (2)'!C8</f>
        <v>24.127431579569613</v>
      </c>
      <c r="I8" s="75">
        <f t="shared" si="5"/>
        <v>31.053751055658527</v>
      </c>
      <c r="J8" s="76">
        <f>I8/PROP_InOut!$D$8</f>
        <v>8.9720501839779684E-2</v>
      </c>
      <c r="K8" s="71">
        <f t="shared" si="6"/>
        <v>0.68097849666079902</v>
      </c>
      <c r="L8" s="75">
        <f t="shared" si="7"/>
        <v>39.01719379782741</v>
      </c>
      <c r="M8" s="74">
        <v>0</v>
      </c>
      <c r="N8" s="74">
        <v>0</v>
      </c>
      <c r="O8" s="71">
        <f t="shared" si="8"/>
        <v>0.33072763439270314</v>
      </c>
      <c r="P8" s="75">
        <f>PROP_InOut!$K$12*(1-(B8-0.5)/PROP_InOut!$M$4)+PROP_InOut!$J$4*((B8-0.5)/PROP_InOut!$M$4)</f>
        <v>18.94929761904762</v>
      </c>
      <c r="Q8" s="71">
        <f t="shared" si="9"/>
        <v>-0.35025086226809593</v>
      </c>
      <c r="R8" s="76">
        <f t="shared" si="10"/>
        <v>-20.06789617877979</v>
      </c>
      <c r="W8" s="140">
        <f>W10</f>
        <v>3.7395931147223251</v>
      </c>
      <c r="Y8" s="125">
        <v>0.39704</v>
      </c>
      <c r="Z8" s="125">
        <v>1.593E-2</v>
      </c>
      <c r="AO8" s="77">
        <f>PROP_InOut!$F$8*'PROP_Table (2)'!I8*'PROP_Table (2)'!E8</f>
        <v>0</v>
      </c>
      <c r="AP8" s="71"/>
      <c r="AQ8" s="71"/>
      <c r="AR8" s="71">
        <f>0.5*PROP_InOut!$J$8*I8^2*E8*AP8*PROP_InOut!$G$8</f>
        <v>0</v>
      </c>
      <c r="AS8" s="71">
        <f>0.5*PROP_InOut!$J$8*I8^2*E8*AQ8*PROP_InOut!$G$8</f>
        <v>0</v>
      </c>
      <c r="AT8" s="71">
        <f t="shared" si="0"/>
        <v>0</v>
      </c>
      <c r="AU8" s="71">
        <f t="shared" si="1"/>
        <v>0</v>
      </c>
      <c r="AV8" s="55">
        <f t="shared" si="2"/>
        <v>0</v>
      </c>
      <c r="AW8" s="79">
        <f>PROP_InOut!$G$4/2*((PROP_InOut!$E$8-'PROP_Table (2)'!C8)/('PROP_Table (2)'!C8*SIN('PROP_Table (2)'!K8)))</f>
        <v>7.237271265848805</v>
      </c>
      <c r="AX8" s="79">
        <f t="shared" si="11"/>
        <v>0.99954209731972565</v>
      </c>
      <c r="AY8" s="79">
        <f>PROP_InOut!$G$4/2*((C8-PROP_InOut!$J$12/2)/(C8*SIN('PROP_Table (2)'!K8)))</f>
        <v>1.0630879717210464</v>
      </c>
      <c r="AZ8" s="79">
        <f t="shared" si="12"/>
        <v>0.77549490000650056</v>
      </c>
      <c r="BA8" s="79">
        <f t="shared" si="13"/>
        <v>0.77513979881324846</v>
      </c>
      <c r="BB8" s="72">
        <f>0.5*PROP_InOut!$J$8*I8^2*E8*AP8*PROP_InOut!$G$8</f>
        <v>0</v>
      </c>
      <c r="BC8" s="72">
        <f>0.5*PROP_InOut!$J$8*I8^2*E8*AQ8*PROP_InOut!$G$8</f>
        <v>0</v>
      </c>
      <c r="BD8" s="72">
        <f t="shared" si="3"/>
        <v>0</v>
      </c>
      <c r="BE8" s="72">
        <f t="shared" si="4"/>
        <v>0</v>
      </c>
      <c r="BF8" s="72">
        <f t="shared" si="14"/>
        <v>0</v>
      </c>
      <c r="BG8" s="78"/>
      <c r="BH8" s="23" t="s">
        <v>26</v>
      </c>
      <c r="BI8" s="23" t="s">
        <v>27</v>
      </c>
      <c r="BJ8" s="23" t="s">
        <v>28</v>
      </c>
    </row>
    <row r="9" spans="1:62" ht="15.75" thickBot="1" x14ac:dyDescent="0.3">
      <c r="A9" s="175"/>
      <c r="B9" s="70">
        <v>6</v>
      </c>
      <c r="C9" s="71">
        <v>6.275E-2</v>
      </c>
      <c r="D9" s="72">
        <f>C9/PROP_InOut!$E$8</f>
        <v>0.23528308961379829</v>
      </c>
      <c r="E9" s="72"/>
      <c r="F9" s="73">
        <f>E9*PROP_InOut!$G$8</f>
        <v>0</v>
      </c>
      <c r="G9" s="74">
        <f>PROP_InOut!$C$4</f>
        <v>19.55</v>
      </c>
      <c r="H9" s="71">
        <f>PROP_InOut!$C$8*'PROP_Table (2)'!C9</f>
        <v>31.541590242041522</v>
      </c>
      <c r="I9" s="75">
        <f t="shared" si="5"/>
        <v>37.108953299666766</v>
      </c>
      <c r="J9" s="76">
        <f>I9/PROP_InOut!$D$8</f>
        <v>0.10721519299963508</v>
      </c>
      <c r="K9" s="71">
        <f t="shared" si="6"/>
        <v>0.55486321229539304</v>
      </c>
      <c r="L9" s="75">
        <f t="shared" si="7"/>
        <v>31.791320271597428</v>
      </c>
      <c r="M9" s="74">
        <v>0</v>
      </c>
      <c r="N9" s="74">
        <v>0</v>
      </c>
      <c r="O9" s="71">
        <f t="shared" si="8"/>
        <v>0.3258361413866972</v>
      </c>
      <c r="P9" s="75">
        <f>PROP_InOut!$K$12*(1-(B9-0.5)/PROP_InOut!$M$4)+PROP_InOut!$J$4*((B9-0.5)/PROP_InOut!$M$4)</f>
        <v>18.66903571428572</v>
      </c>
      <c r="Q9" s="71">
        <f t="shared" si="9"/>
        <v>-0.22902707090869587</v>
      </c>
      <c r="R9" s="76">
        <f t="shared" si="10"/>
        <v>-13.122284557311708</v>
      </c>
      <c r="AG9" t="s">
        <v>103</v>
      </c>
      <c r="AH9" s="180" t="s">
        <v>104</v>
      </c>
      <c r="AI9" s="180"/>
      <c r="AJ9" s="180"/>
      <c r="AK9" s="180"/>
      <c r="AL9" s="180"/>
      <c r="AM9" s="180"/>
      <c r="AN9" t="s">
        <v>97</v>
      </c>
      <c r="AO9" s="77">
        <f>PROP_InOut!$F$8*'PROP_Table (2)'!I9*'PROP_Table (2)'!E9</f>
        <v>0</v>
      </c>
      <c r="AP9" s="71"/>
      <c r="AQ9" s="71"/>
      <c r="AR9" s="71">
        <f>0.5*PROP_InOut!$J$8*I9^2*E9*AP9*PROP_InOut!$G$8</f>
        <v>0</v>
      </c>
      <c r="AS9" s="71">
        <f>0.5*PROP_InOut!$J$8*I9^2*E9*AQ9*PROP_InOut!$G$8</f>
        <v>0</v>
      </c>
      <c r="AT9" s="71">
        <f t="shared" si="0"/>
        <v>0</v>
      </c>
      <c r="AU9" s="71">
        <f t="shared" si="1"/>
        <v>0</v>
      </c>
      <c r="AV9" s="55">
        <f t="shared" si="2"/>
        <v>0</v>
      </c>
      <c r="AW9" s="79">
        <f>PROP_InOut!$G$4/2*((PROP_InOut!$E$8-'PROP_Table (2)'!C9)/('PROP_Table (2)'!C9*SIN('PROP_Table (2)'!K9)))</f>
        <v>6.169385700546794</v>
      </c>
      <c r="AX9" s="79">
        <f t="shared" si="11"/>
        <v>0.99866785875948283</v>
      </c>
      <c r="AY9" s="79">
        <f>PROP_InOut!$G$4/2*((C9-PROP_InOut!$J$12/2)/(C9*SIN('PROP_Table (2)'!K9)))</f>
        <v>1.4179453528469281</v>
      </c>
      <c r="AZ9" s="79">
        <f t="shared" si="12"/>
        <v>0.8442546454739337</v>
      </c>
      <c r="BA9" s="79">
        <f t="shared" si="13"/>
        <v>0.84312997904319964</v>
      </c>
      <c r="BB9" s="72">
        <f>0.5*PROP_InOut!$J$8*I9^2*E9*AP9*PROP_InOut!$G$8</f>
        <v>0</v>
      </c>
      <c r="BC9" s="72">
        <f>0.5*PROP_InOut!$J$8*I9^2*E9*AQ9*PROP_InOut!$G$8</f>
        <v>0</v>
      </c>
      <c r="BD9" s="72">
        <f t="shared" si="3"/>
        <v>0</v>
      </c>
      <c r="BE9" s="72">
        <f t="shared" si="4"/>
        <v>0</v>
      </c>
      <c r="BF9" s="72">
        <f t="shared" si="14"/>
        <v>0</v>
      </c>
      <c r="BG9" s="78"/>
      <c r="BH9" s="37">
        <f>PROP_InOut!$G$4*SUM(BD$4:BD$42)</f>
        <v>38.724634895557145</v>
      </c>
      <c r="BI9" s="37">
        <f>PROP_InOut!$G$4*SUM(BE$4:BE$42)</f>
        <v>1.9399563405680262</v>
      </c>
      <c r="BJ9" s="37">
        <f>PROP_InOut!$G$4*SUM(BF$4:BF$42)</f>
        <v>975.12841405015206</v>
      </c>
    </row>
    <row r="10" spans="1:62" s="96" customFormat="1" x14ac:dyDescent="0.25">
      <c r="A10" s="175"/>
      <c r="B10" s="82">
        <v>7</v>
      </c>
      <c r="C10" s="87">
        <v>7.1059040000000004E-2</v>
      </c>
      <c r="D10" s="88">
        <f>C10/PROP_InOut!$E$8</f>
        <v>0.26643809523809525</v>
      </c>
      <c r="E10" s="88">
        <v>4.0860979999999998E-2</v>
      </c>
      <c r="F10" s="89">
        <f>E10*PROP_InOut!$G$8</f>
        <v>2.5622388271249997E-4</v>
      </c>
      <c r="G10" s="90">
        <f>PROP_InOut!$C$4</f>
        <v>19.55</v>
      </c>
      <c r="H10" s="91">
        <f>PROP_InOut!$C$8*'PROP_Table (2)'!C10</f>
        <v>35.71816928562292</v>
      </c>
      <c r="I10" s="92">
        <f t="shared" si="5"/>
        <v>40.718424786777014</v>
      </c>
      <c r="J10" s="93">
        <f>I10/PROP_InOut!$D$8</f>
        <v>0.11764367851880708</v>
      </c>
      <c r="K10" s="91">
        <f t="shared" si="6"/>
        <v>0.50079906187122236</v>
      </c>
      <c r="L10" s="92">
        <f t="shared" si="7"/>
        <v>28.693672629332028</v>
      </c>
      <c r="M10" s="90">
        <f>RADIANS(N10)</f>
        <v>7.0716103182094162E-2</v>
      </c>
      <c r="N10" s="90">
        <f>V10</f>
        <v>4.0517342559456466</v>
      </c>
      <c r="O10" s="91">
        <f t="shared" si="8"/>
        <v>0.63678337759013115</v>
      </c>
      <c r="P10" s="87">
        <v>36.484999999999999</v>
      </c>
      <c r="Q10" s="91">
        <f t="shared" si="9"/>
        <v>6.5268212536814613E-2</v>
      </c>
      <c r="R10" s="93">
        <f t="shared" si="10"/>
        <v>3.7395931147223251</v>
      </c>
      <c r="S10" s="127">
        <f>TAN(AE10)*X10</f>
        <v>2.991813985736079</v>
      </c>
      <c r="T10" s="127">
        <f>X10</f>
        <v>42.236488902299477</v>
      </c>
      <c r="U10" s="122">
        <v>2.9918139837425368</v>
      </c>
      <c r="V10" s="122">
        <v>4.0517342559456466</v>
      </c>
      <c r="W10" s="123">
        <f>P10-L10-V10</f>
        <v>3.7395931147223251</v>
      </c>
      <c r="X10" s="122">
        <f>SQRT((U10+G10)^2+H10^2)</f>
        <v>42.236488902299477</v>
      </c>
      <c r="Y10" s="128">
        <v>0.99061999999999995</v>
      </c>
      <c r="Z10" s="127">
        <v>2.1680000000000001E-2</v>
      </c>
      <c r="AA10" s="122">
        <f>((8*PI()*C10*U10)/(E10*2))-((X10)/(G10+U10))*(Y10*H10-Z10*(U10+G10))</f>
        <v>-4.7781966827642464E-8</v>
      </c>
      <c r="AB10" s="122">
        <f>((8*PI()*C10)/(E10*2))-Y10*H10*((1/X10)-(X10/((G10+U10)^2)))+Z10*((U10+G10)/X10)</f>
        <v>23.968379809929093</v>
      </c>
      <c r="AC10" s="122">
        <f>U10-(AA10/AB10)</f>
        <v>2.9918139857360786</v>
      </c>
      <c r="AD10" s="138">
        <f>AC10-U10</f>
        <v>1.9935417761018925E-9</v>
      </c>
      <c r="AE10" s="122">
        <f>ATAN(AC10/X10)</f>
        <v>7.0716700035950875E-2</v>
      </c>
      <c r="AF10" s="122">
        <f>DEGREES(AE10)</f>
        <v>4.0517684531526221</v>
      </c>
      <c r="AG10" s="143">
        <v>0.10777802408754873</v>
      </c>
      <c r="AH10" s="129"/>
      <c r="AI10" s="129"/>
      <c r="AJ10" s="129"/>
      <c r="AK10" s="129"/>
      <c r="AL10" s="129"/>
      <c r="AM10" s="129"/>
      <c r="AN10" s="130">
        <v>4.0517342559456466</v>
      </c>
      <c r="AO10" s="94">
        <f>PROP_InOut!$F$8*'PROP_Table (2)'!I10*'PROP_Table (2)'!E10</f>
        <v>107736.93663772327</v>
      </c>
      <c r="AP10" s="91">
        <f>Y10</f>
        <v>0.99061999999999995</v>
      </c>
      <c r="AQ10" s="91">
        <f>Z10</f>
        <v>2.1680000000000001E-2</v>
      </c>
      <c r="AR10" s="8">
        <f>0.5*PROP_InOut!$J$8*I10^2*E10*AP10*(C10-C9)</f>
        <v>0.33168666099240796</v>
      </c>
      <c r="AS10" s="8">
        <f>0.5*PROP_InOut!$J$8*I10^2*E10*AQ10*(C10-C9)</f>
        <v>7.2590567627500002E-3</v>
      </c>
      <c r="AT10" s="91">
        <f t="shared" si="0"/>
        <v>0.29594041008314143</v>
      </c>
      <c r="AU10" s="91">
        <f t="shared" si="1"/>
        <v>1.4183943819382783E-2</v>
      </c>
      <c r="AV10" s="95">
        <f t="shared" si="2"/>
        <v>7.1296277923045279</v>
      </c>
      <c r="AW10" s="88">
        <f>PROP_InOut!$G$4/2*((PROP_InOut!$E$8-'PROP_Table (2)'!C10)/('PROP_Table (2)'!C10*SIN('PROP_Table (2)'!K10)))</f>
        <v>5.7343560662093109</v>
      </c>
      <c r="AX10" s="88">
        <f t="shared" si="11"/>
        <v>0.99794182791913089</v>
      </c>
      <c r="AY10" s="88">
        <f>PROP_InOut!$G$4/2*((C10-PROP_InOut!$J$12/2)/(C10*SIN('PROP_Table (2)'!K10)))</f>
        <v>1.6174779275870315</v>
      </c>
      <c r="AZ10" s="88">
        <f t="shared" si="12"/>
        <v>0.87285200004971575</v>
      </c>
      <c r="BA10" s="88">
        <f t="shared" si="13"/>
        <v>0.87105552043248269</v>
      </c>
      <c r="BB10" s="25">
        <f>0.5*PROP_InOut!$J$8*T10^2*E10*AP10*(C10-C9)</f>
        <v>0.35687956890032058</v>
      </c>
      <c r="BC10" s="25">
        <f>0.5*PROP_InOut!$J$8*T10^2*E10*AQ10*(C10-C9)</f>
        <v>7.8104107061829457E-3</v>
      </c>
      <c r="BD10" s="88">
        <f t="shared" si="3"/>
        <v>0.25778052792197309</v>
      </c>
      <c r="BE10" s="88">
        <f t="shared" si="4"/>
        <v>1.2355002565377566E-2</v>
      </c>
      <c r="BF10" s="88">
        <f>BA10*(H10*(BB10*SIN(K10+M10)+BC10*COS(K10+M10)))</f>
        <v>6.2103016471157133</v>
      </c>
      <c r="BG10" s="90"/>
      <c r="BH10" s="109">
        <f>BH9</f>
        <v>38.724634895557145</v>
      </c>
      <c r="BI10" s="141">
        <f>BI9</f>
        <v>1.9399563405680262</v>
      </c>
    </row>
    <row r="11" spans="1:62" s="96" customFormat="1" x14ac:dyDescent="0.25">
      <c r="A11" s="175"/>
      <c r="B11" s="82">
        <v>8</v>
      </c>
      <c r="C11" s="87">
        <v>7.4612499999999998E-2</v>
      </c>
      <c r="D11" s="88">
        <f>C11/PROP_InOut!$E$8</f>
        <v>0.27976190476190477</v>
      </c>
      <c r="E11" s="88">
        <v>4.1567100000000003E-2</v>
      </c>
      <c r="F11" s="89">
        <f>E11*PROP_InOut!$G$8</f>
        <v>2.6065169643749999E-4</v>
      </c>
      <c r="G11" s="90">
        <f>PROP_InOut!$C$4</f>
        <v>19.55</v>
      </c>
      <c r="H11" s="91">
        <f>PROP_InOut!$C$8*'PROP_Table (2)'!C11</f>
        <v>37.504333098554952</v>
      </c>
      <c r="I11" s="92">
        <f t="shared" si="5"/>
        <v>42.293941660329608</v>
      </c>
      <c r="J11" s="93">
        <f>I11/PROP_InOut!$D$8</f>
        <v>0.12219566208751745</v>
      </c>
      <c r="K11" s="91">
        <f t="shared" si="6"/>
        <v>0.4805208954990377</v>
      </c>
      <c r="L11" s="92">
        <f t="shared" si="7"/>
        <v>27.531819279941736</v>
      </c>
      <c r="M11" s="90">
        <f t="shared" ref="M11:M41" si="15">RADIANS(N11)</f>
        <v>7.1324740224481403E-2</v>
      </c>
      <c r="N11" s="90">
        <f t="shared" ref="N11:N41" si="16">V11</f>
        <v>4.0866065897297599</v>
      </c>
      <c r="O11" s="91">
        <f t="shared" si="8"/>
        <v>0.61363333039167833</v>
      </c>
      <c r="P11" s="87">
        <v>35.1586</v>
      </c>
      <c r="Q11" s="91">
        <f t="shared" si="9"/>
        <v>6.178769466815924E-2</v>
      </c>
      <c r="R11" s="93">
        <f t="shared" si="10"/>
        <v>3.5401741303285039</v>
      </c>
      <c r="S11" s="127">
        <f t="shared" ref="S11:S41" si="17">TAN(AE11)*X11</f>
        <v>3.1349750969917776</v>
      </c>
      <c r="T11" s="127">
        <f t="shared" ref="T11:T41" si="18">X11</f>
        <v>43.830286097764052</v>
      </c>
      <c r="U11" s="122">
        <f>U10+(U12-U10)*((C11-C10)/(C12-C10))</f>
        <v>3.1330107843840747</v>
      </c>
      <c r="V11" s="122">
        <f>V10+(V12-V10)*((C11-C10)/(C12-C10))</f>
        <v>4.0866065897297599</v>
      </c>
      <c r="W11" s="123">
        <f t="shared" ref="W11:W41" si="19">P11-L11-V11</f>
        <v>3.5401741303285039</v>
      </c>
      <c r="X11" s="122">
        <f t="shared" ref="X11:X41" si="20">SQRT((U11+G11)^2+H11^2)</f>
        <v>43.830286097764052</v>
      </c>
      <c r="Y11" s="122">
        <f>Y10+(Y12-Y10)*((C11-C10)/(C12-C10))</f>
        <v>0.98811499999999997</v>
      </c>
      <c r="Z11" s="122">
        <f>Z10+(Z12-Z10)*((C11-C10)/(C12-C10))</f>
        <v>2.0295000000000001E-2</v>
      </c>
      <c r="AA11" s="122">
        <f t="shared" ref="AA11:AA41" si="21">((8*PI()*C11*U11)/(E11*2))-((X11)/(G11+U11))*(Y11*H11-Z11*(U11+G11))</f>
        <v>-4.886897316069394E-2</v>
      </c>
      <c r="AB11" s="122">
        <f t="shared" ref="AB11:AB41" si="22">((8*PI()*C11)/(E11*2))-Y11*H11*((1/X11)-(X11/((G11+U11)^2)))+Z11*((U11+G11)/X11)</f>
        <v>24.878409357582154</v>
      </c>
      <c r="AC11" s="122">
        <f t="shared" ref="AC11:AC41" si="23">U11-(AA11/AB11)</f>
        <v>3.1349750969917776</v>
      </c>
      <c r="AD11" s="138">
        <f t="shared" ref="AD11:AD41" si="24">AC11-U11</f>
        <v>1.9643126077029116E-3</v>
      </c>
      <c r="AE11" s="122">
        <f t="shared" ref="AE11:AE41" si="25">ATAN(AC11/X11)</f>
        <v>7.1403718365404684E-2</v>
      </c>
      <c r="AF11" s="122">
        <f t="shared" ref="AF11:AF41" si="26">DEGREES(AE11)</f>
        <v>4.091131703878454</v>
      </c>
      <c r="AG11" s="144">
        <v>0.11167396211763156</v>
      </c>
      <c r="AH11" s="90"/>
      <c r="AI11" s="50"/>
      <c r="AJ11" s="50"/>
      <c r="AK11" s="50"/>
      <c r="AL11" s="50"/>
      <c r="AM11" s="50"/>
      <c r="AN11" s="131"/>
      <c r="AO11" s="94">
        <f>PROP_InOut!$F$8*'PROP_Table (2)'!I11*'PROP_Table (2)'!E11</f>
        <v>113839.44342113814</v>
      </c>
      <c r="AP11" s="91">
        <f t="shared" ref="AP11:AP41" si="27">Y11</f>
        <v>0.98811499999999997</v>
      </c>
      <c r="AQ11" s="91">
        <f t="shared" ref="AQ11:AQ41" si="28">Z11</f>
        <v>2.0295000000000001E-2</v>
      </c>
      <c r="AR11" s="8">
        <f>0.5*PROP_InOut!$J$8*I11^2*E11*AP11*(C11-C10)</f>
        <v>0.1552902975888989</v>
      </c>
      <c r="AS11" s="8">
        <f>0.5*PROP_InOut!$J$8*I11^2*E11*AQ11*(C11-C10)</f>
        <v>3.1895240832966842E-3</v>
      </c>
      <c r="AT11" s="91">
        <f t="shared" si="0"/>
        <v>0.14022467187136978</v>
      </c>
      <c r="AU11" s="91">
        <f t="shared" si="1"/>
        <v>6.7413542672138628E-3</v>
      </c>
      <c r="AV11" s="95">
        <f t="shared" si="2"/>
        <v>3.3885742465800437</v>
      </c>
      <c r="AW11" s="88">
        <f>PROP_InOut!$G$4/2*((PROP_InOut!$E$8-'PROP_Table (2)'!C11)/('PROP_Table (2)'!C11*SIN('PROP_Table (2)'!K11)))</f>
        <v>5.569534680197946</v>
      </c>
      <c r="AX11" s="88">
        <f t="shared" si="11"/>
        <v>0.99757303788765828</v>
      </c>
      <c r="AY11" s="88">
        <f>PROP_InOut!$G$4/2*((C11-PROP_InOut!$J$12/2)/(C11*SIN('PROP_Table (2)'!K11)))</f>
        <v>1.7030808526225123</v>
      </c>
      <c r="AZ11" s="88">
        <f t="shared" si="12"/>
        <v>0.883407114904878</v>
      </c>
      <c r="BA11" s="88">
        <f t="shared" si="13"/>
        <v>0.88126311930723078</v>
      </c>
      <c r="BB11" s="25">
        <f>0.5*PROP_InOut!$J$8*T11^2*E11*AP11*(C11-C10)</f>
        <v>0.16677717355256219</v>
      </c>
      <c r="BC11" s="25">
        <f>0.5*PROP_InOut!$J$8*T11^2*E11*AQ11*(C11-C10)</f>
        <v>3.4254542611429333E-3</v>
      </c>
      <c r="BD11" s="88">
        <f t="shared" si="3"/>
        <v>0.12357483173719623</v>
      </c>
      <c r="BE11" s="88">
        <f t="shared" si="4"/>
        <v>5.9409068898799997E-3</v>
      </c>
      <c r="BF11" s="88">
        <f t="shared" ref="BF11:BF41" si="29">BA11*(H11*(BB11*SIN(K11+M11)+BC11*COS(K11+M11)))</f>
        <v>2.9862255105452786</v>
      </c>
      <c r="BG11" s="90"/>
    </row>
    <row r="12" spans="1:62" s="96" customFormat="1" x14ac:dyDescent="0.25">
      <c r="A12" s="175"/>
      <c r="B12" s="82">
        <v>9</v>
      </c>
      <c r="C12" s="87">
        <v>7.8165959999999993E-2</v>
      </c>
      <c r="D12" s="88">
        <f>C12/PROP_InOut!$E$8</f>
        <v>0.29308571428571428</v>
      </c>
      <c r="E12" s="88">
        <v>4.218686E-2</v>
      </c>
      <c r="F12" s="89">
        <f>E12*PROP_InOut!$G$8</f>
        <v>2.6453797898749997E-4</v>
      </c>
      <c r="G12" s="90">
        <f>PROP_InOut!$C$4</f>
        <v>19.55</v>
      </c>
      <c r="H12" s="91">
        <f>PROP_InOut!$C$8*'PROP_Table (2)'!C12</f>
        <v>39.290496911486976</v>
      </c>
      <c r="I12" s="92">
        <f t="shared" si="5"/>
        <v>43.885597267800371</v>
      </c>
      <c r="J12" s="93">
        <f>I12/PROP_InOut!$D$8</f>
        <v>0.12679427368849358</v>
      </c>
      <c r="K12" s="91">
        <f t="shared" si="6"/>
        <v>0.46170636021922268</v>
      </c>
      <c r="L12" s="92">
        <f t="shared" si="7"/>
        <v>26.453825814908345</v>
      </c>
      <c r="M12" s="90">
        <f t="shared" si="15"/>
        <v>7.1933377266868617E-2</v>
      </c>
      <c r="N12" s="90">
        <f t="shared" si="16"/>
        <v>4.1214789235138722</v>
      </c>
      <c r="O12" s="91">
        <f t="shared" si="8"/>
        <v>0.5919127078506089</v>
      </c>
      <c r="P12" s="87">
        <v>33.914099999999998</v>
      </c>
      <c r="Q12" s="91">
        <f t="shared" si="9"/>
        <v>5.827297036451759E-2</v>
      </c>
      <c r="R12" s="93">
        <f t="shared" si="10"/>
        <v>3.3387952615777801</v>
      </c>
      <c r="S12" s="127">
        <f t="shared" si="17"/>
        <v>3.2742075854318622</v>
      </c>
      <c r="T12" s="127">
        <f t="shared" si="18"/>
        <v>45.438833605583547</v>
      </c>
      <c r="U12" s="122">
        <v>3.2742075850256129</v>
      </c>
      <c r="V12" s="122">
        <v>4.1214789235138722</v>
      </c>
      <c r="W12" s="123">
        <f t="shared" si="19"/>
        <v>3.3387952615777801</v>
      </c>
      <c r="X12" s="122">
        <f>SQRT((U12+G12)^2+H12^2)</f>
        <v>45.438833605583547</v>
      </c>
      <c r="Y12" s="128">
        <v>0.98560999999999999</v>
      </c>
      <c r="Z12" s="127">
        <v>1.891E-2</v>
      </c>
      <c r="AA12" s="122">
        <f t="shared" si="21"/>
        <v>-1.0488790280760441E-8</v>
      </c>
      <c r="AB12" s="122">
        <f t="shared" si="22"/>
        <v>25.818619150611333</v>
      </c>
      <c r="AC12" s="122">
        <f t="shared" si="23"/>
        <v>3.2742075854318622</v>
      </c>
      <c r="AD12" s="138">
        <f t="shared" si="24"/>
        <v>4.0624925645715848E-10</v>
      </c>
      <c r="AE12" s="122">
        <f t="shared" si="25"/>
        <v>7.1933147225492794E-2</v>
      </c>
      <c r="AF12" s="122">
        <f t="shared" si="26"/>
        <v>4.1214657431139248</v>
      </c>
      <c r="AG12" s="144">
        <v>0.11561899096970053</v>
      </c>
      <c r="AH12" s="90"/>
      <c r="AI12" s="50"/>
      <c r="AJ12" s="50"/>
      <c r="AK12" s="50"/>
      <c r="AL12" s="50"/>
      <c r="AM12" s="50"/>
      <c r="AN12" s="131">
        <v>4.1214789235138722</v>
      </c>
      <c r="AO12" s="94">
        <f>PROP_InOut!$F$8*'PROP_Table (2)'!I12*'PROP_Table (2)'!E12</f>
        <v>119884.79104099155</v>
      </c>
      <c r="AP12" s="91">
        <f t="shared" si="27"/>
        <v>0.98560999999999999</v>
      </c>
      <c r="AQ12" s="91">
        <f t="shared" si="28"/>
        <v>1.891E-2</v>
      </c>
      <c r="AR12" s="8">
        <f>0.5*PROP_InOut!$J$8*I12^2*E12*AP12*(C12-C11)</f>
        <v>0.1692610807712682</v>
      </c>
      <c r="AS12" s="8">
        <f>0.5*PROP_InOut!$J$8*I12^2*E12*AQ12*(C12-C11)</f>
        <v>3.2474579573915459E-3</v>
      </c>
      <c r="AT12" s="91">
        <f t="shared" si="0"/>
        <v>0.15445431490509323</v>
      </c>
      <c r="AU12" s="91">
        <f t="shared" si="1"/>
        <v>7.4490450617377022E-3</v>
      </c>
      <c r="AV12" s="95">
        <f t="shared" si="2"/>
        <v>3.7442984387543188</v>
      </c>
      <c r="AW12" s="88">
        <f>PROP_InOut!$G$4/2*((PROP_InOut!$E$8-'PROP_Table (2)'!C12)/('PROP_Table (2)'!C12*SIN('PROP_Table (2)'!K12)))</f>
        <v>5.41436287815245</v>
      </c>
      <c r="AX12" s="88">
        <f t="shared" si="11"/>
        <v>0.99716564896486715</v>
      </c>
      <c r="AY12" s="88">
        <f>PROP_InOut!$G$4/2*((C12-PROP_InOut!$J$12/2)/(C12*SIN('PROP_Table (2)'!K12)))</f>
        <v>1.7888857708055217</v>
      </c>
      <c r="AZ12" s="88">
        <f t="shared" si="12"/>
        <v>0.89308955039324933</v>
      </c>
      <c r="BA12" s="88">
        <f t="shared" si="13"/>
        <v>0.89055822110162586</v>
      </c>
      <c r="BB12" s="25">
        <f>0.5*PROP_InOut!$J$8*T12^2*E12*AP12*(C12-C11)</f>
        <v>0.18145437021020608</v>
      </c>
      <c r="BC12" s="25">
        <f>0.5*PROP_InOut!$J$8*T12^2*E12*AQ12*(C12-C11)</f>
        <v>3.4813994791804029E-3</v>
      </c>
      <c r="BD12" s="88">
        <f t="shared" si="3"/>
        <v>0.13755055992335016</v>
      </c>
      <c r="BE12" s="88">
        <f t="shared" si="4"/>
        <v>6.6338083190869788E-3</v>
      </c>
      <c r="BF12" s="88">
        <f t="shared" si="29"/>
        <v>3.3345157568906409</v>
      </c>
      <c r="BG12" s="90"/>
    </row>
    <row r="13" spans="1:62" s="96" customFormat="1" x14ac:dyDescent="0.25">
      <c r="A13" s="175"/>
      <c r="B13" s="82">
        <v>10</v>
      </c>
      <c r="C13" s="87">
        <v>8.1719419999999987E-2</v>
      </c>
      <c r="D13" s="88">
        <f>C13/PROP_InOut!$E$8</f>
        <v>0.30640952380952374</v>
      </c>
      <c r="E13" s="88">
        <v>4.2722799999999998E-2</v>
      </c>
      <c r="F13" s="89">
        <f>E13*PROP_InOut!$G$8</f>
        <v>2.6789865774999995E-4</v>
      </c>
      <c r="G13" s="90">
        <f>PROP_InOut!$C$4</f>
        <v>19.55</v>
      </c>
      <c r="H13" s="91">
        <f>PROP_InOut!$C$8*'PROP_Table (2)'!C13</f>
        <v>41.076660724419</v>
      </c>
      <c r="I13" s="92">
        <f t="shared" si="5"/>
        <v>45.491697663079428</v>
      </c>
      <c r="J13" s="93">
        <f>I13/PROP_InOut!$D$8</f>
        <v>0.13143461917240085</v>
      </c>
      <c r="K13" s="91">
        <f t="shared" si="6"/>
        <v>0.44421449841863531</v>
      </c>
      <c r="L13" s="92">
        <f t="shared" si="7"/>
        <v>25.451615957908583</v>
      </c>
      <c r="M13" s="90">
        <f t="shared" si="15"/>
        <v>7.1602067433594416E-2</v>
      </c>
      <c r="N13" s="90">
        <f t="shared" si="16"/>
        <v>4.1024962683560782</v>
      </c>
      <c r="O13" s="91">
        <f t="shared" si="8"/>
        <v>0.57150806356554318</v>
      </c>
      <c r="P13" s="87">
        <v>32.744999999999997</v>
      </c>
      <c r="Q13" s="91">
        <f t="shared" si="9"/>
        <v>5.5691497713313456E-2</v>
      </c>
      <c r="R13" s="93">
        <f t="shared" si="10"/>
        <v>3.1908877737353363</v>
      </c>
      <c r="S13" s="127">
        <f t="shared" si="17"/>
        <v>3.3772678518496888</v>
      </c>
      <c r="T13" s="127">
        <f t="shared" si="18"/>
        <v>47.040369333529782</v>
      </c>
      <c r="U13" s="122">
        <f>U12+(U14-U12)*((C13-C12)/(C14-C12))</f>
        <v>3.3738803601367331</v>
      </c>
      <c r="V13" s="122">
        <f>V12+(V14-V12)*((C13-C12)/(C14-C12))</f>
        <v>4.1024962683560782</v>
      </c>
      <c r="W13" s="123">
        <f t="shared" si="19"/>
        <v>3.1908877737353363</v>
      </c>
      <c r="X13" s="122">
        <f t="shared" si="20"/>
        <v>47.040369333529782</v>
      </c>
      <c r="Y13" s="122">
        <f>Y12+(Y14-Y12)*((C13-C12)/(C14-C12))</f>
        <v>0.97339063282087956</v>
      </c>
      <c r="Z13" s="122">
        <f>Z12+(Z14-Z12)*((C13-C12)/(C14-C12))</f>
        <v>1.8274772971040402E-2</v>
      </c>
      <c r="AA13" s="122">
        <f t="shared" si="21"/>
        <v>-9.0699334294754408E-2</v>
      </c>
      <c r="AB13" s="122">
        <f t="shared" si="22"/>
        <v>26.774776731661959</v>
      </c>
      <c r="AC13" s="122">
        <f t="shared" si="23"/>
        <v>3.3772678518496893</v>
      </c>
      <c r="AD13" s="138">
        <f t="shared" si="24"/>
        <v>3.3874917129561588E-3</v>
      </c>
      <c r="AE13" s="122">
        <f t="shared" si="25"/>
        <v>7.1672119727502578E-2</v>
      </c>
      <c r="AF13" s="122">
        <f t="shared" si="26"/>
        <v>4.106509969142226</v>
      </c>
      <c r="AG13" s="144">
        <v>0.11960825326715831</v>
      </c>
      <c r="AH13" s="50"/>
      <c r="AI13" s="50"/>
      <c r="AJ13" s="50"/>
      <c r="AK13" s="50"/>
      <c r="AL13" s="50"/>
      <c r="AM13" s="50"/>
      <c r="AN13" s="131"/>
      <c r="AO13" s="94">
        <f>PROP_InOut!$F$8*'PROP_Table (2)'!I13*'PROP_Table (2)'!E13</f>
        <v>125851.01654195975</v>
      </c>
      <c r="AP13" s="91">
        <f t="shared" si="27"/>
        <v>0.97339063282087956</v>
      </c>
      <c r="AQ13" s="91">
        <f t="shared" si="28"/>
        <v>1.8274772971040402E-2</v>
      </c>
      <c r="AR13" s="8">
        <f>0.5*PROP_InOut!$J$8*I13^2*E13*AP13*(C13-C12)</f>
        <v>0.1819038701293984</v>
      </c>
      <c r="AS13" s="8">
        <f>0.5*PROP_InOut!$J$8*I13^2*E13*AQ13*(C13-C12)</f>
        <v>3.4151262782699211E-3</v>
      </c>
      <c r="AT13" s="91">
        <f t="shared" si="0"/>
        <v>0.16739231664223736</v>
      </c>
      <c r="AU13" s="91">
        <f t="shared" si="1"/>
        <v>8.0994243444281813E-3</v>
      </c>
      <c r="AV13" s="95">
        <f t="shared" si="2"/>
        <v>4.071214723001904</v>
      </c>
      <c r="AW13" s="88">
        <f>PROP_InOut!$G$4/2*((PROP_InOut!$E$8-'PROP_Table (2)'!C13)/('PROP_Table (2)'!C13*SIN('PROP_Table (2)'!K13)))</f>
        <v>5.2672780391448084</v>
      </c>
      <c r="AX13" s="88">
        <f t="shared" si="11"/>
        <v>0.99671653598214471</v>
      </c>
      <c r="AY13" s="88">
        <f>PROP_InOut!$G$4/2*((C13-PROP_InOut!$J$12/2)/(C13*SIN('PROP_Table (2)'!K13)))</f>
        <v>1.8749042059778771</v>
      </c>
      <c r="AZ13" s="88">
        <f t="shared" si="12"/>
        <v>0.90197495562422336</v>
      </c>
      <c r="BA13" s="88">
        <f t="shared" si="13"/>
        <v>0.8990133533124246</v>
      </c>
      <c r="BB13" s="25">
        <f>0.5*PROP_InOut!$J$8*T13^2*E13*AP13*(C13-C12)</f>
        <v>0.19449977199240145</v>
      </c>
      <c r="BC13" s="25">
        <f>0.5*PROP_InOut!$J$8*T13^2*E13*AQ13*(C13-C12)</f>
        <v>3.6516061036867779E-3</v>
      </c>
      <c r="BD13" s="88">
        <f t="shared" si="3"/>
        <v>0.15048792790327298</v>
      </c>
      <c r="BE13" s="88">
        <f t="shared" si="4"/>
        <v>7.2814906397846652E-3</v>
      </c>
      <c r="BF13" s="88">
        <f t="shared" si="29"/>
        <v>3.6600764001808557</v>
      </c>
      <c r="BG13" s="90"/>
    </row>
    <row r="14" spans="1:62" s="96" customFormat="1" x14ac:dyDescent="0.25">
      <c r="A14" s="175"/>
      <c r="B14" s="82">
        <v>11</v>
      </c>
      <c r="C14" s="87">
        <v>8.527034E-2</v>
      </c>
      <c r="D14" s="88">
        <f>C14/PROP_InOut!$E$8</f>
        <v>0.31972380952380952</v>
      </c>
      <c r="E14" s="88">
        <v>4.3177460000000001E-2</v>
      </c>
      <c r="F14" s="89">
        <f>E14*PROP_InOut!$G$8</f>
        <v>2.7074966011249996E-4</v>
      </c>
      <c r="G14" s="90">
        <f>PROP_InOut!$C$4</f>
        <v>19.55</v>
      </c>
      <c r="H14" s="91">
        <f>PROP_InOut!$C$8*'PROP_Table (2)'!C14</f>
        <v>42.861547794096623</v>
      </c>
      <c r="I14" s="92">
        <f t="shared" si="5"/>
        <v>47.109603896717587</v>
      </c>
      <c r="J14" s="93">
        <f>I14/PROP_InOut!$D$8</f>
        <v>0.1361090740861261</v>
      </c>
      <c r="K14" s="91">
        <f t="shared" si="6"/>
        <v>0.42793147304218981</v>
      </c>
      <c r="L14" s="92">
        <f t="shared" si="7"/>
        <v>24.518667326133841</v>
      </c>
      <c r="M14" s="90">
        <f t="shared" si="15"/>
        <v>7.1270994419357594E-2</v>
      </c>
      <c r="N14" s="90">
        <f t="shared" si="16"/>
        <v>4.0835271819296333</v>
      </c>
      <c r="O14" s="91">
        <f t="shared" si="8"/>
        <v>0.55232165909836961</v>
      </c>
      <c r="P14" s="87">
        <v>31.645700000000001</v>
      </c>
      <c r="Q14" s="91">
        <f t="shared" si="9"/>
        <v>5.311919163682214E-2</v>
      </c>
      <c r="R14" s="93">
        <f t="shared" si="10"/>
        <v>3.0435054919365276</v>
      </c>
      <c r="S14" s="127">
        <f t="shared" si="17"/>
        <v>3.473481889714177</v>
      </c>
      <c r="T14" s="127">
        <f t="shared" si="18"/>
        <v>48.653807637456538</v>
      </c>
      <c r="U14" s="122">
        <v>3.4734818895186823</v>
      </c>
      <c r="V14" s="122">
        <v>4.0835271819296333</v>
      </c>
      <c r="W14" s="123">
        <f t="shared" si="19"/>
        <v>3.0435054919365276</v>
      </c>
      <c r="X14" s="122">
        <f t="shared" si="20"/>
        <v>48.653807637456538</v>
      </c>
      <c r="Y14" s="128">
        <v>0.96118000000000003</v>
      </c>
      <c r="Z14" s="127">
        <v>1.7639999999999999E-2</v>
      </c>
      <c r="AA14" s="122">
        <f t="shared" si="21"/>
        <v>-5.4269548854790628E-9</v>
      </c>
      <c r="AB14" s="122">
        <f t="shared" si="22"/>
        <v>27.760035952385181</v>
      </c>
      <c r="AC14" s="122">
        <f t="shared" si="23"/>
        <v>3.4734818897141775</v>
      </c>
      <c r="AD14" s="138">
        <f t="shared" si="24"/>
        <v>1.9549517560335516E-10</v>
      </c>
      <c r="AE14" s="122">
        <f t="shared" si="25"/>
        <v>7.1270859174969017E-2</v>
      </c>
      <c r="AF14" s="122">
        <f t="shared" si="26"/>
        <v>4.0835194329969653</v>
      </c>
      <c r="AG14" s="144">
        <v>0.12363746740109645</v>
      </c>
      <c r="AH14" s="90"/>
      <c r="AI14" s="50"/>
      <c r="AJ14" s="50"/>
      <c r="AK14" s="50"/>
      <c r="AL14" s="50"/>
      <c r="AM14" s="50"/>
      <c r="AN14" s="131">
        <v>4.0835271819296333</v>
      </c>
      <c r="AO14" s="94">
        <f>PROP_InOut!$F$8*'PROP_Table (2)'!I14*'PROP_Table (2)'!E14</f>
        <v>131713.84222908635</v>
      </c>
      <c r="AP14" s="91">
        <f t="shared" si="27"/>
        <v>0.96118000000000003</v>
      </c>
      <c r="AQ14" s="91">
        <f t="shared" si="28"/>
        <v>1.7639999999999999E-2</v>
      </c>
      <c r="AR14" s="8">
        <f>0.5*PROP_InOut!$J$8*I14^2*E14*AP14*(C14-C13)</f>
        <v>0.19453643742561402</v>
      </c>
      <c r="AS14" s="8">
        <f>0.5*PROP_InOut!$J$8*I14^2*E14*AQ14*(C14-C13)</f>
        <v>3.5702186439458068E-3</v>
      </c>
      <c r="AT14" s="91">
        <f t="shared" si="0"/>
        <v>0.18035362455772636</v>
      </c>
      <c r="AU14" s="91">
        <f t="shared" si="1"/>
        <v>8.7554204054016375E-3</v>
      </c>
      <c r="AV14" s="95">
        <f t="shared" si="2"/>
        <v>4.4009543079519924</v>
      </c>
      <c r="AW14" s="88">
        <f>PROP_InOut!$G$4/2*((PROP_InOut!$E$8-'PROP_Table (2)'!C14)/('PROP_Table (2)'!C14*SIN('PROP_Table (2)'!K14)))</f>
        <v>5.1271141062007537</v>
      </c>
      <c r="AX14" s="88">
        <f t="shared" si="11"/>
        <v>0.99622249274547126</v>
      </c>
      <c r="AY14" s="88">
        <f>PROP_InOut!$G$4/2*((C14-PROP_InOut!$J$12/2)/(C14*SIN('PROP_Table (2)'!K14)))</f>
        <v>1.9610786164654521</v>
      </c>
      <c r="AZ14" s="88">
        <f t="shared" si="12"/>
        <v>0.91012517227345502</v>
      </c>
      <c r="BA14" s="88">
        <f t="shared" si="13"/>
        <v>0.90668716783266279</v>
      </c>
      <c r="BB14" s="25">
        <f>0.5*PROP_InOut!$J$8*T14^2*E14*AP14*(C14-C13)</f>
        <v>0.20749886259958422</v>
      </c>
      <c r="BC14" s="25">
        <f>0.5*PROP_InOut!$J$8*T14^2*E14*AQ14*(C14-C13)</f>
        <v>3.8081107974122078E-3</v>
      </c>
      <c r="BD14" s="88">
        <f t="shared" si="3"/>
        <v>0.16352431705860029</v>
      </c>
      <c r="BE14" s="88">
        <f t="shared" si="4"/>
        <v>7.9384273305579157E-3</v>
      </c>
      <c r="BF14" s="88">
        <f t="shared" si="29"/>
        <v>3.9902887972379486</v>
      </c>
      <c r="BG14" s="90"/>
    </row>
    <row r="15" spans="1:62" s="96" customFormat="1" x14ac:dyDescent="0.25">
      <c r="A15" s="175"/>
      <c r="B15" s="82">
        <v>12</v>
      </c>
      <c r="C15" s="87">
        <v>8.8859359999999998E-2</v>
      </c>
      <c r="D15" s="88">
        <f>C15/PROP_InOut!$E$8</f>
        <v>0.33318095238095241</v>
      </c>
      <c r="E15" s="88">
        <v>4.3555919999999998E-2</v>
      </c>
      <c r="F15" s="89">
        <f>E15*PROP_InOut!$G$8</f>
        <v>2.7312284084999997E-4</v>
      </c>
      <c r="G15" s="90">
        <f>PROP_InOut!$C$4</f>
        <v>19.55</v>
      </c>
      <c r="H15" s="91">
        <f>PROP_InOut!$C$8*'PROP_Table (2)'!C15</f>
        <v>44.665586012590516</v>
      </c>
      <c r="I15" s="92">
        <f t="shared" si="5"/>
        <v>48.756713115714867</v>
      </c>
      <c r="J15" s="93">
        <f>I15/PROP_InOut!$D$8</f>
        <v>0.140867902269185</v>
      </c>
      <c r="K15" s="91">
        <f t="shared" si="6"/>
        <v>0.41257591196004217</v>
      </c>
      <c r="L15" s="92">
        <f t="shared" si="7"/>
        <v>23.638858484071442</v>
      </c>
      <c r="M15" s="90">
        <f t="shared" si="15"/>
        <v>7.0981642846933146E-2</v>
      </c>
      <c r="N15" s="90">
        <f t="shared" si="16"/>
        <v>4.0669485580342384</v>
      </c>
      <c r="O15" s="91">
        <f t="shared" si="8"/>
        <v>0.53408994973203672</v>
      </c>
      <c r="P15" s="87">
        <v>30.601099999999999</v>
      </c>
      <c r="Q15" s="91">
        <f t="shared" si="9"/>
        <v>5.0532394925061418E-2</v>
      </c>
      <c r="R15" s="93">
        <f t="shared" si="10"/>
        <v>2.895292957894319</v>
      </c>
      <c r="S15" s="127">
        <f t="shared" si="17"/>
        <v>3.5817471924662896</v>
      </c>
      <c r="T15" s="127">
        <f t="shared" si="18"/>
        <v>50.297376942936104</v>
      </c>
      <c r="U15" s="122">
        <f>U14+(U16-U14)*((C15-C14)/(C16-C14))</f>
        <v>3.5759930271475762</v>
      </c>
      <c r="V15" s="122">
        <f>V14+(V16-V14)*((C15-C14)/(C16-C14))</f>
        <v>4.0669485580342384</v>
      </c>
      <c r="W15" s="123">
        <f t="shared" si="19"/>
        <v>2.895292957894319</v>
      </c>
      <c r="X15" s="122">
        <f t="shared" si="20"/>
        <v>50.297376942936104</v>
      </c>
      <c r="Y15" s="122">
        <f>Y14+(Y16-Y14)*((C15-C14)/(C16-C14))</f>
        <v>0.95427238433292538</v>
      </c>
      <c r="Z15" s="122">
        <f>Z14+(Z16-Z14)*((C15-C14)/(C16-C14))</f>
        <v>1.7079642594859241E-2</v>
      </c>
      <c r="AA15" s="122">
        <f t="shared" si="21"/>
        <v>-0.16575405492424977</v>
      </c>
      <c r="AB15" s="122">
        <f t="shared" si="22"/>
        <v>28.805925054879879</v>
      </c>
      <c r="AC15" s="122">
        <f t="shared" si="23"/>
        <v>3.5817471924662896</v>
      </c>
      <c r="AD15" s="138">
        <f t="shared" si="24"/>
        <v>5.7541653187134223E-3</v>
      </c>
      <c r="AE15" s="122">
        <f t="shared" si="25"/>
        <v>7.1091403575733153E-2</v>
      </c>
      <c r="AF15" s="122">
        <f t="shared" si="26"/>
        <v>4.073237384550759</v>
      </c>
      <c r="AG15" s="144">
        <v>0.12770285180864679</v>
      </c>
      <c r="AH15" s="50"/>
      <c r="AI15" s="50"/>
      <c r="AJ15" s="50"/>
      <c r="AK15" s="50"/>
      <c r="AL15" s="90"/>
      <c r="AM15" s="90"/>
      <c r="AN15" s="131"/>
      <c r="AO15" s="94">
        <f>PROP_InOut!$F$8*'PROP_Table (2)'!I15*'PROP_Table (2)'!E15</f>
        <v>137513.86462862155</v>
      </c>
      <c r="AP15" s="91">
        <f t="shared" si="27"/>
        <v>0.95427238433292538</v>
      </c>
      <c r="AQ15" s="91">
        <f t="shared" si="28"/>
        <v>1.7079642594859241E-2</v>
      </c>
      <c r="AR15" s="8">
        <f>0.5*PROP_InOut!$J$8*I15^2*E15*AP15*(C15-C14)</f>
        <v>0.21093255617205142</v>
      </c>
      <c r="AS15" s="8">
        <f>0.5*PROP_InOut!$J$8*I15^2*E15*AQ15*(C15-C14)</f>
        <v>3.7752875700758203E-3</v>
      </c>
      <c r="AT15" s="91">
        <f t="shared" si="0"/>
        <v>0.19686906671732093</v>
      </c>
      <c r="AU15" s="91">
        <f t="shared" si="1"/>
        <v>9.5898765932238925E-3</v>
      </c>
      <c r="AV15" s="95">
        <f t="shared" si="2"/>
        <v>4.8203977366567834</v>
      </c>
      <c r="AW15" s="88">
        <f>PROP_InOut!$G$4/2*((PROP_InOut!$E$8-'PROP_Table (2)'!C15)/('PROP_Table (2)'!C15*SIN('PROP_Table (2)'!K15)))</f>
        <v>4.9913208778669906</v>
      </c>
      <c r="AX15" s="88">
        <f t="shared" si="11"/>
        <v>0.9956730651907022</v>
      </c>
      <c r="AY15" s="88">
        <f>PROP_InOut!$G$4/2*((C15-PROP_InOut!$J$12/2)/(C15*SIN('PROP_Table (2)'!K15)))</f>
        <v>2.048397710589438</v>
      </c>
      <c r="AZ15" s="88">
        <f t="shared" si="12"/>
        <v>0.91768421479398399</v>
      </c>
      <c r="BA15" s="88">
        <f t="shared" si="13"/>
        <v>0.91371345502104873</v>
      </c>
      <c r="BB15" s="25">
        <f>0.5*PROP_InOut!$J$8*T15^2*E15*AP15*(C15-C14)</f>
        <v>0.22447369135155315</v>
      </c>
      <c r="BC15" s="25">
        <f>0.5*PROP_InOut!$J$8*T15^2*E15*AQ15*(C15-C14)</f>
        <v>4.0176478782977089E-3</v>
      </c>
      <c r="BD15" s="88">
        <f t="shared" si="3"/>
        <v>0.17988191513705265</v>
      </c>
      <c r="BE15" s="88">
        <f t="shared" si="4"/>
        <v>8.7623992752200869E-3</v>
      </c>
      <c r="BF15" s="88">
        <f t="shared" si="29"/>
        <v>4.404462270536313</v>
      </c>
      <c r="BG15" s="90"/>
    </row>
    <row r="16" spans="1:62" s="96" customFormat="1" x14ac:dyDescent="0.25">
      <c r="A16" s="175"/>
      <c r="B16" s="82">
        <v>13</v>
      </c>
      <c r="C16" s="87">
        <v>9.5646239999999993E-2</v>
      </c>
      <c r="D16" s="88">
        <f>C16/PROP_InOut!$E$8</f>
        <v>0.35862857142857141</v>
      </c>
      <c r="E16" s="88">
        <v>4.4063919999999993E-2</v>
      </c>
      <c r="F16" s="89">
        <f>E16*PROP_InOut!$G$8</f>
        <v>2.7630831834999991E-4</v>
      </c>
      <c r="G16" s="90">
        <f>PROP_InOut!$C$4</f>
        <v>19.55</v>
      </c>
      <c r="H16" s="91">
        <f>PROP_InOut!$C$8*'PROP_Table (2)'!C16</f>
        <v>48.07704398839779</v>
      </c>
      <c r="I16" s="92">
        <f t="shared" si="5"/>
        <v>51.89994854200085</v>
      </c>
      <c r="J16" s="93">
        <f>I16/PROP_InOut!$D$8</f>
        <v>0.14994933849701761</v>
      </c>
      <c r="K16" s="91">
        <f t="shared" si="6"/>
        <v>0.38621649902268373</v>
      </c>
      <c r="L16" s="92">
        <f t="shared" si="7"/>
        <v>22.128575372318263</v>
      </c>
      <c r="M16" s="90">
        <f t="shared" si="15"/>
        <v>7.0434475542249408E-2</v>
      </c>
      <c r="N16" s="90">
        <f t="shared" si="16"/>
        <v>4.0355981807883117</v>
      </c>
      <c r="O16" s="91">
        <f t="shared" si="8"/>
        <v>0.50242095045459967</v>
      </c>
      <c r="P16" s="87">
        <v>28.7866</v>
      </c>
      <c r="Q16" s="91">
        <f t="shared" si="9"/>
        <v>4.5769975889666491E-2</v>
      </c>
      <c r="R16" s="93">
        <f t="shared" si="10"/>
        <v>2.6224264468934253</v>
      </c>
      <c r="S16" s="127">
        <f t="shared" si="17"/>
        <v>3.7698428219035995</v>
      </c>
      <c r="T16" s="127">
        <f t="shared" si="18"/>
        <v>53.43423273419868</v>
      </c>
      <c r="U16" s="122">
        <v>3.7698428217296027</v>
      </c>
      <c r="V16" s="122">
        <v>4.0355981807883117</v>
      </c>
      <c r="W16" s="123">
        <f t="shared" si="19"/>
        <v>2.6224264468934253</v>
      </c>
      <c r="X16" s="122">
        <f t="shared" si="20"/>
        <v>53.43423273419868</v>
      </c>
      <c r="Y16" s="128">
        <v>0.94120999999999999</v>
      </c>
      <c r="Z16" s="127">
        <v>1.602E-2</v>
      </c>
      <c r="AA16" s="122">
        <f t="shared" si="21"/>
        <v>-5.3736073368781945E-9</v>
      </c>
      <c r="AB16" s="122">
        <f t="shared" si="22"/>
        <v>30.88325856501945</v>
      </c>
      <c r="AC16" s="122">
        <f t="shared" si="23"/>
        <v>3.7698428219036</v>
      </c>
      <c r="AD16" s="138">
        <f t="shared" si="24"/>
        <v>1.7399726104372348E-10</v>
      </c>
      <c r="AE16" s="122">
        <f t="shared" si="25"/>
        <v>7.0434373283564708E-2</v>
      </c>
      <c r="AF16" s="122">
        <f t="shared" si="26"/>
        <v>4.0355923217972594</v>
      </c>
      <c r="AG16" s="144">
        <v>0.13305866763349397</v>
      </c>
      <c r="AH16" s="90"/>
      <c r="AI16" s="90"/>
      <c r="AJ16" s="50"/>
      <c r="AK16" s="50"/>
      <c r="AL16" s="50"/>
      <c r="AM16" s="50"/>
      <c r="AN16" s="131">
        <v>4.0355981807883117</v>
      </c>
      <c r="AO16" s="94">
        <f>PROP_InOut!$F$8*'PROP_Table (2)'!I16*'PROP_Table (2)'!E16</f>
        <v>148086.31729340041</v>
      </c>
      <c r="AP16" s="91">
        <f t="shared" si="27"/>
        <v>0.94120999999999999</v>
      </c>
      <c r="AQ16" s="91">
        <f t="shared" si="28"/>
        <v>1.602E-2</v>
      </c>
      <c r="AR16" s="8">
        <f>0.5*PROP_InOut!$J$8*I16^2*E16*AP16*(C16-C15)</f>
        <v>0.45097559133739251</v>
      </c>
      <c r="AS16" s="8">
        <f>0.5*PROP_InOut!$J$8*I16^2*E16*AQ16*(C16-C15)</f>
        <v>7.6758948302982624E-3</v>
      </c>
      <c r="AT16" s="91">
        <f t="shared" si="0"/>
        <v>0.4254637309018765</v>
      </c>
      <c r="AU16" s="91">
        <f t="shared" si="1"/>
        <v>2.0859400704907584E-2</v>
      </c>
      <c r="AV16" s="95">
        <f t="shared" si="2"/>
        <v>10.485078402051746</v>
      </c>
      <c r="AW16" s="88">
        <f>PROP_InOut!$G$4/2*((PROP_InOut!$E$8-'PROP_Table (2)'!C16)/('PROP_Table (2)'!C16*SIN('PROP_Table (2)'!K16)))</f>
        <v>4.7477177086372757</v>
      </c>
      <c r="AX16" s="88">
        <f t="shared" si="11"/>
        <v>0.9944795057309187</v>
      </c>
      <c r="AY16" s="88">
        <f>PROP_InOut!$G$4/2*((C16-PROP_InOut!$J$12/2)/(C16*SIN('PROP_Table (2)'!K16)))</f>
        <v>2.2141070081590386</v>
      </c>
      <c r="AZ16" s="88">
        <f t="shared" si="12"/>
        <v>0.93030952667437949</v>
      </c>
      <c r="BA16" s="88">
        <f t="shared" si="13"/>
        <v>0.9251737582639018</v>
      </c>
      <c r="BB16" s="25">
        <f>0.5*PROP_InOut!$J$8*T16^2*E16*AP16*(C16-C15)</f>
        <v>0.47803350562401514</v>
      </c>
      <c r="BC16" s="25">
        <f>0.5*PROP_InOut!$J$8*T16^2*E16*AQ16*(C16-C15)</f>
        <v>8.1364379470009063E-3</v>
      </c>
      <c r="BD16" s="88">
        <f t="shared" si="3"/>
        <v>0.39362787892347045</v>
      </c>
      <c r="BE16" s="88">
        <f t="shared" si="4"/>
        <v>1.9298570145292033E-2</v>
      </c>
      <c r="BF16" s="88">
        <f t="shared" si="29"/>
        <v>9.7005193909178793</v>
      </c>
      <c r="BG16" s="90"/>
    </row>
    <row r="17" spans="1:59" s="96" customFormat="1" x14ac:dyDescent="0.25">
      <c r="A17" s="175"/>
      <c r="B17" s="82">
        <v>14</v>
      </c>
      <c r="C17" s="87">
        <v>0.10272014</v>
      </c>
      <c r="D17" s="88">
        <f>C17/PROP_InOut!$E$8</f>
        <v>0.38515238095238097</v>
      </c>
      <c r="E17" s="88">
        <v>4.4312839999999999E-2</v>
      </c>
      <c r="F17" s="89">
        <f>E17*PROP_InOut!$G$8</f>
        <v>2.7786920232499994E-4</v>
      </c>
      <c r="G17" s="90">
        <f>PROP_InOut!$C$4</f>
        <v>19.55</v>
      </c>
      <c r="H17" s="91">
        <f>PROP_InOut!$C$8*'PROP_Table (2)'!C17</f>
        <v>51.632773951954412</v>
      </c>
      <c r="I17" s="92">
        <f t="shared" si="5"/>
        <v>55.210015812111678</v>
      </c>
      <c r="J17" s="93">
        <f>I17/PROP_InOut!$D$8</f>
        <v>0.15951278531107513</v>
      </c>
      <c r="K17" s="91">
        <f t="shared" si="6"/>
        <v>0.3619541221676667</v>
      </c>
      <c r="L17" s="92">
        <f t="shared" si="7"/>
        <v>20.738443577569893</v>
      </c>
      <c r="M17" s="90">
        <f t="shared" si="15"/>
        <v>6.9349879948464296E-2</v>
      </c>
      <c r="N17" s="90">
        <f t="shared" si="16"/>
        <v>3.9734554307859389</v>
      </c>
      <c r="O17" s="91">
        <f t="shared" si="8"/>
        <v>0.47289347016935956</v>
      </c>
      <c r="P17" s="87">
        <v>27.094799999999999</v>
      </c>
      <c r="Q17" s="91">
        <f t="shared" si="9"/>
        <v>4.158946805322862E-2</v>
      </c>
      <c r="R17" s="93">
        <f t="shared" si="10"/>
        <v>2.3829009916441679</v>
      </c>
      <c r="S17" s="127">
        <f t="shared" si="17"/>
        <v>3.9502499143223191</v>
      </c>
      <c r="T17" s="127">
        <f t="shared" si="18"/>
        <v>56.72398377394196</v>
      </c>
      <c r="U17" s="122">
        <f>U16+(U18-U16)*((C17-C16)/(C18-C16))</f>
        <v>3.9375922395806429</v>
      </c>
      <c r="V17" s="122">
        <f>V16+(V18-V16)*((C17-C16)/(C18-C16))</f>
        <v>3.9734554307859389</v>
      </c>
      <c r="W17" s="123">
        <f t="shared" si="19"/>
        <v>2.3829009916441679</v>
      </c>
      <c r="X17" s="122">
        <f t="shared" si="20"/>
        <v>56.72398377394196</v>
      </c>
      <c r="Y17" s="122">
        <f>Y16+(Y18-Y16)*((C17-C16)/(C18-C16))</f>
        <v>0.93011500000000003</v>
      </c>
      <c r="Z17" s="122">
        <f>Z16+(Z18-Z16)*((C17-C16)/(C18-C16))</f>
        <v>1.5169999999999999E-2</v>
      </c>
      <c r="AA17" s="122">
        <f t="shared" si="21"/>
        <v>-0.42058096122410404</v>
      </c>
      <c r="AB17" s="122">
        <f t="shared" si="22"/>
        <v>33.227347819209058</v>
      </c>
      <c r="AC17" s="122">
        <f t="shared" si="23"/>
        <v>3.9502499143223195</v>
      </c>
      <c r="AD17" s="138">
        <f t="shared" si="24"/>
        <v>1.2657674741676672E-2</v>
      </c>
      <c r="AE17" s="122">
        <f t="shared" si="25"/>
        <v>6.9527602172804681E-2</v>
      </c>
      <c r="AF17" s="122">
        <f t="shared" si="26"/>
        <v>3.9836381641663205</v>
      </c>
      <c r="AG17" s="144">
        <v>0.14131666006956617</v>
      </c>
      <c r="AH17" s="90"/>
      <c r="AI17" s="90"/>
      <c r="AJ17" s="90"/>
      <c r="AK17" s="50"/>
      <c r="AL17" s="50"/>
      <c r="AM17" s="50"/>
      <c r="AN17" s="131"/>
      <c r="AO17" s="94">
        <f>PROP_InOut!$F$8*'PROP_Table (2)'!I17*'PROP_Table (2)'!E17</f>
        <v>158420.84734637808</v>
      </c>
      <c r="AP17" s="91">
        <f t="shared" si="27"/>
        <v>0.93011500000000003</v>
      </c>
      <c r="AQ17" s="91">
        <f t="shared" si="28"/>
        <v>1.5169999999999999E-2</v>
      </c>
      <c r="AR17" s="8">
        <f>0.5*PROP_InOut!$J$8*I17^2*E17*AP17*(C17-C16)</f>
        <v>0.52861592342046915</v>
      </c>
      <c r="AS17" s="8">
        <f>0.5*PROP_InOut!$J$8*I17^2*E17*AQ17*(C17-C16)</f>
        <v>8.6216258831311367E-3</v>
      </c>
      <c r="AT17" s="91">
        <f t="shared" si="0"/>
        <v>0.50309879638327148</v>
      </c>
      <c r="AU17" s="91">
        <f t="shared" si="1"/>
        <v>2.4811496845849986E-2</v>
      </c>
      <c r="AV17" s="95">
        <f t="shared" si="2"/>
        <v>12.471618594478182</v>
      </c>
      <c r="AW17" s="88">
        <f>PROP_InOut!$G$4/2*((PROP_InOut!$E$8-'PROP_Table (2)'!C17)/('PROP_Table (2)'!C17*SIN('PROP_Table (2)'!K17)))</f>
        <v>4.5082295199442983</v>
      </c>
      <c r="AX17" s="88">
        <f t="shared" si="11"/>
        <v>0.99298561326916635</v>
      </c>
      <c r="AY17" s="88">
        <f>PROP_InOut!$G$4/2*((C17-PROP_InOut!$J$12/2)/(C17*SIN('PROP_Table (2)'!K17)))</f>
        <v>2.3875970122897745</v>
      </c>
      <c r="AZ17" s="88">
        <f t="shared" si="12"/>
        <v>0.94144385686311272</v>
      </c>
      <c r="BA17" s="88">
        <f t="shared" si="13"/>
        <v>0.93484020556570724</v>
      </c>
      <c r="BB17" s="25">
        <f>0.5*PROP_InOut!$J$8*T17^2*E17*AP17*(C17-C16)</f>
        <v>0.55800481489052078</v>
      </c>
      <c r="BC17" s="25">
        <f>0.5*PROP_InOut!$J$8*T17^2*E17*AQ17*(C17-C16)</f>
        <v>9.1009531529855966E-3</v>
      </c>
      <c r="BD17" s="88">
        <f t="shared" si="3"/>
        <v>0.47031698223079743</v>
      </c>
      <c r="BE17" s="88">
        <f t="shared" si="4"/>
        <v>2.3194784811767299E-2</v>
      </c>
      <c r="BF17" s="88">
        <f t="shared" si="29"/>
        <v>11.65897049059908</v>
      </c>
      <c r="BG17" s="90"/>
    </row>
    <row r="18" spans="1:59" s="96" customFormat="1" x14ac:dyDescent="0.25">
      <c r="A18" s="175"/>
      <c r="B18" s="82">
        <v>15</v>
      </c>
      <c r="C18" s="87">
        <v>0.10979404000000001</v>
      </c>
      <c r="D18" s="88">
        <f>C18/PROP_InOut!$E$8</f>
        <v>0.41167619047619053</v>
      </c>
      <c r="E18" s="88">
        <v>4.4292520000000002E-2</v>
      </c>
      <c r="F18" s="89">
        <f>E18*PROP_InOut!$G$8</f>
        <v>2.7774178322499996E-4</v>
      </c>
      <c r="G18" s="90">
        <f>PROP_InOut!$C$4</f>
        <v>19.55</v>
      </c>
      <c r="H18" s="91">
        <f>PROP_InOut!$C$8*'PROP_Table (2)'!C18</f>
        <v>55.188503915511028</v>
      </c>
      <c r="I18" s="92">
        <f t="shared" si="5"/>
        <v>58.548898063348517</v>
      </c>
      <c r="J18" s="93">
        <f>I18/PROP_InOut!$D$8</f>
        <v>0.16915948437258244</v>
      </c>
      <c r="K18" s="91">
        <f t="shared" si="6"/>
        <v>0.34044748957596965</v>
      </c>
      <c r="L18" s="92">
        <f t="shared" si="7"/>
        <v>19.506204298527148</v>
      </c>
      <c r="M18" s="90">
        <f t="shared" si="15"/>
        <v>6.826528435467917E-2</v>
      </c>
      <c r="N18" s="90">
        <f t="shared" si="16"/>
        <v>3.9113126807835661</v>
      </c>
      <c r="O18" s="91">
        <f t="shared" si="8"/>
        <v>0.44642031607510962</v>
      </c>
      <c r="P18" s="87">
        <v>25.577999999999999</v>
      </c>
      <c r="Q18" s="91">
        <f t="shared" si="9"/>
        <v>3.7707542144460794E-2</v>
      </c>
      <c r="R18" s="93">
        <f t="shared" si="10"/>
        <v>2.1604830206892851</v>
      </c>
      <c r="S18" s="127">
        <f t="shared" si="17"/>
        <v>4.1053416576563908</v>
      </c>
      <c r="T18" s="127">
        <f t="shared" si="18"/>
        <v>60.044534750151897</v>
      </c>
      <c r="U18" s="122">
        <v>4.1053416574316834</v>
      </c>
      <c r="V18" s="122">
        <v>3.9113126807835661</v>
      </c>
      <c r="W18" s="123">
        <f t="shared" si="19"/>
        <v>2.1604830206892851</v>
      </c>
      <c r="X18" s="122">
        <f t="shared" si="20"/>
        <v>60.044534750151897</v>
      </c>
      <c r="Y18" s="128">
        <v>0.91901999999999995</v>
      </c>
      <c r="Z18" s="127">
        <v>1.4319999999999999E-2</v>
      </c>
      <c r="AA18" s="122">
        <f t="shared" si="21"/>
        <v>-8.034049869820592E-9</v>
      </c>
      <c r="AB18" s="122">
        <f t="shared" si="22"/>
        <v>35.753336696383471</v>
      </c>
      <c r="AC18" s="122">
        <f t="shared" si="23"/>
        <v>4.1053416576563908</v>
      </c>
      <c r="AD18" s="138">
        <f t="shared" si="24"/>
        <v>2.2470736382729228E-10</v>
      </c>
      <c r="AE18" s="122">
        <f t="shared" si="25"/>
        <v>6.8265371831689528E-2</v>
      </c>
      <c r="AF18" s="122">
        <f t="shared" si="26"/>
        <v>3.9113176928470641</v>
      </c>
      <c r="AG18" s="144">
        <v>0.14967404255888825</v>
      </c>
      <c r="AH18" s="90"/>
      <c r="AI18" s="90"/>
      <c r="AJ18" s="90"/>
      <c r="AK18" s="50"/>
      <c r="AL18" s="50"/>
      <c r="AM18" s="50"/>
      <c r="AN18" s="131">
        <v>3.9113126807835661</v>
      </c>
      <c r="AO18" s="94">
        <f>PROP_InOut!$F$8*'PROP_Table (2)'!I18*'PROP_Table (2)'!E18</f>
        <v>167924.4719321685</v>
      </c>
      <c r="AP18" s="91">
        <f t="shared" si="27"/>
        <v>0.91901999999999995</v>
      </c>
      <c r="AQ18" s="91">
        <f t="shared" si="28"/>
        <v>1.4319999999999999E-2</v>
      </c>
      <c r="AR18" s="8">
        <f>0.5*PROP_InOut!$J$8*I18^2*E18*AP18*(C18-C17)</f>
        <v>0.5871256705441269</v>
      </c>
      <c r="AS18" s="8">
        <f>0.5*PROP_InOut!$J$8*I18^2*E18*AQ18*(C18-C17)</f>
        <v>9.1484838221060454E-3</v>
      </c>
      <c r="AT18" s="91">
        <f t="shared" si="0"/>
        <v>0.56281920910373995</v>
      </c>
      <c r="AU18" s="91">
        <f t="shared" si="1"/>
        <v>2.7914415456988889E-2</v>
      </c>
      <c r="AV18" s="95">
        <f t="shared" si="2"/>
        <v>14.031315604628745</v>
      </c>
      <c r="AW18" s="88">
        <f>PROP_InOut!$G$4/2*((PROP_InOut!$E$8-'PROP_Table (2)'!C18)/('PROP_Table (2)'!C18*SIN('PROP_Table (2)'!K18)))</f>
        <v>4.2798903106000914</v>
      </c>
      <c r="AX18" s="88">
        <f t="shared" si="11"/>
        <v>0.99118623936318573</v>
      </c>
      <c r="AY18" s="88">
        <f>PROP_InOut!$G$4/2*((C18-PROP_InOut!$J$12/2)/(C18*SIN('PROP_Table (2)'!K18)))</f>
        <v>2.5618095659136366</v>
      </c>
      <c r="AZ18" s="88">
        <f t="shared" si="12"/>
        <v>0.95082636591417158</v>
      </c>
      <c r="BA18" s="88">
        <f t="shared" si="13"/>
        <v>0.94244600991783212</v>
      </c>
      <c r="BB18" s="25">
        <f>0.5*PROP_InOut!$J$8*T18^2*E18*AP18*(C18-C17)</f>
        <v>0.61750515276727225</v>
      </c>
      <c r="BC18" s="25">
        <f>0.5*PROP_InOut!$J$8*T18^2*E18*AQ18*(C18-C17)</f>
        <v>9.6218513064213387E-3</v>
      </c>
      <c r="BD18" s="88">
        <f t="shared" si="3"/>
        <v>0.53042671792492968</v>
      </c>
      <c r="BE18" s="88">
        <f t="shared" si="4"/>
        <v>2.6307829466627838E-2</v>
      </c>
      <c r="BF18" s="88">
        <f t="shared" si="29"/>
        <v>13.223757405480175</v>
      </c>
      <c r="BG18" s="90"/>
    </row>
    <row r="19" spans="1:59" s="96" customFormat="1" x14ac:dyDescent="0.25">
      <c r="A19" s="175"/>
      <c r="B19" s="82">
        <v>16</v>
      </c>
      <c r="C19" s="87">
        <v>0.11686793999999999</v>
      </c>
      <c r="D19" s="88">
        <f>C19/PROP_InOut!$E$8</f>
        <v>0.43819999999999998</v>
      </c>
      <c r="E19" s="88">
        <v>4.402582E-2</v>
      </c>
      <c r="F19" s="89">
        <f>E19*PROP_InOut!$G$8</f>
        <v>2.7606940753749999E-4</v>
      </c>
      <c r="G19" s="90">
        <f>PROP_InOut!$C$4</f>
        <v>19.55</v>
      </c>
      <c r="H19" s="91">
        <f>PROP_InOut!$C$8*'PROP_Table (2)'!C19</f>
        <v>58.744233879067629</v>
      </c>
      <c r="I19" s="92">
        <f t="shared" si="5"/>
        <v>61.911933534970437</v>
      </c>
      <c r="J19" s="93">
        <f>I19/PROP_InOut!$D$8</f>
        <v>0.17887596692176286</v>
      </c>
      <c r="K19" s="91">
        <f t="shared" si="6"/>
        <v>0.32126923571525395</v>
      </c>
      <c r="L19" s="92">
        <f t="shared" si="7"/>
        <v>18.407371293877663</v>
      </c>
      <c r="M19" s="90">
        <f t="shared" si="15"/>
        <v>6.6762909769380818E-2</v>
      </c>
      <c r="N19" s="90">
        <f t="shared" si="16"/>
        <v>3.8252329577982533</v>
      </c>
      <c r="O19" s="91">
        <f t="shared" si="8"/>
        <v>0.42258435448062304</v>
      </c>
      <c r="P19" s="87">
        <v>24.212299999999999</v>
      </c>
      <c r="Q19" s="91">
        <f t="shared" si="9"/>
        <v>3.4552208995988258E-2</v>
      </c>
      <c r="R19" s="93">
        <f t="shared" si="10"/>
        <v>1.9796957483240827</v>
      </c>
      <c r="S19" s="127">
        <f t="shared" si="17"/>
        <v>4.2458803383514159</v>
      </c>
      <c r="T19" s="127">
        <f t="shared" si="18"/>
        <v>63.376072435637383</v>
      </c>
      <c r="U19" s="122">
        <f>U18+(U20-U18)*((C19-C18)/(C20-C18))</f>
        <v>4.233219784725522</v>
      </c>
      <c r="V19" s="122">
        <f>V18+(V20-V18)*((C19-C18)/(C20-C18))</f>
        <v>3.8252329577982533</v>
      </c>
      <c r="W19" s="123">
        <f t="shared" si="19"/>
        <v>1.9796957483240827</v>
      </c>
      <c r="X19" s="122">
        <f t="shared" si="20"/>
        <v>63.376072435637383</v>
      </c>
      <c r="Y19" s="122">
        <f>Y18+(Y20-Y18)*((C19-C18)/(C20-C18))</f>
        <v>0.91074500000000003</v>
      </c>
      <c r="Z19" s="122">
        <f>Z18+(Z20-Z18)*((C19-C18)/(C20-C18))</f>
        <v>1.3690000000000001E-2</v>
      </c>
      <c r="AA19" s="122">
        <f t="shared" si="21"/>
        <v>-0.48759830231543333</v>
      </c>
      <c r="AB19" s="122">
        <f t="shared" si="22"/>
        <v>38.513189606351894</v>
      </c>
      <c r="AC19" s="122">
        <f t="shared" si="23"/>
        <v>4.2458803383514159</v>
      </c>
      <c r="AD19" s="138">
        <f t="shared" si="24"/>
        <v>1.2660553625893911E-2</v>
      </c>
      <c r="AE19" s="122">
        <f t="shared" si="25"/>
        <v>6.6895042913716868E-2</v>
      </c>
      <c r="AF19" s="122">
        <f t="shared" si="26"/>
        <v>3.8328036293025018</v>
      </c>
      <c r="AG19" s="144">
        <v>0.15810911250867413</v>
      </c>
      <c r="AH19" s="50"/>
      <c r="AI19" s="50"/>
      <c r="AJ19" s="50"/>
      <c r="AK19" s="50"/>
      <c r="AL19" s="50"/>
      <c r="AM19" s="50"/>
      <c r="AN19" s="131"/>
      <c r="AO19" s="94">
        <f>PROP_InOut!$F$8*'PROP_Table (2)'!I19*'PROP_Table (2)'!E19</f>
        <v>176500.80750031598</v>
      </c>
      <c r="AP19" s="91">
        <f t="shared" si="27"/>
        <v>0.91074500000000003</v>
      </c>
      <c r="AQ19" s="91">
        <f t="shared" si="28"/>
        <v>1.3690000000000001E-2</v>
      </c>
      <c r="AR19" s="8">
        <f>0.5*PROP_InOut!$J$8*I19^2*E19*AP19*(C19-C18)</f>
        <v>0.64668270935761452</v>
      </c>
      <c r="AS19" s="8">
        <f>0.5*PROP_InOut!$J$8*I19^2*E19*AQ19*(C19-C18)</f>
        <v>9.7207080918432082E-3</v>
      </c>
      <c r="AT19" s="91">
        <f t="shared" si="0"/>
        <v>0.6233986359026179</v>
      </c>
      <c r="AU19" s="91">
        <f t="shared" si="1"/>
        <v>3.1066091650199631E-2</v>
      </c>
      <c r="AV19" s="95">
        <f t="shared" si="2"/>
        <v>15.6155208486423</v>
      </c>
      <c r="AW19" s="88">
        <f>PROP_InOut!$G$4/2*((PROP_InOut!$E$8-'PROP_Table (2)'!C19)/('PROP_Table (2)'!C19*SIN('PROP_Table (2)'!K19)))</f>
        <v>4.0601022154041457</v>
      </c>
      <c r="AX19" s="88">
        <f t="shared" si="11"/>
        <v>0.98901951131775445</v>
      </c>
      <c r="AY19" s="88">
        <f>PROP_InOut!$G$4/2*((C19-PROP_InOut!$J$12/2)/(C19*SIN('PROP_Table (2)'!K19)))</f>
        <v>2.7366750442740893</v>
      </c>
      <c r="AZ19" s="88">
        <f t="shared" si="12"/>
        <v>0.95872742923990351</v>
      </c>
      <c r="BA19" s="88">
        <f t="shared" si="13"/>
        <v>0.94820013355377641</v>
      </c>
      <c r="BB19" s="25">
        <f>0.5*PROP_InOut!$J$8*T19^2*E19*AP19*(C19-C18)</f>
        <v>0.67763083071075703</v>
      </c>
      <c r="BC19" s="25">
        <f>0.5*PROP_InOut!$J$8*T19^2*E19*AQ19*(C19-C18)</f>
        <v>1.0185909417488171E-2</v>
      </c>
      <c r="BD19" s="88">
        <f t="shared" si="3"/>
        <v>0.59110666982010429</v>
      </c>
      <c r="BE19" s="88">
        <f t="shared" si="4"/>
        <v>2.9456872251713149E-2</v>
      </c>
      <c r="BF19" s="88">
        <f t="shared" si="29"/>
        <v>14.806638954194408</v>
      </c>
      <c r="BG19" s="90"/>
    </row>
    <row r="20" spans="1:59" s="96" customFormat="1" x14ac:dyDescent="0.25">
      <c r="A20" s="175"/>
      <c r="B20" s="82">
        <v>17</v>
      </c>
      <c r="C20" s="87">
        <v>0.12394184</v>
      </c>
      <c r="D20" s="88">
        <f>C20/PROP_InOut!$E$8</f>
        <v>0.46472380952380954</v>
      </c>
      <c r="E20" s="88">
        <v>4.3530519999999996E-2</v>
      </c>
      <c r="F20" s="89">
        <f>E20*PROP_InOut!$G$8</f>
        <v>2.7296356697499997E-4</v>
      </c>
      <c r="G20" s="90">
        <f>PROP_InOut!$C$4</f>
        <v>19.55</v>
      </c>
      <c r="H20" s="91">
        <f>PROP_InOut!$C$8*'PROP_Table (2)'!C20</f>
        <v>62.299963842624251</v>
      </c>
      <c r="I20" s="92">
        <f t="shared" si="5"/>
        <v>65.295390302779325</v>
      </c>
      <c r="J20" s="93">
        <f>I20/PROP_InOut!$D$8</f>
        <v>0.18865145068270764</v>
      </c>
      <c r="K20" s="91">
        <f t="shared" si="6"/>
        <v>0.30407273632303244</v>
      </c>
      <c r="L20" s="92">
        <f t="shared" si="7"/>
        <v>17.422084456304084</v>
      </c>
      <c r="M20" s="90">
        <f t="shared" si="15"/>
        <v>6.5260535184082466E-2</v>
      </c>
      <c r="N20" s="90">
        <f t="shared" si="16"/>
        <v>3.7391532348129402</v>
      </c>
      <c r="O20" s="91">
        <f t="shared" si="8"/>
        <v>0.40103302887699704</v>
      </c>
      <c r="P20" s="87">
        <v>22.977499999999999</v>
      </c>
      <c r="Q20" s="91">
        <f t="shared" si="9"/>
        <v>3.1699757369882162E-2</v>
      </c>
      <c r="R20" s="93">
        <f t="shared" si="10"/>
        <v>1.8162623088829748</v>
      </c>
      <c r="S20" s="127">
        <f t="shared" si="17"/>
        <v>4.3610979122261213</v>
      </c>
      <c r="T20" s="127">
        <f t="shared" si="18"/>
        <v>66.730998030529008</v>
      </c>
      <c r="U20" s="122">
        <v>4.3610979120193614</v>
      </c>
      <c r="V20" s="122">
        <v>3.7391532348129402</v>
      </c>
      <c r="W20" s="123">
        <f t="shared" si="19"/>
        <v>1.8162623088829748</v>
      </c>
      <c r="X20" s="122">
        <f t="shared" si="20"/>
        <v>66.730998030529008</v>
      </c>
      <c r="Y20" s="128">
        <v>0.90246999999999999</v>
      </c>
      <c r="Z20" s="127">
        <v>1.306E-2</v>
      </c>
      <c r="AA20" s="122">
        <f t="shared" si="21"/>
        <v>-8.5813383066124516E-9</v>
      </c>
      <c r="AB20" s="122">
        <f t="shared" si="22"/>
        <v>41.503804012377756</v>
      </c>
      <c r="AC20" s="122">
        <f t="shared" si="23"/>
        <v>4.3610979122261213</v>
      </c>
      <c r="AD20" s="138">
        <f t="shared" si="24"/>
        <v>2.0675994250041185E-10</v>
      </c>
      <c r="AE20" s="122">
        <f t="shared" si="25"/>
        <v>6.5260599355349641E-2</v>
      </c>
      <c r="AF20" s="122">
        <f t="shared" si="26"/>
        <v>3.7391569115557153</v>
      </c>
      <c r="AG20" s="144">
        <v>0.166616094155037</v>
      </c>
      <c r="AH20" s="50"/>
      <c r="AI20" s="50"/>
      <c r="AJ20" s="50"/>
      <c r="AK20" s="50"/>
      <c r="AL20" s="50"/>
      <c r="AM20" s="50"/>
      <c r="AN20" s="131">
        <v>3.7391532348129402</v>
      </c>
      <c r="AO20" s="94">
        <f>PROP_InOut!$F$8*'PROP_Table (2)'!I20*'PROP_Table (2)'!E20</f>
        <v>184052.30168016555</v>
      </c>
      <c r="AP20" s="91">
        <f t="shared" si="27"/>
        <v>0.90246999999999999</v>
      </c>
      <c r="AQ20" s="91">
        <f t="shared" si="28"/>
        <v>1.306E-2</v>
      </c>
      <c r="AR20" s="8">
        <f>0.5*PROP_InOut!$J$8*I20^2*E20*AP20*(C20-C19)</f>
        <v>0.70474164942287709</v>
      </c>
      <c r="AS20" s="8">
        <f>0.5*PROP_InOut!$J$8*I20^2*E20*AQ20*(C20-C19)</f>
        <v>1.0198594902282374E-2</v>
      </c>
      <c r="AT20" s="91">
        <f t="shared" si="0"/>
        <v>0.68259181032961513</v>
      </c>
      <c r="AU20" s="91">
        <f t="shared" si="1"/>
        <v>3.416469076462185E-2</v>
      </c>
      <c r="AV20" s="95">
        <f t="shared" si="2"/>
        <v>17.17304664292849</v>
      </c>
      <c r="AW20" s="88">
        <f>PROP_InOut!$G$4/2*((PROP_InOut!$E$8-'PROP_Table (2)'!C20)/('PROP_Table (2)'!C20*SIN('PROP_Table (2)'!K20)))</f>
        <v>3.8469696759109318</v>
      </c>
      <c r="AX20" s="88">
        <f t="shared" si="11"/>
        <v>0.98641075269805079</v>
      </c>
      <c r="AY20" s="88">
        <f>PROP_InOut!$G$4/2*((C20-PROP_InOut!$J$12/2)/(C20*SIN('PROP_Table (2)'!K20)))</f>
        <v>2.9121267495428529</v>
      </c>
      <c r="AZ20" s="88">
        <f t="shared" si="12"/>
        <v>0.96537628471319825</v>
      </c>
      <c r="BA20" s="88">
        <f t="shared" si="13"/>
        <v>0.95225754764079362</v>
      </c>
      <c r="BB20" s="25">
        <f>0.5*PROP_InOut!$J$8*T20^2*E20*AP20*(C20-C19)</f>
        <v>0.73607172370766083</v>
      </c>
      <c r="BC20" s="25">
        <f>0.5*PROP_InOut!$J$8*T20^2*E20*AQ20*(C20-C19)</f>
        <v>1.0651984787995226E-2</v>
      </c>
      <c r="BD20" s="88">
        <f t="shared" si="3"/>
        <v>0.65000320334416906</v>
      </c>
      <c r="BE20" s="88">
        <f t="shared" si="4"/>
        <v>3.2533584643424873E-2</v>
      </c>
      <c r="BF20" s="88">
        <f t="shared" si="29"/>
        <v>16.353163281716046</v>
      </c>
      <c r="BG20" s="90"/>
    </row>
    <row r="21" spans="1:59" s="96" customFormat="1" x14ac:dyDescent="0.25">
      <c r="A21" s="175"/>
      <c r="B21" s="82">
        <v>18</v>
      </c>
      <c r="C21" s="87">
        <v>0.13101573999999999</v>
      </c>
      <c r="D21" s="88">
        <f>C21/PROP_InOut!$E$8</f>
        <v>0.49124761904761904</v>
      </c>
      <c r="E21" s="88">
        <v>4.2821859999999996E-2</v>
      </c>
      <c r="F21" s="89">
        <f>E21*PROP_InOut!$G$8</f>
        <v>2.6851982586249996E-4</v>
      </c>
      <c r="G21" s="90">
        <f>PROP_InOut!$C$4</f>
        <v>19.55</v>
      </c>
      <c r="H21" s="91">
        <f>PROP_InOut!$C$8*'PROP_Table (2)'!C21</f>
        <v>65.855693806180867</v>
      </c>
      <c r="I21" s="92">
        <f t="shared" si="5"/>
        <v>68.696251038127613</v>
      </c>
      <c r="J21" s="93">
        <f>I21/PROP_InOut!$D$8</f>
        <v>0.19847721798907147</v>
      </c>
      <c r="K21" s="91">
        <f t="shared" si="6"/>
        <v>0.28857467554487665</v>
      </c>
      <c r="L21" s="92">
        <f t="shared" si="7"/>
        <v>16.53411098307852</v>
      </c>
      <c r="M21" s="90">
        <f t="shared" si="15"/>
        <v>6.3520391356264305E-2</v>
      </c>
      <c r="N21" s="90">
        <f t="shared" si="16"/>
        <v>3.6394503377332201</v>
      </c>
      <c r="O21" s="91">
        <f t="shared" si="8"/>
        <v>0.38146963329139266</v>
      </c>
      <c r="P21" s="87">
        <v>21.8566</v>
      </c>
      <c r="Q21" s="91">
        <f t="shared" si="9"/>
        <v>2.9374566390251704E-2</v>
      </c>
      <c r="R21" s="93">
        <f t="shared" si="10"/>
        <v>1.6830386791882601</v>
      </c>
      <c r="S21" s="127">
        <f t="shared" si="17"/>
        <v>4.4655124057035449</v>
      </c>
      <c r="T21" s="127">
        <f t="shared" si="18"/>
        <v>70.093656324467588</v>
      </c>
      <c r="U21" s="122">
        <f>U20+(U22-U20)*((C21-C20)/(C22-C20))</f>
        <v>4.4530883479423844</v>
      </c>
      <c r="V21" s="122">
        <f>V20+(V22-V20)*((C21-C20)/(C22-C20))</f>
        <v>3.6394503377332201</v>
      </c>
      <c r="W21" s="123">
        <f t="shared" si="19"/>
        <v>1.6830386791882601</v>
      </c>
      <c r="X21" s="122">
        <f t="shared" si="20"/>
        <v>70.093656324467588</v>
      </c>
      <c r="Y21" s="122">
        <f>Y20+(Y22-Y20)*((C21-C20)/(C22-C20))</f>
        <v>0.89776</v>
      </c>
      <c r="Z21" s="122">
        <f>Z20+(Z22-Z20)*((C21-C20)/(C22-C20))</f>
        <v>1.2595000000000002E-2</v>
      </c>
      <c r="AA21" s="122">
        <f t="shared" si="21"/>
        <v>-0.55661155217910618</v>
      </c>
      <c r="AB21" s="122">
        <f t="shared" si="22"/>
        <v>44.801107889177111</v>
      </c>
      <c r="AC21" s="122">
        <f t="shared" si="23"/>
        <v>4.4655124057035449</v>
      </c>
      <c r="AD21" s="138">
        <f t="shared" si="24"/>
        <v>1.2424057761160512E-2</v>
      </c>
      <c r="AE21" s="122">
        <f t="shared" si="25"/>
        <v>6.3621816039658385E-2</v>
      </c>
      <c r="AF21" s="122">
        <f t="shared" si="26"/>
        <v>3.6452615440301512</v>
      </c>
      <c r="AG21" s="144">
        <v>0.17517841857770275</v>
      </c>
      <c r="AJ21" s="50"/>
      <c r="AK21" s="50"/>
      <c r="AL21" s="50"/>
      <c r="AM21" s="50"/>
      <c r="AN21" s="131"/>
      <c r="AO21" s="94">
        <f>PROP_InOut!$F$8*'PROP_Table (2)'!I21*'PROP_Table (2)'!E21</f>
        <v>190486.16563292855</v>
      </c>
      <c r="AP21" s="91">
        <f t="shared" si="27"/>
        <v>0.89776</v>
      </c>
      <c r="AQ21" s="91">
        <f t="shared" si="28"/>
        <v>1.2595000000000002E-2</v>
      </c>
      <c r="AR21" s="8">
        <f>0.5*PROP_InOut!$J$8*I21^2*E21*AP21*(C21-C20)</f>
        <v>0.76336126269280513</v>
      </c>
      <c r="AS21" s="8">
        <f>0.5*PROP_InOut!$J$8*I21^2*E21*AQ21*(C21-C20)</f>
        <v>1.0709471466333857E-2</v>
      </c>
      <c r="AT21" s="91">
        <f t="shared" si="0"/>
        <v>0.74213320532622329</v>
      </c>
      <c r="AU21" s="91">
        <f t="shared" si="1"/>
        <v>3.7279404709163286E-2</v>
      </c>
      <c r="AV21" s="95">
        <f t="shared" si="2"/>
        <v>18.738672634321301</v>
      </c>
      <c r="AW21" s="88">
        <f>PROP_InOut!$G$4/2*((PROP_InOut!$E$8-'PROP_Table (2)'!C21)/('PROP_Table (2)'!C21*SIN('PROP_Table (2)'!K21)))</f>
        <v>3.6390856009756556</v>
      </c>
      <c r="AX21" s="88">
        <f t="shared" si="11"/>
        <v>0.98327002406812114</v>
      </c>
      <c r="AY21" s="88">
        <f>PROP_InOut!$G$4/2*((C21-PROP_InOut!$J$12/2)/(C21*SIN('PROP_Table (2)'!K21)))</f>
        <v>3.0881032849328411</v>
      </c>
      <c r="AZ21" s="88">
        <f t="shared" si="12"/>
        <v>0.97096749873179877</v>
      </c>
      <c r="BA21" s="88">
        <f t="shared" si="13"/>
        <v>0.95472323584737917</v>
      </c>
      <c r="BB21" s="25">
        <f>0.5*PROP_InOut!$J$8*T21^2*E21*AP21*(C21-C20)</f>
        <v>0.79473341475829751</v>
      </c>
      <c r="BC21" s="25">
        <f>0.5*PROP_InOut!$J$8*T21^2*E21*AQ21*(C21-C20)</f>
        <v>1.1149602743362101E-2</v>
      </c>
      <c r="BD21" s="88">
        <f t="shared" si="3"/>
        <v>0.70853181521883934</v>
      </c>
      <c r="BE21" s="88">
        <f t="shared" si="4"/>
        <v>3.5591513894396395E-2</v>
      </c>
      <c r="BF21" s="88">
        <f t="shared" si="29"/>
        <v>17.890246172923966</v>
      </c>
      <c r="BG21" s="90"/>
    </row>
    <row r="22" spans="1:59" s="96" customFormat="1" x14ac:dyDescent="0.25">
      <c r="A22" s="175"/>
      <c r="B22" s="82">
        <v>19</v>
      </c>
      <c r="C22" s="87">
        <v>0.13808964000000001</v>
      </c>
      <c r="D22" s="88">
        <f>C22/PROP_InOut!$E$8</f>
        <v>0.51777142857142866</v>
      </c>
      <c r="E22" s="88">
        <v>4.19227E-2</v>
      </c>
      <c r="F22" s="89">
        <f>E22*PROP_InOut!$G$8</f>
        <v>2.6288153068749999E-4</v>
      </c>
      <c r="G22" s="90">
        <f>PROP_InOut!$C$4</f>
        <v>19.55</v>
      </c>
      <c r="H22" s="91">
        <f>PROP_InOut!$C$8*'PROP_Table (2)'!C22</f>
        <v>69.411423769737482</v>
      </c>
      <c r="I22" s="92">
        <f t="shared" si="5"/>
        <v>72.112053428966206</v>
      </c>
      <c r="J22" s="93">
        <f>I22/PROP_InOut!$D$8</f>
        <v>0.20834615472854193</v>
      </c>
      <c r="K22" s="91">
        <f t="shared" si="6"/>
        <v>0.27454172845747421</v>
      </c>
      <c r="L22" s="92">
        <f t="shared" si="7"/>
        <v>15.73008234083996</v>
      </c>
      <c r="M22" s="90">
        <f t="shared" si="15"/>
        <v>6.1780247528446158E-2</v>
      </c>
      <c r="N22" s="90">
        <f t="shared" si="16"/>
        <v>3.5397474406535001</v>
      </c>
      <c r="O22" s="91">
        <f t="shared" si="8"/>
        <v>0.36364458564077456</v>
      </c>
      <c r="P22" s="87">
        <v>20.8353</v>
      </c>
      <c r="Q22" s="91">
        <f t="shared" si="9"/>
        <v>2.7322609654854189E-2</v>
      </c>
      <c r="R22" s="93">
        <f t="shared" si="10"/>
        <v>1.5654702185065399</v>
      </c>
      <c r="S22" s="127">
        <f t="shared" si="17"/>
        <v>4.5450787873601914</v>
      </c>
      <c r="T22" s="127">
        <f t="shared" si="18"/>
        <v>73.474611746798345</v>
      </c>
      <c r="U22" s="122">
        <v>4.5450787838654074</v>
      </c>
      <c r="V22" s="122">
        <v>3.5397474406535001</v>
      </c>
      <c r="W22" s="123">
        <f t="shared" si="19"/>
        <v>1.5654702185065399</v>
      </c>
      <c r="X22" s="122">
        <f t="shared" si="20"/>
        <v>73.474611746798345</v>
      </c>
      <c r="Y22" s="128">
        <v>0.89305000000000001</v>
      </c>
      <c r="Z22" s="127">
        <v>1.213E-2</v>
      </c>
      <c r="AA22" s="122">
        <f t="shared" si="21"/>
        <v>-1.6913955391828495E-7</v>
      </c>
      <c r="AB22" s="122">
        <f t="shared" si="22"/>
        <v>48.397718099476116</v>
      </c>
      <c r="AC22" s="122">
        <f t="shared" si="23"/>
        <v>4.5450787873601914</v>
      </c>
      <c r="AD22" s="138">
        <f t="shared" si="24"/>
        <v>3.4947840177323997E-9</v>
      </c>
      <c r="AE22" s="122">
        <f t="shared" si="25"/>
        <v>6.178045202984072E-2</v>
      </c>
      <c r="AF22" s="122">
        <f t="shared" si="26"/>
        <v>3.5397591577203129</v>
      </c>
      <c r="AG22" s="144">
        <v>0.18379450611778758</v>
      </c>
      <c r="AH22" s="50"/>
      <c r="AI22" s="50"/>
      <c r="AJ22" s="50"/>
      <c r="AK22" s="50"/>
      <c r="AL22" s="50"/>
      <c r="AM22" s="50"/>
      <c r="AN22" s="131">
        <v>3.5397474406535001</v>
      </c>
      <c r="AO22" s="94">
        <f>PROP_InOut!$F$8*'PROP_Table (2)'!I22*'PROP_Table (2)'!E22</f>
        <v>195759.11068083861</v>
      </c>
      <c r="AP22" s="91">
        <f t="shared" si="27"/>
        <v>0.89305000000000001</v>
      </c>
      <c r="AQ22" s="91">
        <f t="shared" si="28"/>
        <v>1.213E-2</v>
      </c>
      <c r="AR22" s="8">
        <f>0.5*PROP_InOut!$J$8*I22^2*E22*AP22*(C22-C21)</f>
        <v>0.8191793767024711</v>
      </c>
      <c r="AS22" s="8">
        <f>0.5*PROP_InOut!$J$8*I22^2*E22*AQ22*(C22-C21)</f>
        <v>1.1126639985892138E-2</v>
      </c>
      <c r="AT22" s="91">
        <f t="shared" si="0"/>
        <v>0.79897120971477997</v>
      </c>
      <c r="AU22" s="91">
        <f t="shared" si="1"/>
        <v>4.0261438222606735E-2</v>
      </c>
      <c r="AV22" s="95">
        <f t="shared" si="2"/>
        <v>20.237606166896096</v>
      </c>
      <c r="AW22" s="88">
        <f>PROP_InOut!$G$4/2*((PROP_InOut!$E$8-'PROP_Table (2)'!C22)/('PROP_Table (2)'!C22*SIN('PROP_Table (2)'!K22)))</f>
        <v>3.4353892889486213</v>
      </c>
      <c r="AX22" s="88">
        <f t="shared" si="11"/>
        <v>0.97948910321537741</v>
      </c>
      <c r="AY22" s="88">
        <f>PROP_InOut!$G$4/2*((C22-PROP_InOut!$J$12/2)/(C22*SIN('PROP_Table (2)'!K22)))</f>
        <v>3.2645493349735735</v>
      </c>
      <c r="AZ22" s="88">
        <f t="shared" si="12"/>
        <v>0.97566618964153484</v>
      </c>
      <c r="BA22" s="88">
        <f t="shared" si="13"/>
        <v>0.95565440112955136</v>
      </c>
      <c r="BB22" s="25">
        <f>0.5*PROP_InOut!$J$8*T22^2*E22*AP22*(C22-C21)</f>
        <v>0.85042865433857973</v>
      </c>
      <c r="BC22" s="25">
        <f>0.5*PROP_InOut!$J$8*T22^2*E22*AQ22*(C22-C21)</f>
        <v>1.1551088491268095E-2</v>
      </c>
      <c r="BD22" s="88">
        <f t="shared" si="3"/>
        <v>0.76354035293973122</v>
      </c>
      <c r="BE22" s="88">
        <f t="shared" si="4"/>
        <v>3.8476020633239669E-2</v>
      </c>
      <c r="BF22" s="88">
        <f t="shared" si="29"/>
        <v>19.340157401720806</v>
      </c>
      <c r="BG22" s="90"/>
    </row>
    <row r="23" spans="1:59" s="96" customFormat="1" x14ac:dyDescent="0.25">
      <c r="A23" s="176"/>
      <c r="B23" s="98">
        <v>20</v>
      </c>
      <c r="C23" s="87">
        <v>0.14516353999999998</v>
      </c>
      <c r="D23" s="99">
        <f>C23/PROP_InOut!$E$8</f>
        <v>0.54429523809523805</v>
      </c>
      <c r="E23" s="88">
        <v>4.0848280000000001E-2</v>
      </c>
      <c r="F23" s="100">
        <f>E23*PROP_InOut!$G$8</f>
        <v>2.5614424577499999E-4</v>
      </c>
      <c r="G23" s="101">
        <f>PROP_InOut!$C$4</f>
        <v>19.55</v>
      </c>
      <c r="H23" s="102">
        <f>PROP_InOut!$C$8*'PROP_Table (2)'!C23</f>
        <v>72.967153733294083</v>
      </c>
      <c r="I23" s="103">
        <f t="shared" si="5"/>
        <v>75.540770607256661</v>
      </c>
      <c r="J23" s="104">
        <f>I23/PROP_InOut!$D$8</f>
        <v>0.21825240487370234</v>
      </c>
      <c r="K23" s="102">
        <f t="shared" si="6"/>
        <v>0.2617803365088695</v>
      </c>
      <c r="L23" s="103">
        <f t="shared" si="7"/>
        <v>14.998908441472683</v>
      </c>
      <c r="M23" s="90">
        <f t="shared" si="15"/>
        <v>5.9767554757764435E-2</v>
      </c>
      <c r="N23" s="90">
        <f t="shared" si="16"/>
        <v>3.4244286394369454</v>
      </c>
      <c r="O23" s="102">
        <f t="shared" si="8"/>
        <v>0.34734670108565147</v>
      </c>
      <c r="P23" s="87">
        <v>19.901499999999999</v>
      </c>
      <c r="Q23" s="102">
        <f>RADIANS(R23)</f>
        <v>2.5798809819017512E-2</v>
      </c>
      <c r="R23" s="104">
        <f t="shared" si="10"/>
        <v>1.4781629190903707</v>
      </c>
      <c r="S23" s="147">
        <f t="shared" si="17"/>
        <v>4.6050154208084768</v>
      </c>
      <c r="T23" s="147">
        <f t="shared" si="18"/>
        <v>76.857500460259971</v>
      </c>
      <c r="U23" s="122">
        <f>U22+(U24-U22)*((C23-C22)/(C24-C22))</f>
        <v>4.5926977171294627</v>
      </c>
      <c r="V23" s="122">
        <f>V22+(V24-V22)*((C23-C22)/(C24-C22))</f>
        <v>3.4244286394369454</v>
      </c>
      <c r="W23" s="148">
        <f t="shared" si="19"/>
        <v>1.4781629190903707</v>
      </c>
      <c r="X23" s="132">
        <f t="shared" si="20"/>
        <v>76.857500460259971</v>
      </c>
      <c r="Y23" s="122">
        <f>Y22+(Y24-Y22)*((C23-C22)/(C24-C22))</f>
        <v>0.88962000000000008</v>
      </c>
      <c r="Z23" s="122">
        <f>Z22+(Z24-Z22)*((C23-C22)/(C24-C22))</f>
        <v>1.1780000000000001E-2</v>
      </c>
      <c r="AA23" s="132">
        <f t="shared" si="21"/>
        <v>-0.64515200760789071</v>
      </c>
      <c r="AB23" s="132">
        <f t="shared" si="22"/>
        <v>52.37599672957306</v>
      </c>
      <c r="AC23" s="132">
        <f t="shared" si="23"/>
        <v>4.6050154208084768</v>
      </c>
      <c r="AD23" s="149">
        <f t="shared" si="24"/>
        <v>1.231770367901408E-2</v>
      </c>
      <c r="AE23" s="132">
        <f t="shared" si="25"/>
        <v>5.9844733758891829E-2</v>
      </c>
      <c r="AF23" s="132">
        <f t="shared" si="26"/>
        <v>3.4288506704685804</v>
      </c>
      <c r="AG23" s="150">
        <v>0.19245428013280028</v>
      </c>
      <c r="AH23" s="101"/>
      <c r="AI23" s="101"/>
      <c r="AJ23" s="101"/>
      <c r="AK23" s="132"/>
      <c r="AL23" s="132"/>
      <c r="AM23" s="132"/>
      <c r="AN23" s="133"/>
      <c r="AO23" s="105">
        <f>PROP_InOut!$F$8*'PROP_Table (2)'!I23*'PROP_Table (2)'!E23</f>
        <v>199811.30710319828</v>
      </c>
      <c r="AP23" s="91">
        <f t="shared" si="27"/>
        <v>0.88962000000000008</v>
      </c>
      <c r="AQ23" s="91">
        <f t="shared" si="28"/>
        <v>1.1780000000000001E-2</v>
      </c>
      <c r="AR23" s="8">
        <f>0.5*PROP_InOut!$J$8*I23^2*E23*AP23*(C23-C22)</f>
        <v>0.87252805312322779</v>
      </c>
      <c r="AS23" s="8">
        <f>0.5*PROP_InOut!$J$8*I23^2*E23*AQ23*(C23-C22)</f>
        <v>1.1553675126224256E-2</v>
      </c>
      <c r="AT23" s="102">
        <f t="shared" si="0"/>
        <v>0.85313903193232687</v>
      </c>
      <c r="AU23" s="102">
        <f t="shared" si="1"/>
        <v>4.3083614874085477E-2</v>
      </c>
      <c r="AV23" s="106">
        <f t="shared" si="2"/>
        <v>21.656186876563019</v>
      </c>
      <c r="AW23" s="99">
        <f>PROP_InOut!$G$4/2*((PROP_InOut!$E$8-'PROP_Table (2)'!C23)/('PROP_Table (2)'!C23*SIN('PROP_Table (2)'!K23)))</f>
        <v>3.235069990954214</v>
      </c>
      <c r="AX23" s="99">
        <f t="shared" si="11"/>
        <v>0.97493779592181273</v>
      </c>
      <c r="AY23" s="99">
        <f>PROP_InOut!$G$4/2*((C23-PROP_InOut!$J$12/2)/(C23*SIN('PROP_Table (2)'!K23)))</f>
        <v>3.4414156536094884</v>
      </c>
      <c r="AZ23" s="99">
        <f t="shared" si="12"/>
        <v>0.97961237993218031</v>
      </c>
      <c r="BA23" s="99">
        <f t="shared" si="13"/>
        <v>0.95506113454880126</v>
      </c>
      <c r="BB23" s="25">
        <f>0.5*PROP_InOut!$J$8*T23^2*E23*AP23*(C23-C22)</f>
        <v>0.9032107337441978</v>
      </c>
      <c r="BC23" s="25">
        <f>0.5*PROP_InOut!$J$8*T23^2*E23*AQ23*(C23-C22)</f>
        <v>1.1959963179230062E-2</v>
      </c>
      <c r="BD23" s="99">
        <f t="shared" si="3"/>
        <v>0.81479993176515408</v>
      </c>
      <c r="BE23" s="99">
        <f t="shared" si="4"/>
        <v>4.1147486102107687E-2</v>
      </c>
      <c r="BF23" s="88">
        <f t="shared" si="29"/>
        <v>20.682982408331139</v>
      </c>
      <c r="BG23" s="101"/>
    </row>
    <row r="24" spans="1:59" s="96" customFormat="1" x14ac:dyDescent="0.25">
      <c r="A24" s="177" t="s">
        <v>85</v>
      </c>
      <c r="B24" s="107">
        <v>21</v>
      </c>
      <c r="C24" s="87">
        <v>0.15223744</v>
      </c>
      <c r="D24" s="108">
        <f>C24/PROP_InOut!$E$8</f>
        <v>0.57081904761904767</v>
      </c>
      <c r="E24" s="88">
        <v>3.9618920000000002E-2</v>
      </c>
      <c r="F24" s="109">
        <f>E24*PROP_InOut!$G$8</f>
        <v>2.4843539022499997E-4</v>
      </c>
      <c r="G24" s="96">
        <f>PROP_InOut!$C$4</f>
        <v>19.55</v>
      </c>
      <c r="H24" s="110">
        <f>PROP_InOut!$C$8*'PROP_Table (2)'!C24</f>
        <v>76.522883696850712</v>
      </c>
      <c r="I24" s="111">
        <f t="shared" si="5"/>
        <v>78.98072061764023</v>
      </c>
      <c r="J24" s="112">
        <f>I24/PROP_InOut!$D$8</f>
        <v>0.22819110891889791</v>
      </c>
      <c r="K24" s="110">
        <f t="shared" si="6"/>
        <v>0.2501288092108736</v>
      </c>
      <c r="L24" s="111">
        <f t="shared" si="7"/>
        <v>14.331325102416049</v>
      </c>
      <c r="M24" s="90">
        <f t="shared" si="15"/>
        <v>5.7754861987082698E-2</v>
      </c>
      <c r="N24" s="90">
        <f t="shared" si="16"/>
        <v>3.3091098382203898</v>
      </c>
      <c r="O24" s="110">
        <f t="shared" si="8"/>
        <v>0.33239446538381606</v>
      </c>
      <c r="P24" s="87">
        <v>19.044799999999999</v>
      </c>
      <c r="Q24" s="110">
        <f t="shared" ref="Q24:Q41" si="30">RADIANS(R24)</f>
        <v>2.4510794185859747E-2</v>
      </c>
      <c r="R24" s="112">
        <f t="shared" si="10"/>
        <v>1.4043650593635602</v>
      </c>
      <c r="S24" s="127">
        <f t="shared" si="17"/>
        <v>4.6403166578133321</v>
      </c>
      <c r="T24" s="127">
        <f t="shared" si="18"/>
        <v>80.255362119474896</v>
      </c>
      <c r="U24" s="122">
        <v>4.640316650393518</v>
      </c>
      <c r="V24" s="122">
        <v>3.3091098382203898</v>
      </c>
      <c r="W24" s="123">
        <f t="shared" si="19"/>
        <v>1.4043650593635602</v>
      </c>
      <c r="X24" s="122">
        <f t="shared" si="20"/>
        <v>80.255362119474896</v>
      </c>
      <c r="Y24" s="128">
        <v>0.88619000000000003</v>
      </c>
      <c r="Z24" s="127">
        <v>1.1429999999999999E-2</v>
      </c>
      <c r="AA24" s="122">
        <f t="shared" si="21"/>
        <v>-4.210437225538044E-7</v>
      </c>
      <c r="AB24" s="122">
        <f t="shared" si="22"/>
        <v>56.745861203934361</v>
      </c>
      <c r="AC24" s="122">
        <f t="shared" si="23"/>
        <v>4.6403166578133321</v>
      </c>
      <c r="AD24" s="138">
        <f t="shared" si="24"/>
        <v>7.4198140964654158E-9</v>
      </c>
      <c r="AE24" s="122">
        <f t="shared" si="25"/>
        <v>5.7755094432211065E-2</v>
      </c>
      <c r="AF24" s="122">
        <f t="shared" si="26"/>
        <v>3.3091231563452137</v>
      </c>
      <c r="AG24" s="144">
        <v>0.20114873093987878</v>
      </c>
      <c r="AK24" s="50"/>
      <c r="AL24" s="50"/>
      <c r="AM24" s="50"/>
      <c r="AN24" s="131">
        <v>3.3091098382203898</v>
      </c>
      <c r="AO24" s="113">
        <f>PROP_InOut!$F$8*'PROP_Table (2)'!I24*'PROP_Table (2)'!E24</f>
        <v>202622.93420217279</v>
      </c>
      <c r="AP24" s="91">
        <f t="shared" si="27"/>
        <v>0.88619000000000003</v>
      </c>
      <c r="AQ24" s="91">
        <f t="shared" si="28"/>
        <v>1.1429999999999999E-2</v>
      </c>
      <c r="AR24" s="8">
        <f>0.5*PROP_InOut!$J$8*I24^2*E24*AP24*(C24-C23)</f>
        <v>0.92153095164412402</v>
      </c>
      <c r="AS24" s="8">
        <f>0.5*PROP_InOut!$J$8*I24^2*E24*AQ24*(C24-C23)</f>
        <v>1.1885824458967418E-2</v>
      </c>
      <c r="AT24" s="110">
        <f t="shared" si="0"/>
        <v>0.90305330269143602</v>
      </c>
      <c r="AU24" s="110">
        <f t="shared" si="1"/>
        <v>4.5678098650243464E-2</v>
      </c>
      <c r="AV24" s="95">
        <f t="shared" si="2"/>
        <v>22.960316663928754</v>
      </c>
      <c r="AW24" s="88">
        <f>PROP_InOut!$G$4/2*((PROP_InOut!$E$8-'PROP_Table (2)'!C24)/('PROP_Table (2)'!C24*SIN('PROP_Table (2)'!K24)))</f>
        <v>3.0375001825590426</v>
      </c>
      <c r="AX24" s="88">
        <f t="shared" si="11"/>
        <v>0.96945942922784389</v>
      </c>
      <c r="AY24" s="88">
        <f>PROP_InOut!$G$4/2*((C24-PROP_InOut!$J$12/2)/(C24*SIN('PROP_Table (2)'!K24)))</f>
        <v>3.6186586810062309</v>
      </c>
      <c r="AZ24" s="88">
        <f t="shared" si="12"/>
        <v>0.98292468595438842</v>
      </c>
      <c r="BA24" s="88">
        <f t="shared" si="13"/>
        <v>0.95290560501929911</v>
      </c>
      <c r="BB24" s="25">
        <f>0.5*PROP_InOut!$J$8*T24^2*E24*AP24*(C24-C23)</f>
        <v>0.95151548420094212</v>
      </c>
      <c r="BC24" s="25">
        <f>0.5*PROP_InOut!$J$8*T24^2*E24*AQ24*(C24-C23)</f>
        <v>1.2272562299751485E-2</v>
      </c>
      <c r="BD24" s="108">
        <f t="shared" si="3"/>
        <v>0.86052455376585912</v>
      </c>
      <c r="BE24" s="108">
        <f t="shared" si="4"/>
        <v>4.3526916230441477E-2</v>
      </c>
      <c r="BF24" s="88">
        <f t="shared" si="29"/>
        <v>21.879014442075725</v>
      </c>
    </row>
    <row r="25" spans="1:59" s="96" customFormat="1" x14ac:dyDescent="0.25">
      <c r="A25" s="177"/>
      <c r="B25" s="107">
        <v>22</v>
      </c>
      <c r="C25" s="87">
        <v>0.15931134</v>
      </c>
      <c r="D25" s="108">
        <f>C25/PROP_InOut!$E$8</f>
        <v>0.59734285714285718</v>
      </c>
      <c r="E25" s="88">
        <v>3.8252399999999999E-2</v>
      </c>
      <c r="F25" s="109">
        <f>E25*PROP_InOut!$G$8</f>
        <v>2.3986645574999998E-4</v>
      </c>
      <c r="G25" s="96">
        <f>PROP_InOut!$C$4</f>
        <v>19.55</v>
      </c>
      <c r="H25" s="110">
        <f>PROP_InOut!$C$8*'PROP_Table (2)'!C25</f>
        <v>80.078613660407314</v>
      </c>
      <c r="I25" s="111">
        <f t="shared" si="5"/>
        <v>82.430497182613024</v>
      </c>
      <c r="J25" s="112">
        <f>I25/PROP_InOut!$D$8</f>
        <v>0.23815820384697009</v>
      </c>
      <c r="K25" s="110">
        <f t="shared" si="6"/>
        <v>0.23945118150220221</v>
      </c>
      <c r="L25" s="111">
        <f t="shared" si="7"/>
        <v>13.719542099497234</v>
      </c>
      <c r="M25" s="90">
        <f t="shared" si="15"/>
        <v>5.5496407131441564E-2</v>
      </c>
      <c r="N25" s="90">
        <f t="shared" si="16"/>
        <v>3.179709906771325</v>
      </c>
      <c r="O25" s="110">
        <f t="shared" si="8"/>
        <v>0.31863428956109274</v>
      </c>
      <c r="P25" s="87">
        <v>18.256399999999999</v>
      </c>
      <c r="Q25" s="110">
        <f t="shared" si="30"/>
        <v>2.3686700927448994E-2</v>
      </c>
      <c r="R25" s="112">
        <f t="shared" si="10"/>
        <v>1.3571479937314401</v>
      </c>
      <c r="S25" s="127">
        <f t="shared" si="17"/>
        <v>4.6516851953292875</v>
      </c>
      <c r="T25" s="127">
        <f t="shared" si="18"/>
        <v>83.652457837153236</v>
      </c>
      <c r="U25" s="122">
        <f>U24+(U26-U24)*((C25-C24)/(C26-C24))</f>
        <v>4.6398601985197025</v>
      </c>
      <c r="V25" s="122">
        <f>V24+(V26-V24)*((C25-C24)/(C26-C24))</f>
        <v>3.179709906771325</v>
      </c>
      <c r="W25" s="123">
        <f t="shared" si="19"/>
        <v>1.3571479937314401</v>
      </c>
      <c r="X25" s="122">
        <f t="shared" si="20"/>
        <v>83.652457837153236</v>
      </c>
      <c r="Y25" s="122">
        <f>Y24+(Y26-Y24)*((C25-C24)/(C26-C24))</f>
        <v>0.88288</v>
      </c>
      <c r="Z25" s="122">
        <f>Z24+(Z26-Z24)*((C25-C24)/(C26-C24))</f>
        <v>1.115E-2</v>
      </c>
      <c r="AA25" s="122">
        <f t="shared" si="21"/>
        <v>-0.72843077061682493</v>
      </c>
      <c r="AB25" s="122">
        <f t="shared" si="22"/>
        <v>61.600927454491391</v>
      </c>
      <c r="AC25" s="122">
        <f t="shared" si="23"/>
        <v>4.6516851953292875</v>
      </c>
      <c r="AD25" s="138">
        <f t="shared" si="24"/>
        <v>1.1824996809584931E-2</v>
      </c>
      <c r="AE25" s="122">
        <f t="shared" si="25"/>
        <v>5.5550065023753016E-2</v>
      </c>
      <c r="AF25" s="122">
        <f t="shared" si="26"/>
        <v>3.1827842775383388</v>
      </c>
      <c r="AG25" s="144">
        <v>0.20987985179996124</v>
      </c>
      <c r="AH25" s="50"/>
      <c r="AI25" s="50"/>
      <c r="AJ25" s="50"/>
      <c r="AK25" s="50"/>
      <c r="AL25" s="50"/>
      <c r="AM25" s="50"/>
      <c r="AN25" s="131"/>
      <c r="AO25" s="113">
        <f>PROP_InOut!$F$8*'PROP_Table (2)'!I25*'PROP_Table (2)'!E25</f>
        <v>204179.19319668133</v>
      </c>
      <c r="AP25" s="91">
        <f t="shared" si="27"/>
        <v>0.88288</v>
      </c>
      <c r="AQ25" s="91">
        <f t="shared" si="28"/>
        <v>1.115E-2</v>
      </c>
      <c r="AR25" s="8">
        <f>0.5*PROP_InOut!$J$8*I25^2*E25*AP25*(C25-C24)</f>
        <v>0.96554933923100605</v>
      </c>
      <c r="AS25" s="8">
        <f>0.5*PROP_InOut!$J$8*I25^2*E25*AQ25*(C25-C24)</f>
        <v>1.2194041242780125E-2</v>
      </c>
      <c r="AT25" s="110">
        <f t="shared" si="0"/>
        <v>0.94779753548717405</v>
      </c>
      <c r="AU25" s="110">
        <f t="shared" si="1"/>
        <v>4.7964569158681726E-2</v>
      </c>
      <c r="AV25" s="95">
        <f t="shared" si="2"/>
        <v>24.109622096242251</v>
      </c>
      <c r="AW25" s="88">
        <f>PROP_InOut!$G$4/2*((PROP_InOut!$E$8-'PROP_Table (2)'!C25)/('PROP_Table (2)'!C25*SIN('PROP_Table (2)'!K25)))</f>
        <v>2.8421885810821088</v>
      </c>
      <c r="AX25" s="88">
        <f t="shared" si="11"/>
        <v>0.96286532603405339</v>
      </c>
      <c r="AY25" s="88">
        <f>PROP_InOut!$G$4/2*((C25-PROP_InOut!$J$12/2)/(C25*SIN('PROP_Table (2)'!K25)))</f>
        <v>3.7962400095150728</v>
      </c>
      <c r="AZ25" s="88">
        <f t="shared" si="12"/>
        <v>0.98570347332523645</v>
      </c>
      <c r="BA25" s="88">
        <f t="shared" si="13"/>
        <v>0.9490996962162026</v>
      </c>
      <c r="BB25" s="25">
        <f>0.5*PROP_InOut!$J$8*T25^2*E25*AP25*(C25-C24)</f>
        <v>0.9943883871186191</v>
      </c>
      <c r="BC25" s="25">
        <f>0.5*PROP_InOut!$J$8*T25^2*E25*AQ25*(C25-C24)</f>
        <v>1.2558253122024061E-2</v>
      </c>
      <c r="BD25" s="108">
        <f t="shared" si="3"/>
        <v>0.89955435300534237</v>
      </c>
      <c r="BE25" s="108">
        <f t="shared" si="4"/>
        <v>4.5523158017645865E-2</v>
      </c>
      <c r="BF25" s="88">
        <f t="shared" si="29"/>
        <v>22.882435007430967</v>
      </c>
    </row>
    <row r="26" spans="1:59" s="96" customFormat="1" x14ac:dyDescent="0.25">
      <c r="A26" s="177"/>
      <c r="B26" s="107">
        <v>23</v>
      </c>
      <c r="C26" s="87">
        <v>0.16638523999999999</v>
      </c>
      <c r="D26" s="108">
        <f>C26/PROP_InOut!$E$8</f>
        <v>0.62386666666666668</v>
      </c>
      <c r="E26" s="88">
        <v>3.6769039999999996E-2</v>
      </c>
      <c r="F26" s="109">
        <f>E26*PROP_InOut!$G$8</f>
        <v>2.3056486144999995E-4</v>
      </c>
      <c r="G26" s="96">
        <f>PROP_InOut!$C$4</f>
        <v>19.55</v>
      </c>
      <c r="H26" s="110">
        <f>PROP_InOut!$C$8*'PROP_Table (2)'!C26</f>
        <v>83.634343623963929</v>
      </c>
      <c r="I26" s="111">
        <f t="shared" si="5"/>
        <v>85.888916243082704</v>
      </c>
      <c r="J26" s="112">
        <f>I26/PROP_InOut!$D$8</f>
        <v>0.24815026867422577</v>
      </c>
      <c r="K26" s="110">
        <f t="shared" si="6"/>
        <v>0.22963240285686118</v>
      </c>
      <c r="L26" s="111">
        <f t="shared" si="7"/>
        <v>13.156967523146013</v>
      </c>
      <c r="M26" s="90">
        <f t="shared" si="15"/>
        <v>5.3237952275800422E-2</v>
      </c>
      <c r="N26" s="90">
        <f t="shared" si="16"/>
        <v>3.0503099753222602</v>
      </c>
      <c r="O26" s="110">
        <f t="shared" si="8"/>
        <v>0.30593352859433004</v>
      </c>
      <c r="P26" s="87">
        <v>17.528700000000001</v>
      </c>
      <c r="Q26" s="110">
        <f t="shared" si="30"/>
        <v>2.3063173461668446E-2</v>
      </c>
      <c r="R26" s="112">
        <f t="shared" si="10"/>
        <v>1.3214225015317269</v>
      </c>
      <c r="S26" s="127">
        <f t="shared" si="17"/>
        <v>4.6394037474830112</v>
      </c>
      <c r="T26" s="127">
        <f t="shared" si="18"/>
        <v>87.06222307654177</v>
      </c>
      <c r="U26" s="122">
        <v>4.6394037466458879</v>
      </c>
      <c r="V26" s="122">
        <v>3.0503099753222602</v>
      </c>
      <c r="W26" s="123">
        <f t="shared" si="19"/>
        <v>1.3214225015317269</v>
      </c>
      <c r="X26" s="122">
        <f t="shared" si="20"/>
        <v>87.06222307654177</v>
      </c>
      <c r="Y26" s="128">
        <v>0.87956999999999996</v>
      </c>
      <c r="Z26" s="127">
        <v>1.0869999999999999E-2</v>
      </c>
      <c r="AA26" s="122">
        <f t="shared" si="21"/>
        <v>-5.6060628139675828E-8</v>
      </c>
      <c r="AB26" s="122">
        <f t="shared" si="22"/>
        <v>66.968203028130134</v>
      </c>
      <c r="AC26" s="122">
        <f t="shared" si="23"/>
        <v>4.6394037474830112</v>
      </c>
      <c r="AD26" s="138">
        <f t="shared" si="24"/>
        <v>8.3712325960050293E-10</v>
      </c>
      <c r="AE26" s="122">
        <f t="shared" si="25"/>
        <v>5.3238013260140833E-2</v>
      </c>
      <c r="AF26" s="122">
        <f t="shared" si="26"/>
        <v>3.0503134694675822</v>
      </c>
      <c r="AG26" s="144">
        <v>0.2186402976193545</v>
      </c>
      <c r="AH26" s="50"/>
      <c r="AN26" s="131">
        <v>3.0503099753222602</v>
      </c>
      <c r="AO26" s="113">
        <f>PROP_InOut!$F$8*'PROP_Table (2)'!I26*'PROP_Table (2)'!E26</f>
        <v>204495.75135262034</v>
      </c>
      <c r="AP26" s="91">
        <f t="shared" si="27"/>
        <v>0.87956999999999996</v>
      </c>
      <c r="AQ26" s="91">
        <f t="shared" si="28"/>
        <v>1.0869999999999999E-2</v>
      </c>
      <c r="AR26" s="8">
        <f>0.5*PROP_InOut!$J$8*I26^2*E26*AP26*(C26-C25)</f>
        <v>1.0038416478202619</v>
      </c>
      <c r="AS26" s="8">
        <f>0.5*PROP_InOut!$J$8*I26^2*E26*AQ26*(C26-C25)</f>
        <v>1.2405787727874127E-2</v>
      </c>
      <c r="AT26" s="110">
        <f t="shared" si="0"/>
        <v>0.98690571567007246</v>
      </c>
      <c r="AU26" s="110">
        <f t="shared" si="1"/>
        <v>4.9937727485211074E-2</v>
      </c>
      <c r="AV26" s="95">
        <f t="shared" si="2"/>
        <v>25.101439648721311</v>
      </c>
      <c r="AW26" s="88">
        <f>PROP_InOut!$G$4/2*((PROP_InOut!$E$8-'PROP_Table (2)'!C26)/('PROP_Table (2)'!C26*SIN('PROP_Table (2)'!K26)))</f>
        <v>2.6487465376587269</v>
      </c>
      <c r="AX26" s="88">
        <f t="shared" si="11"/>
        <v>0.95492798287446756</v>
      </c>
      <c r="AY26" s="88">
        <f>PROP_InOut!$G$4/2*((C26-PROP_InOut!$J$12/2)/(C26*SIN('PROP_Table (2)'!K26)))</f>
        <v>3.9741258124146834</v>
      </c>
      <c r="AZ26" s="88">
        <f t="shared" si="12"/>
        <v>0.9880335649822789</v>
      </c>
      <c r="BA26" s="88">
        <f t="shared" si="13"/>
        <v>0.94350089922079672</v>
      </c>
      <c r="BB26" s="25">
        <f>0.5*PROP_InOut!$J$8*T26^2*E26*AP26*(C26-C25)</f>
        <v>1.0314554361611228</v>
      </c>
      <c r="BC26" s="25">
        <f>0.5*PROP_InOut!$J$8*T26^2*E26*AQ26*(C26-C25)</f>
        <v>1.2747047524439675E-2</v>
      </c>
      <c r="BD26" s="108">
        <f t="shared" si="3"/>
        <v>0.9311464301808573</v>
      </c>
      <c r="BE26" s="108">
        <f t="shared" si="4"/>
        <v>4.7116290787339747E-2</v>
      </c>
      <c r="BF26" s="88">
        <f t="shared" si="29"/>
        <v>23.683230880305118</v>
      </c>
    </row>
    <row r="27" spans="1:59" s="96" customFormat="1" ht="18" customHeight="1" x14ac:dyDescent="0.25">
      <c r="A27" s="177"/>
      <c r="B27" s="107">
        <v>24</v>
      </c>
      <c r="C27" s="87">
        <v>0.17345914000000001</v>
      </c>
      <c r="D27" s="108">
        <f>C27/PROP_InOut!$E$8</f>
        <v>0.6503904761904763</v>
      </c>
      <c r="E27" s="88">
        <v>3.5186619999999995E-2</v>
      </c>
      <c r="F27" s="109">
        <f>E27*PROP_InOut!$G$8</f>
        <v>2.2064209903749994E-4</v>
      </c>
      <c r="G27" s="96">
        <f>PROP_InOut!$C$4</f>
        <v>19.55</v>
      </c>
      <c r="H27" s="110">
        <f>PROP_InOut!$C$8*'PROP_Table (2)'!C27</f>
        <v>87.190073587520558</v>
      </c>
      <c r="I27" s="111">
        <f t="shared" si="5"/>
        <v>89.35497430024391</v>
      </c>
      <c r="J27" s="112">
        <f>I27/PROP_InOut!$D$8</f>
        <v>0.25816440409177782</v>
      </c>
      <c r="K27" s="110">
        <f t="shared" si="6"/>
        <v>0.22057454262890183</v>
      </c>
      <c r="L27" s="111">
        <f t="shared" si="7"/>
        <v>12.637990360664537</v>
      </c>
      <c r="M27" s="90">
        <f t="shared" si="15"/>
        <v>5.095661564964582E-2</v>
      </c>
      <c r="N27" s="90">
        <f t="shared" si="16"/>
        <v>2.9195990149949869</v>
      </c>
      <c r="O27" s="110">
        <f t="shared" si="8"/>
        <v>0.29417873608214823</v>
      </c>
      <c r="P27" s="87">
        <v>16.8552</v>
      </c>
      <c r="Q27" s="110">
        <f t="shared" si="30"/>
        <v>2.2647577803600584E-2</v>
      </c>
      <c r="R27" s="112">
        <f t="shared" si="10"/>
        <v>1.2976106243404764</v>
      </c>
      <c r="S27" s="127">
        <f t="shared" si="17"/>
        <v>4.6179576594957208</v>
      </c>
      <c r="T27" s="127">
        <f t="shared" si="18"/>
        <v>90.474626374665945</v>
      </c>
      <c r="U27" s="122">
        <f>U26+(U28-U26)*((C27-C26)/(C28-C26))</f>
        <v>4.6067606569702892</v>
      </c>
      <c r="V27" s="122">
        <f>V26+(V28-V26)*((C27-C26)/(C28-C26))</f>
        <v>2.9195990149949869</v>
      </c>
      <c r="W27" s="123">
        <f t="shared" si="19"/>
        <v>1.2976106243404764</v>
      </c>
      <c r="X27" s="122">
        <f t="shared" si="20"/>
        <v>90.474626374665945</v>
      </c>
      <c r="Y27" s="122">
        <f>Y26+(Y28-Y26)*((C27-C26)/(C28-C26))</f>
        <v>0.87939499999999993</v>
      </c>
      <c r="Z27" s="122">
        <f>Z26+(Z28-Z26)*((C27-C26)/(C28-C26))</f>
        <v>1.074E-2</v>
      </c>
      <c r="AA27" s="122">
        <f t="shared" si="21"/>
        <v>-0.81728583798877708</v>
      </c>
      <c r="AB27" s="122">
        <f t="shared" si="22"/>
        <v>72.991484652478761</v>
      </c>
      <c r="AC27" s="122">
        <f t="shared" si="23"/>
        <v>4.6179576594957208</v>
      </c>
      <c r="AD27" s="138">
        <f t="shared" si="24"/>
        <v>1.1197002525431543E-2</v>
      </c>
      <c r="AE27" s="122">
        <f t="shared" si="25"/>
        <v>5.0997211247669524E-2</v>
      </c>
      <c r="AF27" s="122">
        <f t="shared" si="26"/>
        <v>2.9219249714285551</v>
      </c>
      <c r="AG27" s="145">
        <v>0.22742327997316811</v>
      </c>
      <c r="AM27" s="50"/>
      <c r="AN27" s="131"/>
      <c r="AO27" s="113">
        <f>PROP_InOut!$F$8*'PROP_Table (2)'!I27*'PROP_Table (2)'!E27</f>
        <v>203592.21187543828</v>
      </c>
      <c r="AP27" s="91">
        <f t="shared" si="27"/>
        <v>0.87939499999999993</v>
      </c>
      <c r="AQ27" s="91">
        <f t="shared" si="28"/>
        <v>1.074E-2</v>
      </c>
      <c r="AR27" s="8">
        <f>0.5*PROP_InOut!$J$8*I27^2*E27*AP27*(C27-C26)</f>
        <v>1.0395305964100676</v>
      </c>
      <c r="AS27" s="8">
        <f>0.5*PROP_InOut!$J$8*I27^2*E27*AQ27*(C27-C26)</f>
        <v>1.2695726727402505E-2</v>
      </c>
      <c r="AT27" s="110">
        <f t="shared" si="0"/>
        <v>1.0232068404889663</v>
      </c>
      <c r="AU27" s="110">
        <f t="shared" si="1"/>
        <v>5.1756587735980866E-2</v>
      </c>
      <c r="AV27" s="95">
        <f t="shared" si="2"/>
        <v>26.015698528997294</v>
      </c>
      <c r="AW27" s="88">
        <f>PROP_InOut!$G$4/2*((PROP_InOut!$E$8-'PROP_Table (2)'!C27)/('PROP_Table (2)'!C27*SIN('PROP_Table (2)'!K27)))</f>
        <v>2.4568636463520193</v>
      </c>
      <c r="AX27" s="88">
        <f t="shared" si="11"/>
        <v>0.94537255487821836</v>
      </c>
      <c r="AY27" s="88">
        <f>PROP_InOut!$G$4/2*((C27-PROP_InOut!$J$12/2)/(C27*SIN('PROP_Table (2)'!K27)))</f>
        <v>4.1522862917356962</v>
      </c>
      <c r="AZ27" s="88">
        <f t="shared" si="12"/>
        <v>0.98998656675333729</v>
      </c>
      <c r="BA27" s="88">
        <f t="shared" si="13"/>
        <v>0.9359061299067184</v>
      </c>
      <c r="BB27" s="25">
        <f>0.5*PROP_InOut!$J$8*T27^2*E27*AP27*(C27-C26)</f>
        <v>1.0657452472065798</v>
      </c>
      <c r="BC27" s="25">
        <f>0.5*PROP_InOut!$J$8*T27^2*E27*AQ27*(C27-C26)</f>
        <v>1.3015884733252598E-2</v>
      </c>
      <c r="BD27" s="108">
        <f t="shared" si="3"/>
        <v>0.95762555417610939</v>
      </c>
      <c r="BE27" s="108">
        <f t="shared" si="4"/>
        <v>4.8439307725159378E-2</v>
      </c>
      <c r="BF27" s="88">
        <f t="shared" si="29"/>
        <v>24.348251727093764</v>
      </c>
    </row>
    <row r="28" spans="1:59" s="96" customFormat="1" x14ac:dyDescent="0.25">
      <c r="A28" s="177"/>
      <c r="B28" s="107">
        <v>25</v>
      </c>
      <c r="C28" s="87">
        <v>0.18053303999999998</v>
      </c>
      <c r="D28" s="108">
        <f>C28/PROP_InOut!$E$8</f>
        <v>0.67691428571428569</v>
      </c>
      <c r="E28" s="88">
        <v>3.3522919999999998E-2</v>
      </c>
      <c r="F28" s="109">
        <f>E28*PROP_InOut!$G$8</f>
        <v>2.1020966022499996E-4</v>
      </c>
      <c r="G28" s="96">
        <f>PROP_InOut!$C$4</f>
        <v>19.55</v>
      </c>
      <c r="H28" s="110">
        <f>PROP_InOut!$C$8*'PROP_Table (2)'!C28</f>
        <v>90.745803551077145</v>
      </c>
      <c r="I28" s="111">
        <f t="shared" si="5"/>
        <v>92.827815670361886</v>
      </c>
      <c r="J28" s="112">
        <f>I28/PROP_InOut!$D$8</f>
        <v>0.26819813785806168</v>
      </c>
      <c r="K28" s="110">
        <f t="shared" si="6"/>
        <v>0.21219377591747959</v>
      </c>
      <c r="L28" s="111">
        <f t="shared" si="7"/>
        <v>12.157807799016309</v>
      </c>
      <c r="M28" s="90">
        <f t="shared" si="15"/>
        <v>4.8675279023491239E-2</v>
      </c>
      <c r="N28" s="90">
        <f t="shared" si="16"/>
        <v>2.7888880546677148</v>
      </c>
      <c r="O28" s="110">
        <f t="shared" si="8"/>
        <v>0.28326868292793167</v>
      </c>
      <c r="P28" s="87">
        <v>16.2301</v>
      </c>
      <c r="Q28" s="110">
        <f t="shared" si="30"/>
        <v>2.2399627986960838E-2</v>
      </c>
      <c r="R28" s="112">
        <f t="shared" si="10"/>
        <v>1.2834041463159762</v>
      </c>
      <c r="S28" s="127">
        <f t="shared" si="17"/>
        <v>4.5741175705415706</v>
      </c>
      <c r="T28" s="127">
        <f t="shared" si="18"/>
        <v>93.897677876139952</v>
      </c>
      <c r="U28" s="122">
        <v>4.5741175672946905</v>
      </c>
      <c r="V28" s="122">
        <v>2.7888880546677148</v>
      </c>
      <c r="W28" s="123">
        <f t="shared" si="19"/>
        <v>1.2834041463159762</v>
      </c>
      <c r="X28" s="122">
        <f t="shared" si="20"/>
        <v>93.897677876139952</v>
      </c>
      <c r="Y28" s="128">
        <v>0.87922</v>
      </c>
      <c r="Z28" s="127">
        <v>1.061E-2</v>
      </c>
      <c r="AA28" s="122">
        <f t="shared" si="21"/>
        <v>-2.5877750431391178E-7</v>
      </c>
      <c r="AB28" s="122">
        <f t="shared" si="22"/>
        <v>79.700357176418962</v>
      </c>
      <c r="AC28" s="122">
        <f t="shared" si="23"/>
        <v>4.5741175705415706</v>
      </c>
      <c r="AD28" s="138">
        <f t="shared" si="24"/>
        <v>3.2468800981177992E-9</v>
      </c>
      <c r="AE28" s="122">
        <f t="shared" si="25"/>
        <v>4.8675373340950873E-2</v>
      </c>
      <c r="AF28" s="122">
        <f t="shared" si="26"/>
        <v>2.7888934586600866</v>
      </c>
      <c r="AG28" s="144">
        <v>0.23623269586523635</v>
      </c>
      <c r="AH28" s="50"/>
      <c r="AI28" s="50"/>
      <c r="AJ28" s="50"/>
      <c r="AK28" s="50"/>
      <c r="AL28" s="50"/>
      <c r="AM28" s="50"/>
      <c r="AN28" s="131">
        <v>2.7888880546677148</v>
      </c>
      <c r="AO28" s="113">
        <f>PROP_InOut!$F$8*'PROP_Table (2)'!I28*'PROP_Table (2)'!E28</f>
        <v>201504.54555486509</v>
      </c>
      <c r="AP28" s="91">
        <f t="shared" si="27"/>
        <v>0.87922</v>
      </c>
      <c r="AQ28" s="91">
        <f t="shared" si="28"/>
        <v>1.061E-2</v>
      </c>
      <c r="AR28" s="8">
        <f>0.5*PROP_InOut!$J$8*I28^2*E28*AP28*(C28-C27)</f>
        <v>1.0686461530770832</v>
      </c>
      <c r="AS28" s="8">
        <f>0.5*PROP_InOut!$J$8*I28^2*E28*AQ28*(C28-C27)</f>
        <v>1.2895902827674362E-2</v>
      </c>
      <c r="AT28" s="110">
        <f t="shared" si="0"/>
        <v>1.053023080693706</v>
      </c>
      <c r="AU28" s="110">
        <f t="shared" si="1"/>
        <v>5.3214620327490379E-2</v>
      </c>
      <c r="AV28" s="95">
        <f t="shared" si="2"/>
        <v>26.748585645506214</v>
      </c>
      <c r="AW28" s="88">
        <f>PROP_InOut!$G$4/2*((PROP_InOut!$E$8-'PROP_Table (2)'!C28)/('PROP_Table (2)'!C28*SIN('PROP_Table (2)'!K28)))</f>
        <v>2.2662898061362351</v>
      </c>
      <c r="AX28" s="88">
        <f t="shared" si="11"/>
        <v>0.93386606353829316</v>
      </c>
      <c r="AY28" s="88">
        <f>PROP_InOut!$G$4/2*((C28-PROP_InOut!$J$12/2)/(C28*SIN('PROP_Table (2)'!K28)))</f>
        <v>4.3306951707519019</v>
      </c>
      <c r="AZ28" s="88">
        <f t="shared" si="12"/>
        <v>0.99162286255880339</v>
      </c>
      <c r="BA28" s="88">
        <f t="shared" si="13"/>
        <v>0.92604293917236358</v>
      </c>
      <c r="BB28" s="25">
        <f>0.5*PROP_InOut!$J$8*T28^2*E28*AP28*(C28-C27)</f>
        <v>1.0934208942573718</v>
      </c>
      <c r="BC28" s="25">
        <f>0.5*PROP_InOut!$J$8*T28^2*E28*AQ28*(C28-C27)</f>
        <v>1.3194872373320345E-2</v>
      </c>
      <c r="BD28" s="108">
        <f t="shared" si="3"/>
        <v>0.97514458866193643</v>
      </c>
      <c r="BE28" s="108">
        <f t="shared" si="4"/>
        <v>4.9279023415010594E-2</v>
      </c>
      <c r="BF28" s="88">
        <f t="shared" si="29"/>
        <v>24.770338869868269</v>
      </c>
    </row>
    <row r="29" spans="1:59" s="96" customFormat="1" x14ac:dyDescent="0.25">
      <c r="A29" s="177"/>
      <c r="B29" s="107">
        <v>26</v>
      </c>
      <c r="C29" s="87">
        <v>0.18760694</v>
      </c>
      <c r="D29" s="108">
        <f>C29/PROP_InOut!$E$8</f>
        <v>0.70343809523809531</v>
      </c>
      <c r="E29" s="88">
        <v>3.179572E-2</v>
      </c>
      <c r="F29" s="109">
        <f>E29*PROP_InOut!$G$8</f>
        <v>1.9937903672499998E-4</v>
      </c>
      <c r="G29" s="96">
        <f>PROP_InOut!$C$4</f>
        <v>19.55</v>
      </c>
      <c r="H29" s="110">
        <f>PROP_InOut!$C$8*'PROP_Table (2)'!C29</f>
        <v>94.301533514633775</v>
      </c>
      <c r="I29" s="111">
        <f t="shared" si="5"/>
        <v>96.306706532886878</v>
      </c>
      <c r="J29" s="112">
        <f>I29/PROP_InOut!$D$8</f>
        <v>0.27824934981864352</v>
      </c>
      <c r="K29" s="110">
        <f t="shared" si="6"/>
        <v>0.2044179729526055</v>
      </c>
      <c r="L29" s="111">
        <f t="shared" si="7"/>
        <v>11.712287106803711</v>
      </c>
      <c r="M29" s="90">
        <f t="shared" si="15"/>
        <v>4.6348969380553738E-2</v>
      </c>
      <c r="N29" s="90">
        <f t="shared" si="16"/>
        <v>2.6556003302868105</v>
      </c>
      <c r="O29" s="110">
        <f t="shared" si="8"/>
        <v>0.27312133865683663</v>
      </c>
      <c r="P29" s="87">
        <v>15.6487</v>
      </c>
      <c r="Q29" s="110">
        <f t="shared" si="30"/>
        <v>2.2354396323677406E-2</v>
      </c>
      <c r="R29" s="112">
        <f t="shared" si="10"/>
        <v>1.2808125629094786</v>
      </c>
      <c r="S29" s="127">
        <f t="shared" si="17"/>
        <v>4.5162240040391728</v>
      </c>
      <c r="T29" s="127">
        <f t="shared" si="18"/>
        <v>97.321537055892989</v>
      </c>
      <c r="U29" s="122">
        <f>U28+(U30-U28)*((C29-C28)/(C30-C28))</f>
        <v>4.5062331155556254</v>
      </c>
      <c r="V29" s="122">
        <f>V28+(V30-V28)*((C29-C28)/(C30-C28))</f>
        <v>2.6556003302868105</v>
      </c>
      <c r="W29" s="123">
        <f t="shared" si="19"/>
        <v>1.2808125629094786</v>
      </c>
      <c r="X29" s="122">
        <f t="shared" si="20"/>
        <v>97.321537055892989</v>
      </c>
      <c r="Y29" s="122">
        <f>Y28+(Y30-Y28)*((C29-C28)/(C30-C28))</f>
        <v>0.88080971459343027</v>
      </c>
      <c r="Z29" s="122">
        <f>Z28+(Z30-Z28)*((C29-C28)/(C30-C28))</f>
        <v>1.068998563992102E-2</v>
      </c>
      <c r="AA29" s="122">
        <f t="shared" si="21"/>
        <v>-0.87184713577312323</v>
      </c>
      <c r="AB29" s="122">
        <f t="shared" si="22"/>
        <v>87.264224519055432</v>
      </c>
      <c r="AC29" s="122">
        <f t="shared" si="23"/>
        <v>4.5162240040391728</v>
      </c>
      <c r="AD29" s="138">
        <f t="shared" si="24"/>
        <v>9.9908884835473444E-3</v>
      </c>
      <c r="AE29" s="122">
        <f t="shared" si="25"/>
        <v>4.6371918437041235E-2</v>
      </c>
      <c r="AF29" s="122">
        <f t="shared" si="26"/>
        <v>2.6569152143673516</v>
      </c>
      <c r="AG29" s="144">
        <v>0.24506267001813392</v>
      </c>
      <c r="AH29" s="50"/>
      <c r="AI29" s="50"/>
      <c r="AJ29" s="50"/>
      <c r="AK29" s="50"/>
      <c r="AL29" s="50"/>
      <c r="AM29" s="50"/>
      <c r="AN29" s="131"/>
      <c r="AO29" s="113">
        <f>PROP_InOut!$F$8*'PROP_Table (2)'!I29*'PROP_Table (2)'!E29</f>
        <v>198285.09543803474</v>
      </c>
      <c r="AP29" s="91">
        <f t="shared" si="27"/>
        <v>0.88080971459343027</v>
      </c>
      <c r="AQ29" s="91">
        <f t="shared" si="28"/>
        <v>1.068998563992102E-2</v>
      </c>
      <c r="AR29" s="8">
        <f>0.5*PROP_InOut!$J$8*I29^2*E29*AP29*(C29-C28)</f>
        <v>1.0929545119787929</v>
      </c>
      <c r="AS29" s="8">
        <f>0.5*PROP_InOut!$J$8*I29^2*E29*AQ29*(C29-C28)</f>
        <v>1.326469025552608E-2</v>
      </c>
      <c r="AT29" s="110">
        <f t="shared" si="0"/>
        <v>1.0778392817582509</v>
      </c>
      <c r="AU29" s="110">
        <f t="shared" si="1"/>
        <v>5.4421271784625948E-2</v>
      </c>
      <c r="AV29" s="95">
        <f t="shared" si="2"/>
        <v>27.3551148220151</v>
      </c>
      <c r="AW29" s="88">
        <f>PROP_InOut!$G$4/2*((PROP_InOut!$E$8-'PROP_Table (2)'!C29)/('PROP_Table (2)'!C29*SIN('PROP_Table (2)'!K29)))</f>
        <v>2.0768218665298721</v>
      </c>
      <c r="AX29" s="88">
        <f t="shared" si="11"/>
        <v>0.92000342969750759</v>
      </c>
      <c r="AY29" s="88">
        <f>PROP_InOut!$G$4/2*((C29-PROP_InOut!$J$12/2)/(C29*SIN('PROP_Table (2)'!K29)))</f>
        <v>4.5093292404364691</v>
      </c>
      <c r="AZ29" s="88">
        <f t="shared" si="12"/>
        <v>0.99299332320548506</v>
      </c>
      <c r="BA29" s="88">
        <f t="shared" si="13"/>
        <v>0.91355726301577189</v>
      </c>
      <c r="BB29" s="25">
        <f>0.5*PROP_InOut!$J$8*T29^2*E29*AP29*(C29-C28)</f>
        <v>1.1161098567480541</v>
      </c>
      <c r="BC29" s="25">
        <f>0.5*PROP_InOut!$J$8*T29^2*E29*AQ29*(C29-C28)</f>
        <v>1.3545716110452166E-2</v>
      </c>
      <c r="BD29" s="108">
        <f t="shared" si="3"/>
        <v>0.98466790421395312</v>
      </c>
      <c r="BE29" s="108">
        <f t="shared" si="4"/>
        <v>4.9716948101400329E-2</v>
      </c>
      <c r="BF29" s="88">
        <f t="shared" si="29"/>
        <v>24.990463826282287</v>
      </c>
    </row>
    <row r="30" spans="1:59" s="96" customFormat="1" x14ac:dyDescent="0.25">
      <c r="A30" s="177"/>
      <c r="B30" s="107">
        <v>27</v>
      </c>
      <c r="C30" s="87">
        <v>0.19468337999999999</v>
      </c>
      <c r="D30" s="108">
        <f>C30/PROP_InOut!$E$8</f>
        <v>0.7299714285714286</v>
      </c>
      <c r="E30" s="88">
        <v>3.0027879999999996E-2</v>
      </c>
      <c r="F30" s="109">
        <f>E30*PROP_InOut!$G$8</f>
        <v>1.8829357502499997E-4</v>
      </c>
      <c r="G30" s="96">
        <f>PROP_InOut!$C$4</f>
        <v>19.55</v>
      </c>
      <c r="H30" s="110">
        <f>PROP_InOut!$C$8*'PROP_Table (2)'!C30</f>
        <v>97.858540221444798</v>
      </c>
      <c r="I30" s="111">
        <f t="shared" si="5"/>
        <v>99.792266204712121</v>
      </c>
      <c r="J30" s="112">
        <f>I30/PROP_InOut!$D$8</f>
        <v>0.28831982930397687</v>
      </c>
      <c r="K30" s="110">
        <f t="shared" si="6"/>
        <v>0.19718225184809079</v>
      </c>
      <c r="L30" s="111">
        <f t="shared" si="7"/>
        <v>11.29771082578128</v>
      </c>
      <c r="M30" s="90">
        <f t="shared" si="15"/>
        <v>4.402182443792399E-2</v>
      </c>
      <c r="N30" s="90">
        <f t="shared" si="16"/>
        <v>2.5222647467589119</v>
      </c>
      <c r="O30" s="110">
        <f t="shared" si="8"/>
        <v>0.26365816345252341</v>
      </c>
      <c r="P30" s="87">
        <v>15.1065</v>
      </c>
      <c r="Q30" s="110">
        <f t="shared" si="30"/>
        <v>2.2454087166508607E-2</v>
      </c>
      <c r="R30" s="112">
        <f t="shared" si="10"/>
        <v>1.2865244274598084</v>
      </c>
      <c r="S30" s="127">
        <f t="shared" si="17"/>
        <v>4.4383242890762142</v>
      </c>
      <c r="T30" s="127">
        <f t="shared" si="18"/>
        <v>100.75581172545945</v>
      </c>
      <c r="U30" s="122">
        <v>4.4383242887890058</v>
      </c>
      <c r="V30" s="122">
        <v>2.5222647467589119</v>
      </c>
      <c r="W30" s="123">
        <f t="shared" si="19"/>
        <v>1.2865244274598084</v>
      </c>
      <c r="X30" s="122">
        <f t="shared" si="20"/>
        <v>100.75581172545945</v>
      </c>
      <c r="Y30" s="128">
        <v>0.88239999999999996</v>
      </c>
      <c r="Z30" s="127">
        <v>1.077E-2</v>
      </c>
      <c r="AA30" s="122">
        <f t="shared" si="21"/>
        <v>-2.7496753318700939E-8</v>
      </c>
      <c r="AB30" s="122">
        <f t="shared" si="22"/>
        <v>95.738004367818547</v>
      </c>
      <c r="AC30" s="122">
        <f t="shared" si="23"/>
        <v>4.4383242890762142</v>
      </c>
      <c r="AD30" s="138">
        <f t="shared" si="24"/>
        <v>2.872084792215901E-10</v>
      </c>
      <c r="AE30" s="122">
        <f t="shared" si="25"/>
        <v>4.4021846473347878E-2</v>
      </c>
      <c r="AF30" s="122">
        <f t="shared" si="26"/>
        <v>2.5222660092957008</v>
      </c>
      <c r="AG30" s="144">
        <v>0.2539076353331573</v>
      </c>
      <c r="AH30" s="50"/>
      <c r="AI30" s="50"/>
      <c r="AJ30" s="50"/>
      <c r="AK30" s="50"/>
      <c r="AL30" s="50"/>
      <c r="AM30" s="50"/>
      <c r="AN30" s="131">
        <v>2.5222647467589119</v>
      </c>
      <c r="AO30" s="113">
        <f>PROP_InOut!$F$8*'PROP_Table (2)'!I30*'PROP_Table (2)'!E30</f>
        <v>194037.84043416928</v>
      </c>
      <c r="AP30" s="91">
        <f t="shared" si="27"/>
        <v>0.88239999999999996</v>
      </c>
      <c r="AQ30" s="91">
        <f t="shared" si="28"/>
        <v>1.077E-2</v>
      </c>
      <c r="AR30" s="8">
        <f>0.5*PROP_InOut!$J$8*I30^2*E30*AP30*(C30-C29)</f>
        <v>1.1106522970799211</v>
      </c>
      <c r="AS30" s="8">
        <f>0.5*PROP_InOut!$J$8*I30^2*E30*AQ30*(C30-C29)</f>
        <v>1.3555898956879815E-2</v>
      </c>
      <c r="AT30" s="110">
        <f t="shared" si="0"/>
        <v>1.0961266211831096</v>
      </c>
      <c r="AU30" s="110">
        <f t="shared" si="1"/>
        <v>5.5264902593071367E-2</v>
      </c>
      <c r="AV30" s="95">
        <f t="shared" si="2"/>
        <v>27.779169918039763</v>
      </c>
      <c r="AW30" s="88">
        <f>PROP_InOut!$G$4/2*((PROP_InOut!$E$8-'PROP_Table (2)'!C30)/('PROP_Table (2)'!C30*SIN('PROP_Table (2)'!K30)))</f>
        <v>1.8882260303394427</v>
      </c>
      <c r="AX30" s="88">
        <f t="shared" si="11"/>
        <v>0.90328231087000532</v>
      </c>
      <c r="AY30" s="88">
        <f>PROP_InOut!$G$4/2*((C30-PROP_InOut!$J$12/2)/(C30*SIN('PROP_Table (2)'!K30)))</f>
        <v>4.6882322102707201</v>
      </c>
      <c r="AZ30" s="88">
        <f t="shared" si="12"/>
        <v>0.9941411433153412</v>
      </c>
      <c r="BA30" s="88">
        <f t="shared" si="13"/>
        <v>0.89799010926483058</v>
      </c>
      <c r="BB30" s="25">
        <f>0.5*PROP_InOut!$J$8*T30^2*E30*AP30*(C30-C29)</f>
        <v>1.1322036773274968</v>
      </c>
      <c r="BC30" s="25">
        <f>0.5*PROP_InOut!$J$8*T30^2*E30*AQ30*(C30-C29)</f>
        <v>1.3818941075268746E-2</v>
      </c>
      <c r="BD30" s="108">
        <f t="shared" si="3"/>
        <v>0.98431086432431014</v>
      </c>
      <c r="BE30" s="108">
        <f t="shared" si="4"/>
        <v>4.9627335918062378E-2</v>
      </c>
      <c r="BF30" s="88">
        <f t="shared" si="29"/>
        <v>24.945419829986822</v>
      </c>
    </row>
    <row r="31" spans="1:59" s="96" customFormat="1" x14ac:dyDescent="0.25">
      <c r="A31" s="177"/>
      <c r="B31" s="107">
        <v>28</v>
      </c>
      <c r="C31" s="87">
        <v>0.20175727999999998</v>
      </c>
      <c r="D31" s="108">
        <f>C31/PROP_InOut!$E$8</f>
        <v>0.756495238095238</v>
      </c>
      <c r="E31" s="88">
        <v>2.8232099999999996E-2</v>
      </c>
      <c r="F31" s="109">
        <f>E31*PROP_InOut!$G$8</f>
        <v>1.7703291206249994E-4</v>
      </c>
      <c r="G31" s="96">
        <f>PROP_InOut!$C$4</f>
        <v>19.55</v>
      </c>
      <c r="H31" s="110">
        <f>PROP_InOut!$C$8*'PROP_Table (2)'!C31</f>
        <v>101.41427018500141</v>
      </c>
      <c r="I31" s="111">
        <f t="shared" si="5"/>
        <v>103.28144410859322</v>
      </c>
      <c r="J31" s="112">
        <f>I31/PROP_InOut!$D$8</f>
        <v>0.29840076258586584</v>
      </c>
      <c r="K31" s="110">
        <f t="shared" si="6"/>
        <v>0.19043759841264343</v>
      </c>
      <c r="L31" s="111">
        <f t="shared" si="7"/>
        <v>10.911270649651735</v>
      </c>
      <c r="M31" s="90">
        <f t="shared" si="15"/>
        <v>4.1617243329880579E-2</v>
      </c>
      <c r="N31" s="90">
        <f t="shared" si="16"/>
        <v>2.3844923977711336</v>
      </c>
      <c r="O31" s="110">
        <f t="shared" si="8"/>
        <v>0.25481458013266811</v>
      </c>
      <c r="P31" s="87">
        <v>14.5998</v>
      </c>
      <c r="Q31" s="110">
        <f t="shared" si="30"/>
        <v>2.2759738390144096E-2</v>
      </c>
      <c r="R31" s="112">
        <f t="shared" si="10"/>
        <v>1.3040369525771314</v>
      </c>
      <c r="S31" s="127">
        <f t="shared" si="17"/>
        <v>4.338976573312741</v>
      </c>
      <c r="T31" s="127">
        <f t="shared" si="18"/>
        <v>104.18795221213271</v>
      </c>
      <c r="U31" s="122">
        <f>U30+(U32-U30)*((C31-C30)/(C32-C30))</f>
        <v>4.3304352766272762</v>
      </c>
      <c r="V31" s="122">
        <f>V30+(V32-V30)*((C31-C30)/(C32-C30))</f>
        <v>2.3844923977711336</v>
      </c>
      <c r="W31" s="123">
        <f t="shared" si="19"/>
        <v>1.3040369525771314</v>
      </c>
      <c r="X31" s="122">
        <f t="shared" si="20"/>
        <v>104.18795221213271</v>
      </c>
      <c r="Y31" s="122">
        <f>Y30+(Y32-Y30)*((C31-C30)/(C32-C30))</f>
        <v>0.88354499999999991</v>
      </c>
      <c r="Z31" s="122">
        <f>Z30+(Z32-Z30)*((C31-C30)/(C32-C30))</f>
        <v>1.0975E-2</v>
      </c>
      <c r="AA31" s="122">
        <f t="shared" si="21"/>
        <v>-0.89954367468135388</v>
      </c>
      <c r="AB31" s="122">
        <f t="shared" si="22"/>
        <v>105.31699199867082</v>
      </c>
      <c r="AC31" s="122">
        <f t="shared" si="23"/>
        <v>4.338976573312741</v>
      </c>
      <c r="AD31" s="138">
        <f t="shared" si="24"/>
        <v>8.5412966854647721E-3</v>
      </c>
      <c r="AE31" s="122">
        <f t="shared" si="25"/>
        <v>4.1621613988426003E-2</v>
      </c>
      <c r="AF31" s="122">
        <f t="shared" si="26"/>
        <v>2.384742818059479</v>
      </c>
      <c r="AG31" s="144">
        <v>0.26277257028014195</v>
      </c>
      <c r="AH31" s="50"/>
      <c r="AI31" s="50"/>
      <c r="AJ31" s="50"/>
      <c r="AK31" s="50"/>
      <c r="AL31" s="50"/>
      <c r="AM31" s="50"/>
      <c r="AN31" s="131"/>
      <c r="AO31" s="113">
        <f>PROP_InOut!$F$8*'PROP_Table (2)'!I31*'PROP_Table (2)'!E31</f>
        <v>188812.33407546004</v>
      </c>
      <c r="AP31" s="91">
        <f t="shared" si="27"/>
        <v>0.88354499999999991</v>
      </c>
      <c r="AQ31" s="91">
        <f t="shared" si="28"/>
        <v>1.0975E-2</v>
      </c>
      <c r="AR31" s="8">
        <f>0.5*PROP_InOut!$J$8*I31^2*E31*AP31*(C31-C30)</f>
        <v>1.1195789533830356</v>
      </c>
      <c r="AS31" s="8">
        <f>0.5*PROP_InOut!$J$8*I31^2*E31*AQ31*(C31-C30)</f>
        <v>1.3906907982478333E-2</v>
      </c>
      <c r="AT31" s="110">
        <f t="shared" si="0"/>
        <v>1.1055253451210312</v>
      </c>
      <c r="AU31" s="110">
        <f t="shared" si="1"/>
        <v>5.5642778237275863E-2</v>
      </c>
      <c r="AV31" s="95">
        <f t="shared" si="2"/>
        <v>27.969110933688299</v>
      </c>
      <c r="AW31" s="88">
        <f>PROP_InOut!$G$4/2*((PROP_InOut!$E$8-'PROP_Table (2)'!C31)/('PROP_Table (2)'!C31*SIN('PROP_Table (2)'!K31)))</f>
        <v>1.7005006408470165</v>
      </c>
      <c r="AX31" s="88">
        <f t="shared" si="11"/>
        <v>0.88310246497585865</v>
      </c>
      <c r="AY31" s="88">
        <f>PROP_InOut!$G$4/2*((C31-PROP_InOut!$J$12/2)/(C31*SIN('PROP_Table (2)'!K31)))</f>
        <v>4.8672574271928317</v>
      </c>
      <c r="AZ31" s="88">
        <f t="shared" si="12"/>
        <v>0.99510151970020921</v>
      </c>
      <c r="BA31" s="88">
        <f t="shared" si="13"/>
        <v>0.87877660494847776</v>
      </c>
      <c r="BB31" s="25">
        <f>0.5*PROP_InOut!$J$8*T31^2*E31*AP31*(C31-C30)</f>
        <v>1.1393184401308665</v>
      </c>
      <c r="BC31" s="25">
        <f>0.5*PROP_InOut!$J$8*T31^2*E31*AQ31*(C31-C30)</f>
        <v>1.4152103039954116E-2</v>
      </c>
      <c r="BD31" s="108">
        <f t="shared" si="3"/>
        <v>0.97150980946995391</v>
      </c>
      <c r="BE31" s="108">
        <f t="shared" si="4"/>
        <v>4.8897571749254326E-2</v>
      </c>
      <c r="BF31" s="88">
        <f t="shared" si="29"/>
        <v>24.578600349733954</v>
      </c>
    </row>
    <row r="32" spans="1:59" s="96" customFormat="1" x14ac:dyDescent="0.25">
      <c r="A32" s="177"/>
      <c r="B32" s="107">
        <v>29</v>
      </c>
      <c r="C32" s="87">
        <v>0.20883118000000001</v>
      </c>
      <c r="D32" s="108">
        <f>C32/PROP_InOut!$E$8</f>
        <v>0.78301904761904761</v>
      </c>
      <c r="E32" s="88">
        <v>2.6431239999999998E-2</v>
      </c>
      <c r="F32" s="109">
        <f>E32*PROP_InOut!$G$8</f>
        <v>1.6574039432499998E-4</v>
      </c>
      <c r="G32" s="96">
        <f>PROP_InOut!$C$4</f>
        <v>19.55</v>
      </c>
      <c r="H32" s="110">
        <f>PROP_InOut!$C$8*'PROP_Table (2)'!C32</f>
        <v>104.97000014855804</v>
      </c>
      <c r="I32" s="111">
        <f t="shared" si="5"/>
        <v>106.77501314066075</v>
      </c>
      <c r="J32" s="112">
        <f>I32/PROP_InOut!$D$8</f>
        <v>0.30849438271591761</v>
      </c>
      <c r="K32" s="110">
        <f t="shared" si="6"/>
        <v>0.18413402994969519</v>
      </c>
      <c r="L32" s="111">
        <f t="shared" si="7"/>
        <v>10.550102780853033</v>
      </c>
      <c r="M32" s="90">
        <f t="shared" si="15"/>
        <v>3.9212662221837155E-2</v>
      </c>
      <c r="N32" s="90">
        <f t="shared" si="16"/>
        <v>2.2467200487833545</v>
      </c>
      <c r="O32" s="110">
        <f t="shared" si="8"/>
        <v>0.24653473816120705</v>
      </c>
      <c r="P32" s="87">
        <v>14.125400000000001</v>
      </c>
      <c r="Q32" s="110">
        <f t="shared" si="30"/>
        <v>2.3188045989674687E-2</v>
      </c>
      <c r="R32" s="112">
        <f t="shared" si="10"/>
        <v>1.3285771703636136</v>
      </c>
      <c r="S32" s="127">
        <f t="shared" si="17"/>
        <v>4.2225462690785545</v>
      </c>
      <c r="T32" s="127">
        <f t="shared" si="18"/>
        <v>107.62822532720881</v>
      </c>
      <c r="U32" s="122">
        <v>4.2225462644655458</v>
      </c>
      <c r="V32" s="122">
        <v>2.2467200487833545</v>
      </c>
      <c r="W32" s="123">
        <f t="shared" si="19"/>
        <v>1.3285771703636136</v>
      </c>
      <c r="X32" s="122">
        <f t="shared" si="20"/>
        <v>107.62822532720881</v>
      </c>
      <c r="Y32" s="128">
        <v>0.88468999999999998</v>
      </c>
      <c r="Z32" s="127">
        <v>1.1180000000000001E-2</v>
      </c>
      <c r="AA32" s="122">
        <f t="shared" si="21"/>
        <v>-5.3562388302452746E-7</v>
      </c>
      <c r="AB32" s="122">
        <f t="shared" si="22"/>
        <v>116.11161050916901</v>
      </c>
      <c r="AC32" s="122">
        <f t="shared" si="23"/>
        <v>4.2225462690785545</v>
      </c>
      <c r="AD32" s="138">
        <f t="shared" si="24"/>
        <v>4.6130086417406346E-9</v>
      </c>
      <c r="AE32" s="122">
        <f t="shared" si="25"/>
        <v>3.9212593164983357E-2</v>
      </c>
      <c r="AF32" s="122">
        <f t="shared" si="26"/>
        <v>2.2467160921170852</v>
      </c>
      <c r="AG32" s="144">
        <v>0.27165243864439176</v>
      </c>
      <c r="AH32" s="50"/>
      <c r="AI32" s="50"/>
      <c r="AJ32" s="50"/>
      <c r="AK32" s="50"/>
      <c r="AL32" s="50"/>
      <c r="AM32" s="50"/>
      <c r="AN32" s="131">
        <v>2.2467200487833545</v>
      </c>
      <c r="AO32" s="113">
        <f>PROP_InOut!$F$8*'PROP_Table (2)'!I32*'PROP_Table (2)'!E32</f>
        <v>182747.75366607142</v>
      </c>
      <c r="AP32" s="91">
        <f t="shared" si="27"/>
        <v>0.88468999999999998</v>
      </c>
      <c r="AQ32" s="91">
        <f t="shared" si="28"/>
        <v>1.1180000000000001E-2</v>
      </c>
      <c r="AR32" s="8">
        <f>0.5*PROP_InOut!$J$8*I32^2*E32*AP32*(C32-C31)</f>
        <v>1.1217244562747073</v>
      </c>
      <c r="AS32" s="8">
        <f>0.5*PROP_InOut!$J$8*I32^2*E32*AQ32*(C32-C31)</f>
        <v>1.4175450633726196E-2</v>
      </c>
      <c r="AT32" s="110">
        <f t="shared" si="0"/>
        <v>1.1082239024674501</v>
      </c>
      <c r="AU32" s="110">
        <f t="shared" si="1"/>
        <v>5.5650883595444636E-2</v>
      </c>
      <c r="AV32" s="95">
        <f t="shared" si="2"/>
        <v>27.973185131076736</v>
      </c>
      <c r="AW32" s="88">
        <f>PROP_InOut!$G$4/2*((PROP_InOut!$E$8-'PROP_Table (2)'!C32)/('PROP_Table (2)'!C32*SIN('PROP_Table (2)'!K32)))</f>
        <v>1.5134642127631821</v>
      </c>
      <c r="AX32" s="88">
        <f t="shared" si="11"/>
        <v>0.85869322490911149</v>
      </c>
      <c r="AY32" s="88">
        <f>PROP_InOut!$G$4/2*((C32-PROP_InOut!$J$12/2)/(C32*SIN('PROP_Table (2)'!K32)))</f>
        <v>5.0464528749936655</v>
      </c>
      <c r="AZ32" s="88">
        <f t="shared" si="12"/>
        <v>0.99590516430106346</v>
      </c>
      <c r="BA32" s="88">
        <f t="shared" si="13"/>
        <v>0.85517701723731876</v>
      </c>
      <c r="BB32" s="25">
        <f>0.5*PROP_InOut!$J$8*T32^2*E32*AP32*(C32-C31)</f>
        <v>1.1397229148301331</v>
      </c>
      <c r="BC32" s="25">
        <f>0.5*PROP_InOut!$J$8*T32^2*E32*AQ32*(C32-C31)</f>
        <v>1.4402900663284191E-2</v>
      </c>
      <c r="BD32" s="108">
        <f t="shared" si="3"/>
        <v>0.94772761134321526</v>
      </c>
      <c r="BE32" s="108">
        <f t="shared" si="4"/>
        <v>4.7591356639773576E-2</v>
      </c>
      <c r="BF32" s="88">
        <f t="shared" si="29"/>
        <v>23.922025023021519</v>
      </c>
    </row>
    <row r="33" spans="1:58" s="96" customFormat="1" x14ac:dyDescent="0.25">
      <c r="A33" s="177"/>
      <c r="B33" s="107">
        <v>30</v>
      </c>
      <c r="C33" s="87">
        <v>0.21590507999999997</v>
      </c>
      <c r="D33" s="108">
        <f>C33/PROP_InOut!$E$8</f>
        <v>0.80954285714285701</v>
      </c>
      <c r="E33" s="88">
        <v>2.4643079999999998E-2</v>
      </c>
      <c r="F33" s="109">
        <f>E33*PROP_InOut!$G$8</f>
        <v>1.5452751352499998E-4</v>
      </c>
      <c r="G33" s="96">
        <f>PROP_InOut!$C$4</f>
        <v>19.55</v>
      </c>
      <c r="H33" s="110">
        <f>PROP_InOut!$C$8*'PROP_Table (2)'!C33</f>
        <v>108.52573011211463</v>
      </c>
      <c r="I33" s="111">
        <f t="shared" si="5"/>
        <v>110.27255595281875</v>
      </c>
      <c r="J33" s="112">
        <f>I33/PROP_InOut!$D$8</f>
        <v>0.31859948389195575</v>
      </c>
      <c r="K33" s="110">
        <f t="shared" si="6"/>
        <v>0.17823010291272792</v>
      </c>
      <c r="L33" s="111">
        <f t="shared" si="7"/>
        <v>10.211832679081631</v>
      </c>
      <c r="M33" s="90">
        <f t="shared" si="15"/>
        <v>3.6840493208559519E-2</v>
      </c>
      <c r="N33" s="90">
        <f t="shared" si="16"/>
        <v>2.1108047760308328</v>
      </c>
      <c r="O33" s="110">
        <f t="shared" si="8"/>
        <v>0.23876627766058028</v>
      </c>
      <c r="P33" s="87">
        <v>13.680300000000001</v>
      </c>
      <c r="Q33" s="110">
        <f t="shared" si="30"/>
        <v>2.3695681539292825E-2</v>
      </c>
      <c r="R33" s="112">
        <f t="shared" si="10"/>
        <v>1.3576625448875368</v>
      </c>
      <c r="S33" s="127">
        <f t="shared" si="17"/>
        <v>4.0921616202919928</v>
      </c>
      <c r="T33" s="127">
        <f t="shared" si="18"/>
        <v>111.06970671963751</v>
      </c>
      <c r="U33" s="122">
        <f>U32+(U34-U32)*((C33-C32)/(C34-C32))</f>
        <v>4.0856860365580712</v>
      </c>
      <c r="V33" s="122">
        <f>V32+(V34-V32)*((C33-C32)/(C34-C32))</f>
        <v>2.1108047760308328</v>
      </c>
      <c r="W33" s="123">
        <f t="shared" si="19"/>
        <v>1.3576625448875368</v>
      </c>
      <c r="X33" s="122">
        <f t="shared" si="20"/>
        <v>111.06970671963751</v>
      </c>
      <c r="Y33" s="122">
        <f>Y32+(Y34-Y32)*((C33-C32)/(C34-C32))</f>
        <v>0.88616499999999998</v>
      </c>
      <c r="Z33" s="122">
        <f>Z32+(Z34-Z32)*((C33-C32)/(C34-C32))</f>
        <v>1.1509999999999999E-2</v>
      </c>
      <c r="AA33" s="122">
        <f t="shared" si="21"/>
        <v>-0.8311733708352449</v>
      </c>
      <c r="AB33" s="122">
        <f t="shared" si="22"/>
        <v>128.35497230638532</v>
      </c>
      <c r="AC33" s="122">
        <f t="shared" si="23"/>
        <v>4.0921616202919928</v>
      </c>
      <c r="AD33" s="138">
        <f t="shared" si="24"/>
        <v>6.4755837339216527E-3</v>
      </c>
      <c r="AE33" s="122">
        <f t="shared" si="25"/>
        <v>3.682652681273952E-2</v>
      </c>
      <c r="AF33" s="122">
        <f t="shared" si="26"/>
        <v>2.1100045604953377</v>
      </c>
      <c r="AG33" s="144">
        <v>0.28054238356955719</v>
      </c>
      <c r="AH33" s="50"/>
      <c r="AI33" s="50"/>
      <c r="AJ33" s="50"/>
      <c r="AK33" s="50"/>
      <c r="AL33" s="50"/>
      <c r="AM33" s="50"/>
      <c r="AN33" s="131"/>
      <c r="AO33" s="113">
        <f>PROP_InOut!$F$8*'PROP_Table (2)'!I33*'PROP_Table (2)'!E33</f>
        <v>175965.40908196813</v>
      </c>
      <c r="AP33" s="91">
        <f t="shared" si="27"/>
        <v>0.88616499999999998</v>
      </c>
      <c r="AQ33" s="91">
        <f t="shared" si="28"/>
        <v>1.1509999999999999E-2</v>
      </c>
      <c r="AR33" s="8">
        <f>0.5*PROP_InOut!$J$8*I33^2*E33*AP33*(C33-C32)</f>
        <v>1.1173332608733928</v>
      </c>
      <c r="AS33" s="8">
        <f>0.5*PROP_InOut!$J$8*I33^2*E33*AQ33*(C33-C32)</f>
        <v>1.4512540929344706E-2</v>
      </c>
      <c r="AT33" s="110">
        <f t="shared" si="0"/>
        <v>1.104288316764747</v>
      </c>
      <c r="AU33" s="110">
        <f t="shared" si="1"/>
        <v>5.5336729609749336E-2</v>
      </c>
      <c r="AV33" s="95">
        <f t="shared" si="2"/>
        <v>27.815274114507726</v>
      </c>
      <c r="AW33" s="88">
        <f>PROP_InOut!$G$4/2*((PROP_InOut!$E$8-'PROP_Table (2)'!C33)/('PROP_Table (2)'!C33*SIN('PROP_Table (2)'!K33)))</f>
        <v>1.3270219271172681</v>
      </c>
      <c r="AX33" s="88">
        <f t="shared" si="11"/>
        <v>0.82908040903598135</v>
      </c>
      <c r="AY33" s="88">
        <f>PROP_InOut!$G$4/2*((C33-PROP_InOut!$J$12/2)/(C33*SIN('PROP_Table (2)'!K33)))</f>
        <v>5.2258041206290144</v>
      </c>
      <c r="AZ33" s="88">
        <f t="shared" si="12"/>
        <v>0.99657749318273814</v>
      </c>
      <c r="BA33" s="88">
        <f t="shared" si="13"/>
        <v>0.82624287568399746</v>
      </c>
      <c r="BB33" s="25">
        <f>0.5*PROP_InOut!$J$8*T33^2*E33*AP33*(C33-C32)</f>
        <v>1.1335458605249744</v>
      </c>
      <c r="BC33" s="25">
        <f>0.5*PROP_InOut!$J$8*T33^2*E33*AQ33*(C33-C32)</f>
        <v>1.4723119119624961E-2</v>
      </c>
      <c r="BD33" s="108">
        <f t="shared" si="3"/>
        <v>0.91241035442794571</v>
      </c>
      <c r="BE33" s="108">
        <f t="shared" si="4"/>
        <v>4.5721578603707104E-2</v>
      </c>
      <c r="BF33" s="88">
        <f t="shared" si="29"/>
        <v>22.98217207230952</v>
      </c>
    </row>
    <row r="34" spans="1:58" s="96" customFormat="1" x14ac:dyDescent="0.25">
      <c r="A34" s="177"/>
      <c r="B34" s="107">
        <v>31</v>
      </c>
      <c r="C34" s="87">
        <v>0.22297897999999999</v>
      </c>
      <c r="D34" s="108">
        <f>C34/PROP_InOut!$E$8</f>
        <v>0.83606666666666662</v>
      </c>
      <c r="E34" s="88">
        <v>2.28854E-2</v>
      </c>
      <c r="F34" s="109">
        <f>E34*PROP_InOut!$G$8</f>
        <v>1.4350576137499998E-4</v>
      </c>
      <c r="G34" s="96">
        <f>PROP_InOut!$C$4</f>
        <v>19.55</v>
      </c>
      <c r="H34" s="110">
        <f>PROP_InOut!$C$8*'PROP_Table (2)'!C34</f>
        <v>112.08146007567126</v>
      </c>
      <c r="I34" s="111">
        <f t="shared" si="5"/>
        <v>113.77370606908386</v>
      </c>
      <c r="J34" s="112">
        <f>I34/PROP_InOut!$D$8</f>
        <v>0.32871500729151848</v>
      </c>
      <c r="K34" s="110">
        <f t="shared" si="6"/>
        <v>0.17268935477299643</v>
      </c>
      <c r="L34" s="111">
        <f t="shared" si="7"/>
        <v>9.8943711953300539</v>
      </c>
      <c r="M34" s="90">
        <f t="shared" si="15"/>
        <v>3.4468324195281855E-2</v>
      </c>
      <c r="N34" s="90">
        <f t="shared" si="16"/>
        <v>1.9748895032783098</v>
      </c>
      <c r="O34" s="110">
        <f t="shared" si="8"/>
        <v>0.23146207474098399</v>
      </c>
      <c r="P34" s="87">
        <v>13.261799999999999</v>
      </c>
      <c r="Q34" s="110">
        <f t="shared" si="30"/>
        <v>2.4304395772705694E-2</v>
      </c>
      <c r="R34" s="112">
        <f t="shared" si="10"/>
        <v>1.3925393013916354</v>
      </c>
      <c r="S34" s="127">
        <f t="shared" si="17"/>
        <v>3.9488258143115824</v>
      </c>
      <c r="T34" s="127">
        <f t="shared" si="18"/>
        <v>114.51833262443003</v>
      </c>
      <c r="U34" s="122">
        <v>3.9488258086505961</v>
      </c>
      <c r="V34" s="122">
        <v>1.9748895032783098</v>
      </c>
      <c r="W34" s="123">
        <f t="shared" si="19"/>
        <v>1.3925393013916354</v>
      </c>
      <c r="X34" s="122">
        <f t="shared" si="20"/>
        <v>114.51833262443003</v>
      </c>
      <c r="Y34" s="128">
        <v>0.88763999999999998</v>
      </c>
      <c r="Z34" s="127">
        <v>1.184E-2</v>
      </c>
      <c r="AA34" s="122">
        <f t="shared" si="21"/>
        <v>-8.0501479260419728E-7</v>
      </c>
      <c r="AB34" s="122">
        <f t="shared" si="22"/>
        <v>142.20398167632311</v>
      </c>
      <c r="AC34" s="122">
        <f t="shared" si="23"/>
        <v>3.9488258143115824</v>
      </c>
      <c r="AD34" s="138">
        <f t="shared" si="24"/>
        <v>5.660986346356367E-9</v>
      </c>
      <c r="AE34" s="122">
        <f t="shared" si="25"/>
        <v>3.4468383999990491E-2</v>
      </c>
      <c r="AF34" s="122">
        <f t="shared" si="26"/>
        <v>1.9748929298357096</v>
      </c>
      <c r="AG34" s="144">
        <v>0.28944803243276407</v>
      </c>
      <c r="AH34" s="50"/>
      <c r="AI34" s="50"/>
      <c r="AJ34" s="50"/>
      <c r="AK34" s="50"/>
      <c r="AL34" s="50"/>
      <c r="AM34" s="50"/>
      <c r="AN34" s="131">
        <v>1.9748895032783098</v>
      </c>
      <c r="AO34" s="113">
        <f>PROP_InOut!$F$8*'PROP_Table (2)'!I34*'PROP_Table (2)'!E34</f>
        <v>168602.99625469709</v>
      </c>
      <c r="AP34" s="91">
        <f t="shared" si="27"/>
        <v>0.88763999999999998</v>
      </c>
      <c r="AQ34" s="91">
        <f t="shared" si="28"/>
        <v>1.184E-2</v>
      </c>
      <c r="AR34" s="8">
        <f>0.5*PROP_InOut!$J$8*I34^2*E34*AP34*(C34-C33)</f>
        <v>1.1064134523113462</v>
      </c>
      <c r="AS34" s="8">
        <f>0.5*PROP_InOut!$J$8*I34^2*E34*AQ34*(C34-C33)</f>
        <v>1.4758162402963295E-2</v>
      </c>
      <c r="AT34" s="110">
        <f t="shared" si="0"/>
        <v>1.0939016931226611</v>
      </c>
      <c r="AU34" s="110">
        <f t="shared" si="1"/>
        <v>5.4671548903908983E-2</v>
      </c>
      <c r="AV34" s="95">
        <f t="shared" si="2"/>
        <v>27.48091782350329</v>
      </c>
      <c r="AW34" s="88">
        <f>PROP_InOut!$G$4/2*((PROP_InOut!$E$8-'PROP_Table (2)'!C34)/('PROP_Table (2)'!C34*SIN('PROP_Table (2)'!K34)))</f>
        <v>1.1410942164896161</v>
      </c>
      <c r="AX34" s="88">
        <f t="shared" si="11"/>
        <v>0.79299076508763366</v>
      </c>
      <c r="AY34" s="88">
        <f>PROP_InOut!$G$4/2*((C34-PROP_InOut!$J$12/2)/(C34*SIN('PROP_Table (2)'!K34)))</f>
        <v>5.4052982704882258</v>
      </c>
      <c r="AZ34" s="88">
        <f t="shared" si="12"/>
        <v>0.99713983971402242</v>
      </c>
      <c r="BA34" s="88">
        <f t="shared" si="13"/>
        <v>0.79072268439418303</v>
      </c>
      <c r="BB34" s="25">
        <f>0.5*PROP_InOut!$J$8*T34^2*E34*AP34*(C34-C33)</f>
        <v>1.1209433623072251</v>
      </c>
      <c r="BC34" s="25">
        <f>0.5*PROP_InOut!$J$8*T34^2*E34*AQ34*(C34-C33)</f>
        <v>1.4951973108149184E-2</v>
      </c>
      <c r="BD34" s="108">
        <f t="shared" si="3"/>
        <v>0.86497288324929233</v>
      </c>
      <c r="BE34" s="108">
        <f t="shared" si="4"/>
        <v>4.3230033909286765E-2</v>
      </c>
      <c r="BF34" s="88">
        <f t="shared" si="29"/>
        <v>21.729785111016472</v>
      </c>
    </row>
    <row r="35" spans="1:58" s="96" customFormat="1" x14ac:dyDescent="0.25">
      <c r="A35" s="177"/>
      <c r="B35" s="107">
        <v>32</v>
      </c>
      <c r="C35" s="87">
        <v>0.23005287999999999</v>
      </c>
      <c r="D35" s="108">
        <f>C35/PROP_InOut!$E$8</f>
        <v>0.86259047619047613</v>
      </c>
      <c r="E35" s="88">
        <v>2.117598E-2</v>
      </c>
      <c r="F35" s="109">
        <f>E35*PROP_InOut!$G$8</f>
        <v>1.327866295875E-4</v>
      </c>
      <c r="G35" s="96">
        <f>PROP_InOut!$C$4</f>
        <v>19.55</v>
      </c>
      <c r="H35" s="110">
        <f>PROP_InOut!$C$8*'PROP_Table (2)'!C35</f>
        <v>115.63719003922787</v>
      </c>
      <c r="I35" s="111">
        <f t="shared" si="5"/>
        <v>117.27814041912714</v>
      </c>
      <c r="J35" s="112">
        <f>I35/PROP_InOut!$D$8</f>
        <v>0.33884001949976672</v>
      </c>
      <c r="K35" s="110">
        <f t="shared" si="6"/>
        <v>0.16747958511995636</v>
      </c>
      <c r="L35" s="111">
        <f t="shared" si="7"/>
        <v>9.5958733819755224</v>
      </c>
      <c r="M35" s="90">
        <f t="shared" si="15"/>
        <v>3.213846920898935E-2</v>
      </c>
      <c r="N35" s="90">
        <f t="shared" si="16"/>
        <v>1.841398645686239</v>
      </c>
      <c r="O35" s="110">
        <f t="shared" si="8"/>
        <v>0.22458547748812635</v>
      </c>
      <c r="P35" s="87">
        <v>12.867800000000001</v>
      </c>
      <c r="Q35" s="110">
        <f t="shared" si="30"/>
        <v>2.4967423159180643E-2</v>
      </c>
      <c r="R35" s="112">
        <f t="shared" si="10"/>
        <v>1.4305279723382394</v>
      </c>
      <c r="S35" s="127">
        <f t="shared" si="17"/>
        <v>3.7877851043858768</v>
      </c>
      <c r="T35" s="127">
        <f t="shared" si="18"/>
        <v>117.96807818745035</v>
      </c>
      <c r="U35" s="122">
        <f>U34+(U36-U34)*((C35-C34)/(C36-C34))</f>
        <v>3.7846898644891809</v>
      </c>
      <c r="V35" s="122">
        <f>V34+(V36-V34)*((C35-C34)/(C36-C34))</f>
        <v>1.841398645686239</v>
      </c>
      <c r="W35" s="123">
        <f t="shared" si="19"/>
        <v>1.4305279723382394</v>
      </c>
      <c r="X35" s="122">
        <f t="shared" si="20"/>
        <v>117.96807818745035</v>
      </c>
      <c r="Y35" s="122">
        <f>Y34+(Y36-Y34)*((C35-C34)/(C36-C34))</f>
        <v>0.88714500000000007</v>
      </c>
      <c r="Z35" s="122">
        <f>Z34+(Z36-Z34)*((C35-C34)/(C36-C34))</f>
        <v>1.2330000000000001E-2</v>
      </c>
      <c r="AA35" s="122">
        <f t="shared" si="21"/>
        <v>-0.48866924941364687</v>
      </c>
      <c r="AB35" s="122">
        <f t="shared" si="22"/>
        <v>157.87766561660769</v>
      </c>
      <c r="AC35" s="122">
        <f t="shared" si="23"/>
        <v>3.7877851043858763</v>
      </c>
      <c r="AD35" s="138">
        <f t="shared" si="24"/>
        <v>3.0952398966954675E-3</v>
      </c>
      <c r="AE35" s="122">
        <f t="shared" si="25"/>
        <v>3.209753250766393E-2</v>
      </c>
      <c r="AF35" s="122">
        <f t="shared" si="26"/>
        <v>1.8390531454731049</v>
      </c>
      <c r="AG35" s="144">
        <v>0.29836485265219259</v>
      </c>
      <c r="AH35" s="50"/>
      <c r="AI35" s="50"/>
      <c r="AJ35" s="50"/>
      <c r="AK35" s="50"/>
      <c r="AL35" s="50"/>
      <c r="AM35" s="50"/>
      <c r="AN35" s="131"/>
      <c r="AO35" s="113">
        <f>PROP_InOut!$F$8*'PROP_Table (2)'!I35*'PROP_Table (2)'!E35</f>
        <v>160814.59629150043</v>
      </c>
      <c r="AP35" s="91">
        <f t="shared" si="27"/>
        <v>0.88714500000000007</v>
      </c>
      <c r="AQ35" s="91">
        <f t="shared" si="28"/>
        <v>1.2330000000000001E-2</v>
      </c>
      <c r="AR35" s="8">
        <f>0.5*PROP_InOut!$J$8*I35^2*E35*AP35*(C35-C34)</f>
        <v>1.0872027308208467</v>
      </c>
      <c r="AS35" s="8">
        <f>0.5*PROP_InOut!$J$8*I35^2*E35*AQ35*(C35-C34)</f>
        <v>1.5110505803471858E-2</v>
      </c>
      <c r="AT35" s="110">
        <f t="shared" si="0"/>
        <v>1.0751564988985931</v>
      </c>
      <c r="AU35" s="110">
        <f t="shared" si="1"/>
        <v>5.3629027043012957E-2</v>
      </c>
      <c r="AV35" s="95">
        <f t="shared" si="2"/>
        <v>26.956889180399656</v>
      </c>
      <c r="AW35" s="88">
        <f>PROP_InOut!$G$4/2*((PROP_InOut!$E$8-'PROP_Table (2)'!C35)/('PROP_Table (2)'!C35*SIN('PROP_Table (2)'!K35)))</f>
        <v>0.95561395925343517</v>
      </c>
      <c r="AX35" s="88">
        <f t="shared" si="11"/>
        <v>0.7486953583512842</v>
      </c>
      <c r="AY35" s="88">
        <f>PROP_InOut!$G$4/2*((C35-PROP_InOut!$J$12/2)/(C35*SIN('PROP_Table (2)'!K35)))</f>
        <v>5.5849237782206922</v>
      </c>
      <c r="AZ35" s="88">
        <f t="shared" si="12"/>
        <v>0.99761010090764124</v>
      </c>
      <c r="BA35" s="88">
        <f t="shared" si="13"/>
        <v>0.74690605199390725</v>
      </c>
      <c r="BB35" s="25">
        <f>0.5*PROP_InOut!$J$8*T35^2*E35*AP35*(C35-C34)</f>
        <v>1.1000322081359521</v>
      </c>
      <c r="BC35" s="25">
        <f>0.5*PROP_InOut!$J$8*T35^2*E35*AQ35*(C35-C34)</f>
        <v>1.5288816514004235E-2</v>
      </c>
      <c r="BD35" s="108">
        <f t="shared" si="3"/>
        <v>0.80304089586793992</v>
      </c>
      <c r="BE35" s="108">
        <f t="shared" si="4"/>
        <v>4.0055844860971294E-2</v>
      </c>
      <c r="BF35" s="88">
        <f t="shared" si="29"/>
        <v>20.134263671769581</v>
      </c>
    </row>
    <row r="36" spans="1:58" s="96" customFormat="1" x14ac:dyDescent="0.25">
      <c r="A36" s="177"/>
      <c r="B36" s="107">
        <v>33</v>
      </c>
      <c r="C36" s="87">
        <v>0.23712677999999998</v>
      </c>
      <c r="D36" s="108">
        <f>C36/PROP_InOut!$E$8</f>
        <v>0.88911428571428563</v>
      </c>
      <c r="E36" s="88">
        <v>1.9535139999999999E-2</v>
      </c>
      <c r="F36" s="109">
        <f>E36*PROP_InOut!$G$8</f>
        <v>1.2249753726249998E-4</v>
      </c>
      <c r="G36" s="96">
        <f>PROP_InOut!$C$4</f>
        <v>19.55</v>
      </c>
      <c r="H36" s="110">
        <f>PROP_InOut!$C$8*'PROP_Table (2)'!C36</f>
        <v>119.19292000278449</v>
      </c>
      <c r="I36" s="111">
        <f t="shared" si="5"/>
        <v>120.78557314013203</v>
      </c>
      <c r="J36" s="112">
        <f>I36/PROP_InOut!$D$8</f>
        <v>0.34897369460181149</v>
      </c>
      <c r="K36" s="110">
        <f t="shared" si="6"/>
        <v>0.16257225650855867</v>
      </c>
      <c r="L36" s="111">
        <f t="shared" si="7"/>
        <v>9.3147041638586394</v>
      </c>
      <c r="M36" s="90">
        <f t="shared" si="15"/>
        <v>2.9808614222696848E-2</v>
      </c>
      <c r="N36" s="90">
        <f t="shared" si="16"/>
        <v>1.7079077880941684</v>
      </c>
      <c r="O36" s="110">
        <f t="shared" si="8"/>
        <v>0.2180998339877154</v>
      </c>
      <c r="P36" s="87">
        <v>12.4962</v>
      </c>
      <c r="Q36" s="110">
        <f t="shared" si="30"/>
        <v>2.5718963256459899E-2</v>
      </c>
      <c r="R36" s="112">
        <f t="shared" si="10"/>
        <v>1.4735880480471921</v>
      </c>
      <c r="S36" s="127">
        <f t="shared" si="17"/>
        <v>3.6205539238594735</v>
      </c>
      <c r="T36" s="127">
        <f t="shared" si="18"/>
        <v>121.424160477909</v>
      </c>
      <c r="U36" s="122">
        <v>3.6205539203277657</v>
      </c>
      <c r="V36" s="122">
        <v>1.7079077880941684</v>
      </c>
      <c r="W36" s="123">
        <f t="shared" si="19"/>
        <v>1.4735880480471921</v>
      </c>
      <c r="X36" s="122">
        <f t="shared" si="20"/>
        <v>121.424160477909</v>
      </c>
      <c r="Y36" s="128">
        <v>0.88665000000000005</v>
      </c>
      <c r="Z36" s="127">
        <v>1.282E-2</v>
      </c>
      <c r="AA36" s="122">
        <f t="shared" si="21"/>
        <v>-6.2006438383832574E-7</v>
      </c>
      <c r="AB36" s="122">
        <f t="shared" si="22"/>
        <v>175.57068549178132</v>
      </c>
      <c r="AC36" s="122">
        <f t="shared" si="23"/>
        <v>3.6205539238594735</v>
      </c>
      <c r="AD36" s="138">
        <f t="shared" si="24"/>
        <v>3.5317078150853831E-9</v>
      </c>
      <c r="AE36" s="122">
        <f t="shared" si="25"/>
        <v>2.9808577607524377E-2</v>
      </c>
      <c r="AF36" s="122">
        <f t="shared" si="26"/>
        <v>1.7079056901993197</v>
      </c>
      <c r="AG36" s="144">
        <v>0.30728842049285371</v>
      </c>
      <c r="AH36" s="50"/>
      <c r="AI36" s="50"/>
      <c r="AJ36" s="50"/>
      <c r="AK36" s="50"/>
      <c r="AL36" s="50"/>
      <c r="AM36" s="50"/>
      <c r="AN36" s="131">
        <v>1.7079077880941684</v>
      </c>
      <c r="AO36" s="113">
        <f>PROP_InOut!$F$8*'PROP_Table (2)'!I36*'PROP_Table (2)'!E36</f>
        <v>152790.54076756779</v>
      </c>
      <c r="AP36" s="91">
        <f t="shared" si="27"/>
        <v>0.88665000000000005</v>
      </c>
      <c r="AQ36" s="91">
        <f t="shared" si="28"/>
        <v>1.282E-2</v>
      </c>
      <c r="AR36" s="8">
        <f>0.5*PROP_InOut!$J$8*I36^2*E36*AP36*(C36-C35)</f>
        <v>1.0632542816963904</v>
      </c>
      <c r="AS36" s="8">
        <f>0.5*PROP_InOut!$J$8*I36^2*E36*AQ36*(C36-C35)</f>
        <v>1.5373506898266196E-2</v>
      </c>
      <c r="AT36" s="110">
        <f t="shared" si="0"/>
        <v>1.0517331450193226</v>
      </c>
      <c r="AU36" s="110">
        <f t="shared" si="1"/>
        <v>5.2332813587310727E-2</v>
      </c>
      <c r="AV36" s="95">
        <f t="shared" si="2"/>
        <v>26.305341233212719</v>
      </c>
      <c r="AW36" s="88">
        <f>PROP_InOut!$G$4/2*((PROP_InOut!$E$8-'PROP_Table (2)'!C36)/('PROP_Table (2)'!C36*SIN('PROP_Table (2)'!K36)))</f>
        <v>0.77052425247041134</v>
      </c>
      <c r="AX36" s="88">
        <f t="shared" si="11"/>
        <v>0.69371087671286336</v>
      </c>
      <c r="AY36" s="88">
        <f>PROP_InOut!$G$4/2*((C36-PROP_InOut!$J$12/2)/(C36*SIN('PROP_Table (2)'!K36)))</f>
        <v>5.7646702791325337</v>
      </c>
      <c r="AZ36" s="88">
        <f t="shared" si="12"/>
        <v>0.99800328379414438</v>
      </c>
      <c r="BA36" s="88">
        <f t="shared" si="13"/>
        <v>0.69232573296315247</v>
      </c>
      <c r="BB36" s="25">
        <f>0.5*PROP_InOut!$J$8*T36^2*E36*AP36*(C36-C35)</f>
        <v>1.0745267469774253</v>
      </c>
      <c r="BC36" s="25">
        <f>0.5*PROP_InOut!$J$8*T36^2*E36*AQ36*(C36-C35)</f>
        <v>1.5536494553939651E-2</v>
      </c>
      <c r="BD36" s="108">
        <f t="shared" si="3"/>
        <v>0.72814192050714399</v>
      </c>
      <c r="BE36" s="108">
        <f t="shared" si="4"/>
        <v>3.6231353524858921E-2</v>
      </c>
      <c r="BF36" s="88">
        <f t="shared" si="29"/>
        <v>18.211864650129833</v>
      </c>
    </row>
    <row r="37" spans="1:58" s="96" customFormat="1" x14ac:dyDescent="0.25">
      <c r="A37" s="177"/>
      <c r="B37" s="107">
        <v>34</v>
      </c>
      <c r="C37" s="87">
        <v>0.24420068</v>
      </c>
      <c r="D37" s="108">
        <f>C37/PROP_InOut!$E$8</f>
        <v>0.91563809523809525</v>
      </c>
      <c r="E37" s="88">
        <v>1.7980659999999999E-2</v>
      </c>
      <c r="F37" s="109">
        <f>E37*PROP_InOut!$G$8</f>
        <v>1.1274997611249998E-4</v>
      </c>
      <c r="G37" s="96">
        <f>PROP_InOut!$C$4</f>
        <v>19.55</v>
      </c>
      <c r="H37" s="110">
        <f>PROP_InOut!$C$8*'PROP_Table (2)'!C37</f>
        <v>122.74864996634111</v>
      </c>
      <c r="I37" s="111">
        <f t="shared" si="5"/>
        <v>124.29575040426496</v>
      </c>
      <c r="J37" s="112">
        <f>I37/PROP_InOut!$D$8</f>
        <v>0.35911529923824093</v>
      </c>
      <c r="K37" s="110">
        <f t="shared" si="6"/>
        <v>0.15794199265299222</v>
      </c>
      <c r="L37" s="111">
        <f t="shared" si="7"/>
        <v>9.0494095869027102</v>
      </c>
      <c r="M37" s="90">
        <f t="shared" si="15"/>
        <v>2.7674497635216011E-2</v>
      </c>
      <c r="N37" s="90">
        <f t="shared" si="16"/>
        <v>1.5856319146426547</v>
      </c>
      <c r="O37" s="110">
        <f t="shared" si="8"/>
        <v>0.2119719829839633</v>
      </c>
      <c r="P37" s="87">
        <v>12.145099999999999</v>
      </c>
      <c r="Q37" s="110">
        <f t="shared" si="30"/>
        <v>2.6355492695755073E-2</v>
      </c>
      <c r="R37" s="112">
        <f t="shared" si="10"/>
        <v>1.5100584984546344</v>
      </c>
      <c r="S37" s="127">
        <f t="shared" si="17"/>
        <v>3.4485547515542749</v>
      </c>
      <c r="T37" s="127">
        <f t="shared" si="18"/>
        <v>124.88481547649712</v>
      </c>
      <c r="U37" s="122">
        <f>U36+(U38-U36)*((C37-C36)/(C38-C36))</f>
        <v>3.4496971292972325</v>
      </c>
      <c r="V37" s="122">
        <f>V36+(V38-V36)*((C37-C36)/(C38-C36))</f>
        <v>1.5856319146426547</v>
      </c>
      <c r="W37" s="123">
        <f t="shared" si="19"/>
        <v>1.5100584984546344</v>
      </c>
      <c r="X37" s="122">
        <f t="shared" si="20"/>
        <v>124.88481547649712</v>
      </c>
      <c r="Y37" s="122">
        <f>Y36+(Y38-Y36)*((C37-C36)/(C38-C36))</f>
        <v>0.88552500000000001</v>
      </c>
      <c r="Z37" s="122">
        <f>Z36+(Z38-Z36)*((C37-C36)/(C38-C36))</f>
        <v>1.3450000000000002E-2</v>
      </c>
      <c r="AA37" s="122">
        <f t="shared" si="21"/>
        <v>0.22329059531762141</v>
      </c>
      <c r="AB37" s="122">
        <f t="shared" si="22"/>
        <v>195.46126199859805</v>
      </c>
      <c r="AC37" s="122">
        <f t="shared" si="23"/>
        <v>3.4485547515542749</v>
      </c>
      <c r="AD37" s="138">
        <f t="shared" si="24"/>
        <v>-1.1423777429575566E-3</v>
      </c>
      <c r="AE37" s="122">
        <f t="shared" si="25"/>
        <v>2.760686798478287E-2</v>
      </c>
      <c r="AF37" s="122">
        <f t="shared" si="26"/>
        <v>1.5817570211028906</v>
      </c>
      <c r="AG37" s="144">
        <v>0.31622477126002646</v>
      </c>
      <c r="AH37" s="50"/>
      <c r="AI37" s="50"/>
      <c r="AJ37" s="50"/>
      <c r="AK37" s="50"/>
      <c r="AL37" s="50"/>
      <c r="AM37" s="50"/>
      <c r="AN37" s="131"/>
      <c r="AO37" s="113">
        <f>PROP_InOut!$F$8*'PROP_Table (2)'!I37*'PROP_Table (2)'!E37</f>
        <v>144719.41062414023</v>
      </c>
      <c r="AP37" s="91">
        <f t="shared" si="27"/>
        <v>0.88552500000000001</v>
      </c>
      <c r="AQ37" s="91">
        <f t="shared" si="28"/>
        <v>1.3450000000000002E-2</v>
      </c>
      <c r="AR37" s="8">
        <f>0.5*PROP_InOut!$J$8*I37^2*E37*AP37*(C37-C36)</f>
        <v>1.0350403529925372</v>
      </c>
      <c r="AS37" s="8">
        <f>0.5*PROP_InOut!$J$8*I37^2*E37*AQ37*(C37-C36)</f>
        <v>1.5720948304959913E-2</v>
      </c>
      <c r="AT37" s="110">
        <f t="shared" si="0"/>
        <v>1.023997109522625</v>
      </c>
      <c r="AU37" s="110">
        <f t="shared" si="1"/>
        <v>5.0899189744622812E-2</v>
      </c>
      <c r="AV37" s="95">
        <f t="shared" si="2"/>
        <v>25.584723292060794</v>
      </c>
      <c r="AW37" s="88">
        <f>PROP_InOut!$G$4/2*((PROP_InOut!$E$8-'PROP_Table (2)'!C37)/('PROP_Table (2)'!C37*SIN('PROP_Table (2)'!K37)))</f>
        <v>0.58577663180595796</v>
      </c>
      <c r="AX37" s="88">
        <f t="shared" si="11"/>
        <v>0.62415500636309218</v>
      </c>
      <c r="AY37" s="88">
        <f>PROP_InOut!$G$4/2*((C37-PROP_InOut!$J$12/2)/(C37*SIN('PROP_Table (2)'!K37)))</f>
        <v>5.9445284473132984</v>
      </c>
      <c r="AZ37" s="88">
        <f t="shared" si="12"/>
        <v>0.99833196669532442</v>
      </c>
      <c r="BA37" s="88">
        <f t="shared" si="13"/>
        <v>0.62311389502519854</v>
      </c>
      <c r="BB37" s="25">
        <f>0.5*PROP_InOut!$J$8*T37^2*E37*AP37*(C37-C36)</f>
        <v>1.0448741708734843</v>
      </c>
      <c r="BC37" s="25">
        <f>0.5*PROP_InOut!$J$8*T37^2*E37*AQ37*(C37-C36)</f>
        <v>1.5870311508143043E-2</v>
      </c>
      <c r="BD37" s="108">
        <f t="shared" si="3"/>
        <v>0.63806682740918774</v>
      </c>
      <c r="BE37" s="108">
        <f t="shared" si="4"/>
        <v>3.1715992375398558E-2</v>
      </c>
      <c r="BF37" s="88">
        <f t="shared" si="29"/>
        <v>15.942196583657921</v>
      </c>
    </row>
    <row r="38" spans="1:58" s="96" customFormat="1" x14ac:dyDescent="0.25">
      <c r="A38" s="177"/>
      <c r="B38" s="107">
        <v>35</v>
      </c>
      <c r="C38" s="87">
        <v>0.25127457999999997</v>
      </c>
      <c r="D38" s="108">
        <f>C38/PROP_InOut!$E$8</f>
        <v>0.94216190476190464</v>
      </c>
      <c r="E38" s="88">
        <v>1.653286E-2</v>
      </c>
      <c r="F38" s="109">
        <f>E38*PROP_InOut!$G$8</f>
        <v>1.0367136523749998E-4</v>
      </c>
      <c r="G38" s="96">
        <f>PROP_InOut!$C$4</f>
        <v>19.55</v>
      </c>
      <c r="H38" s="110">
        <f>PROP_InOut!$C$8*'PROP_Table (2)'!C38</f>
        <v>126.30437992989771</v>
      </c>
      <c r="I38" s="111">
        <f t="shared" si="5"/>
        <v>127.80844608035866</v>
      </c>
      <c r="J38" s="112">
        <f>I38/PROP_InOut!$D$8</f>
        <v>0.36926418007085526</v>
      </c>
      <c r="K38" s="110">
        <f t="shared" si="6"/>
        <v>0.15356615617933675</v>
      </c>
      <c r="L38" s="111">
        <f t="shared" si="7"/>
        <v>8.7986926251228432</v>
      </c>
      <c r="M38" s="90">
        <f t="shared" si="15"/>
        <v>2.5540381047735195E-2</v>
      </c>
      <c r="N38" s="90">
        <f t="shared" si="16"/>
        <v>1.4633560411911422</v>
      </c>
      <c r="O38" s="110">
        <f t="shared" si="8"/>
        <v>0.20617399920883817</v>
      </c>
      <c r="P38" s="87">
        <v>11.812900000000001</v>
      </c>
      <c r="Q38" s="110">
        <f t="shared" si="30"/>
        <v>2.7067461981766218E-2</v>
      </c>
      <c r="R38" s="112">
        <f t="shared" si="10"/>
        <v>1.5508513336860155</v>
      </c>
      <c r="S38" s="127">
        <f t="shared" si="17"/>
        <v>3.2788403413350533</v>
      </c>
      <c r="T38" s="127">
        <f t="shared" si="18"/>
        <v>128.35089536370995</v>
      </c>
      <c r="U38" s="122">
        <v>3.2788403382667006</v>
      </c>
      <c r="V38" s="151">
        <v>1.4633560411911422</v>
      </c>
      <c r="W38" s="123">
        <f t="shared" si="19"/>
        <v>1.5508513336860155</v>
      </c>
      <c r="X38" s="122">
        <f t="shared" si="20"/>
        <v>128.35089536370995</v>
      </c>
      <c r="Y38" s="128">
        <v>0.88439999999999996</v>
      </c>
      <c r="Z38" s="127">
        <v>1.4080000000000001E-2</v>
      </c>
      <c r="AA38" s="122">
        <f t="shared" si="21"/>
        <v>-6.6777363372239051E-7</v>
      </c>
      <c r="AB38" s="122">
        <f t="shared" si="22"/>
        <v>217.63261039583969</v>
      </c>
      <c r="AC38" s="122">
        <f t="shared" si="23"/>
        <v>3.2788403413350533</v>
      </c>
      <c r="AD38" s="138">
        <f t="shared" si="24"/>
        <v>3.0683526830443952E-9</v>
      </c>
      <c r="AE38" s="122">
        <f t="shared" si="25"/>
        <v>2.554035451987852E-2</v>
      </c>
      <c r="AF38" s="122">
        <f t="shared" si="26"/>
        <v>1.4633545212569152</v>
      </c>
      <c r="AG38" s="144">
        <v>0.32516968780403804</v>
      </c>
      <c r="AH38" s="50"/>
      <c r="AI38" s="50"/>
      <c r="AJ38" s="50"/>
      <c r="AK38" s="50"/>
      <c r="AL38" s="50"/>
      <c r="AM38" s="50"/>
      <c r="AN38" s="131">
        <v>1.4633560411911422</v>
      </c>
      <c r="AO38" s="113">
        <f>PROP_InOut!$F$8*'PROP_Table (2)'!I38*'PROP_Table (2)'!E38</f>
        <v>136827.19327235603</v>
      </c>
      <c r="AP38" s="91">
        <f t="shared" si="27"/>
        <v>0.88439999999999996</v>
      </c>
      <c r="AQ38" s="91">
        <f t="shared" si="28"/>
        <v>1.4080000000000001E-2</v>
      </c>
      <c r="AR38" s="8">
        <f>0.5*PROP_InOut!$J$8*I38^2*E38*AP38*(C38-C37)</f>
        <v>1.004972311416626</v>
      </c>
      <c r="AS38" s="8">
        <f>0.5*PROP_InOut!$J$8*I38^2*E38*AQ38*(C38-C37)</f>
        <v>1.5999559186732352E-2</v>
      </c>
      <c r="AT38" s="110">
        <f t="shared" si="0"/>
        <v>0.99443348254181974</v>
      </c>
      <c r="AU38" s="110">
        <f t="shared" si="1"/>
        <v>4.9359575694828427E-2</v>
      </c>
      <c r="AV38" s="95">
        <f t="shared" si="2"/>
        <v>24.810828861949165</v>
      </c>
      <c r="AW38" s="88">
        <f>PROP_InOut!$G$4/2*((PROP_InOut!$E$8-'PROP_Table (2)'!C38)/('PROP_Table (2)'!C38*SIN('PROP_Table (2)'!K38)))</f>
        <v>0.40132963943317396</v>
      </c>
      <c r="AX38" s="88">
        <f t="shared" si="11"/>
        <v>0.5330773626121994</v>
      </c>
      <c r="AY38" s="88">
        <f>PROP_InOut!$G$4/2*((C38-PROP_InOut!$J$12/2)/(C38*SIN('PROP_Table (2)'!K38)))</f>
        <v>6.1244898721798453</v>
      </c>
      <c r="AZ38" s="88">
        <f t="shared" si="12"/>
        <v>0.99860668820467569</v>
      </c>
      <c r="BA38" s="88">
        <f t="shared" si="13"/>
        <v>0.53233461963505146</v>
      </c>
      <c r="BB38" s="25">
        <f>0.5*PROP_InOut!$J$8*T38^2*E38*AP38*(C38-C37)</f>
        <v>1.0135210950416909</v>
      </c>
      <c r="BC38" s="25">
        <f>0.5*PROP_InOut!$J$8*T38^2*E38*AQ38*(C38-C37)</f>
        <v>1.6135659224544331E-2</v>
      </c>
      <c r="BD38" s="108">
        <f t="shared" si="3"/>
        <v>0.5293713696812592</v>
      </c>
      <c r="BE38" s="108">
        <f t="shared" si="4"/>
        <v>2.6275810952854022E-2</v>
      </c>
      <c r="BF38" s="88">
        <f t="shared" si="29"/>
        <v>13.207663145056065</v>
      </c>
    </row>
    <row r="39" spans="1:58" s="96" customFormat="1" x14ac:dyDescent="0.25">
      <c r="A39" s="177"/>
      <c r="B39" s="107">
        <v>36</v>
      </c>
      <c r="C39" s="87">
        <v>0.2583434</v>
      </c>
      <c r="D39" s="108">
        <f>C39/PROP_InOut!$E$8</f>
        <v>0.96866666666666668</v>
      </c>
      <c r="E39" s="88">
        <v>1.48971E-2</v>
      </c>
      <c r="F39" s="109">
        <f>E39*PROP_InOut!$G$8</f>
        <v>9.3414127687499988E-5</v>
      </c>
      <c r="G39" s="96">
        <f>PROP_InOut!$C$4</f>
        <v>19.55</v>
      </c>
      <c r="H39" s="110">
        <f>PROP_InOut!$C$8*'PROP_Table (2)'!C39</f>
        <v>129.85755640694549</v>
      </c>
      <c r="I39" s="111">
        <f t="shared" si="5"/>
        <v>131.32093304566118</v>
      </c>
      <c r="J39" s="112">
        <f>I39/PROP_InOut!$D$8</f>
        <v>0.37941245789622291</v>
      </c>
      <c r="K39" s="110">
        <f t="shared" si="6"/>
        <v>0.14942738643600312</v>
      </c>
      <c r="L39" s="111">
        <f t="shared" si="7"/>
        <v>8.5615585864533834</v>
      </c>
      <c r="M39" s="90">
        <f t="shared" si="15"/>
        <v>2.3185267548973296E-2</v>
      </c>
      <c r="N39" s="90">
        <f t="shared" si="16"/>
        <v>1.3284179774377967</v>
      </c>
      <c r="O39" s="110">
        <f t="shared" si="8"/>
        <v>0.20068493871131599</v>
      </c>
      <c r="P39" s="87">
        <v>11.4984</v>
      </c>
      <c r="Q39" s="110">
        <f t="shared" si="30"/>
        <v>2.8072284726339564E-2</v>
      </c>
      <c r="R39" s="112">
        <f t="shared" si="10"/>
        <v>1.6084234361088201</v>
      </c>
      <c r="S39" s="127">
        <f t="shared" si="17"/>
        <v>3.0566156608746597</v>
      </c>
      <c r="T39" s="127">
        <f t="shared" si="18"/>
        <v>131.81063700431196</v>
      </c>
      <c r="U39" s="122">
        <v>3.0566156577995116</v>
      </c>
      <c r="V39" s="122">
        <v>1.3284179774377967</v>
      </c>
      <c r="W39" s="123">
        <f t="shared" si="19"/>
        <v>1.6084234361088201</v>
      </c>
      <c r="X39" s="122">
        <f t="shared" si="20"/>
        <v>131.81063700431196</v>
      </c>
      <c r="Y39" s="128">
        <v>0.88238000000000005</v>
      </c>
      <c r="Z39" s="127">
        <v>1.5049999999999999E-2</v>
      </c>
      <c r="AA39" s="122">
        <f t="shared" si="21"/>
        <v>-7.5836396717932075E-7</v>
      </c>
      <c r="AB39" s="122">
        <f t="shared" si="22"/>
        <v>246.61054183405449</v>
      </c>
      <c r="AC39" s="122">
        <f t="shared" si="23"/>
        <v>3.0566156608746597</v>
      </c>
      <c r="AD39" s="138">
        <f t="shared" si="24"/>
        <v>3.0751481361335209E-9</v>
      </c>
      <c r="AE39" s="122">
        <f t="shared" si="25"/>
        <v>2.3185290719075928E-2</v>
      </c>
      <c r="AF39" s="122">
        <f t="shared" si="26"/>
        <v>1.3284193049868882</v>
      </c>
      <c r="AG39" s="144">
        <v>0.33411902138427935</v>
      </c>
      <c r="AH39" s="50"/>
      <c r="AI39" s="50"/>
      <c r="AJ39" s="50"/>
      <c r="AK39" s="50"/>
      <c r="AL39" s="50"/>
      <c r="AM39" s="50"/>
      <c r="AN39" s="131">
        <v>1.3284179774377967</v>
      </c>
      <c r="AO39" s="113">
        <f>PROP_InOut!$F$8*'PROP_Table (2)'!I39*'PROP_Table (2)'!E39</f>
        <v>126677.81633712328</v>
      </c>
      <c r="AP39" s="91">
        <f t="shared" si="27"/>
        <v>0.88238000000000005</v>
      </c>
      <c r="AQ39" s="91">
        <f t="shared" si="28"/>
        <v>1.5049999999999999E-2</v>
      </c>
      <c r="AR39" s="8">
        <f>0.5*PROP_InOut!$J$8*I39^2*E39*AP39*(C39-C38)</f>
        <v>0.95312877327202505</v>
      </c>
      <c r="AS39" s="8">
        <f>0.5*PROP_InOut!$J$8*I39^2*E39*AQ39*(C39-C38)</f>
        <v>1.6256701237271898E-2</v>
      </c>
      <c r="AT39" s="110">
        <f t="shared" si="0"/>
        <v>0.94316760843103853</v>
      </c>
      <c r="AU39" s="110">
        <f t="shared" si="1"/>
        <v>4.6776769819122981E-2</v>
      </c>
      <c r="AV39" s="95">
        <f t="shared" si="2"/>
        <v>23.5125690275868</v>
      </c>
      <c r="AW39" s="88">
        <f>PROP_InOut!$G$4/2*((PROP_InOut!$E$8-'PROP_Table (2)'!C39)/('PROP_Table (2)'!C39*SIN('PROP_Table (2)'!K39)))</f>
        <v>0.2172798444402381</v>
      </c>
      <c r="AX39" s="88">
        <f t="shared" si="11"/>
        <v>0.4046472153215277</v>
      </c>
      <c r="AY39" s="88">
        <f>PROP_InOut!$G$4/2*((C39-PROP_InOut!$J$12/2)/(C39*SIN('PROP_Table (2)'!K39)))</f>
        <v>6.3044176140623556</v>
      </c>
      <c r="AZ39" s="88">
        <f t="shared" si="12"/>
        <v>0.99883612434652658</v>
      </c>
      <c r="BA39" s="88">
        <f t="shared" si="13"/>
        <v>0.40417625627936915</v>
      </c>
      <c r="BB39" s="25">
        <f>0.5*PROP_InOut!$J$8*T39^2*E39*AP39*(C39-C38)</f>
        <v>0.96025058080440517</v>
      </c>
      <c r="BC39" s="25">
        <f>0.5*PROP_InOut!$J$8*T39^2*E39*AQ39*(C39-C38)</f>
        <v>1.6378171809318318E-2</v>
      </c>
      <c r="BD39" s="108">
        <f t="shared" si="3"/>
        <v>0.38120595301962312</v>
      </c>
      <c r="BE39" s="108">
        <f t="shared" si="4"/>
        <v>1.890605970633491E-2</v>
      </c>
      <c r="BF39" s="88">
        <f t="shared" si="29"/>
        <v>9.5032221250802795</v>
      </c>
    </row>
    <row r="40" spans="1:58" s="96" customFormat="1" x14ac:dyDescent="0.25">
      <c r="A40" s="177"/>
      <c r="B40" s="107">
        <v>37</v>
      </c>
      <c r="C40" s="87">
        <v>0.26524458000000001</v>
      </c>
      <c r="D40" s="108">
        <f>C40/PROP_InOut!$E$8</f>
        <v>0.99454285714285717</v>
      </c>
      <c r="E40" s="88">
        <v>6.2712599999999999E-3</v>
      </c>
      <c r="F40" s="109">
        <f>E40*PROP_InOut!$G$8</f>
        <v>3.9324719737499991E-5</v>
      </c>
      <c r="G40" s="96">
        <f>PROP_InOut!$C$4</f>
        <v>19.55</v>
      </c>
      <c r="H40" s="110">
        <f>PROP_InOut!$C$8*'PROP_Table (2)'!C40</f>
        <v>133.32646782920162</v>
      </c>
      <c r="I40" s="111">
        <f t="shared" si="5"/>
        <v>134.752178178355</v>
      </c>
      <c r="J40" s="112">
        <f>I40/PROP_InOut!$D$8</f>
        <v>0.38932601180759474</v>
      </c>
      <c r="K40" s="110">
        <f t="shared" si="6"/>
        <v>0.14559498246526237</v>
      </c>
      <c r="L40" s="111">
        <f t="shared" si="7"/>
        <v>8.3419780135407589</v>
      </c>
      <c r="M40" s="90">
        <f t="shared" si="15"/>
        <v>8.6837917845731666E-3</v>
      </c>
      <c r="N40" s="90">
        <f t="shared" si="16"/>
        <v>0.49754461942641981</v>
      </c>
      <c r="O40" s="110">
        <f t="shared" si="8"/>
        <v>0.19559730394175251</v>
      </c>
      <c r="P40" s="87">
        <v>11.206899999999999</v>
      </c>
      <c r="Q40" s="110">
        <f t="shared" si="30"/>
        <v>4.1318529691916982E-2</v>
      </c>
      <c r="R40" s="112">
        <f t="shared" si="10"/>
        <v>2.3673773670328204</v>
      </c>
      <c r="S40" s="127">
        <f t="shared" si="17"/>
        <v>1.1717087253391369</v>
      </c>
      <c r="T40" s="127">
        <f t="shared" si="18"/>
        <v>134.92715159043755</v>
      </c>
      <c r="U40" s="122">
        <v>1.1717087253386953</v>
      </c>
      <c r="V40" s="122">
        <v>0.49754461942641981</v>
      </c>
      <c r="W40" s="123">
        <f t="shared" si="19"/>
        <v>2.3673773670328204</v>
      </c>
      <c r="X40" s="122">
        <f t="shared" si="20"/>
        <v>134.92715159043755</v>
      </c>
      <c r="Y40" s="128">
        <v>0.72319999999999995</v>
      </c>
      <c r="Z40" s="127">
        <v>3.764E-2</v>
      </c>
      <c r="AA40" s="122">
        <f t="shared" si="21"/>
        <v>-2.4783730623312294E-10</v>
      </c>
      <c r="AB40" s="122">
        <f t="shared" si="22"/>
        <v>561.08771970209432</v>
      </c>
      <c r="AC40" s="122">
        <f t="shared" si="23"/>
        <v>1.1717087253391369</v>
      </c>
      <c r="AD40" s="138">
        <f t="shared" si="24"/>
        <v>4.4164671919588727E-13</v>
      </c>
      <c r="AE40" s="122">
        <f t="shared" si="25"/>
        <v>8.6837916551024841E-3</v>
      </c>
      <c r="AF40" s="122">
        <f t="shared" si="26"/>
        <v>0.49754461200829614</v>
      </c>
      <c r="AG40" s="144">
        <v>0.3430617567620789</v>
      </c>
      <c r="AL40" s="50"/>
      <c r="AM40" s="50"/>
      <c r="AN40" s="96">
        <v>0.49754461942641981</v>
      </c>
      <c r="AO40" s="113">
        <f>PROP_InOut!$F$8*'PROP_Table (2)'!I40*'PROP_Table (2)'!E40</f>
        <v>54721.182804472483</v>
      </c>
      <c r="AP40" s="91">
        <f t="shared" si="27"/>
        <v>0.72319999999999995</v>
      </c>
      <c r="AQ40" s="91">
        <f t="shared" si="28"/>
        <v>3.764E-2</v>
      </c>
      <c r="AR40" s="8">
        <f>0.5*PROP_InOut!$J$8*I40^2*E40*AP40*(C40-C39)</f>
        <v>0.33805511849573922</v>
      </c>
      <c r="AS40" s="8">
        <f>0.5*PROP_InOut!$J$8*I40^2*E40*AQ40*(C40-C39)</f>
        <v>1.7594572262416515E-2</v>
      </c>
      <c r="AT40" s="110">
        <f t="shared" si="0"/>
        <v>0.33219722218093789</v>
      </c>
      <c r="AU40" s="110">
        <f t="shared" si="1"/>
        <v>1.8438171147050011E-2</v>
      </c>
      <c r="AV40" s="95">
        <f t="shared" si="2"/>
        <v>9.2680356833925757</v>
      </c>
      <c r="AW40" s="88">
        <f>PROP_InOut!$G$4/2*((PROP_InOut!$E$8-'PROP_Table (2)'!C40)/('PROP_Table (2)'!C40*SIN('PROP_Table (2)'!K40)))</f>
        <v>3.7820812329329739E-2</v>
      </c>
      <c r="AX40" s="88">
        <f t="shared" si="11"/>
        <v>0.17398812212773362</v>
      </c>
      <c r="AY40" s="88">
        <f>PROP_InOut!$G$4/2*((C40-PROP_InOut!$J$12/2)/(C40*SIN('PROP_Table (2)'!K40)))</f>
        <v>6.4801638604827998</v>
      </c>
      <c r="AZ40" s="88">
        <f t="shared" si="12"/>
        <v>0.99902370540094687</v>
      </c>
      <c r="BA40" s="88">
        <f t="shared" si="13"/>
        <v>0.17381825846380092</v>
      </c>
      <c r="BB40" s="25">
        <f>0.5*PROP_InOut!$J$8*T40^2*E40*AP40*(C40-C39)</f>
        <v>0.33893360612268297</v>
      </c>
      <c r="BC40" s="25">
        <f>0.5*PROP_InOut!$J$8*T40^2*E40*AQ40*(C40-C39)</f>
        <v>1.7640294433708223E-2</v>
      </c>
      <c r="BD40" s="108">
        <f t="shared" si="3"/>
        <v>5.7741942626002962E-2</v>
      </c>
      <c r="BE40" s="108">
        <f t="shared" si="4"/>
        <v>3.2048907980377355E-3</v>
      </c>
      <c r="BF40" s="88">
        <f t="shared" si="29"/>
        <v>1.6109538218676605</v>
      </c>
    </row>
    <row r="41" spans="1:58" s="96" customFormat="1" x14ac:dyDescent="0.25">
      <c r="A41" s="177"/>
      <c r="B41" s="107">
        <v>38</v>
      </c>
      <c r="C41" s="87">
        <v>0.26669999999999999</v>
      </c>
      <c r="D41" s="108">
        <f>C41/PROP_InOut!$E$8</f>
        <v>1</v>
      </c>
      <c r="E41" s="88">
        <v>5.0000000000000001E-3</v>
      </c>
      <c r="F41" s="109">
        <f>E41*PROP_InOut!$G$8</f>
        <v>3.1353124999999998E-5</v>
      </c>
      <c r="G41" s="96">
        <f>PROP_InOut!$C$4</f>
        <v>19.55</v>
      </c>
      <c r="H41" s="110">
        <f>PROP_InOut!$C$8*'PROP_Table (2)'!C41</f>
        <v>134.05804171398364</v>
      </c>
      <c r="I41" s="111">
        <f t="shared" si="5"/>
        <v>135.47605341235837</v>
      </c>
      <c r="J41" s="112">
        <f>I41/PROP_InOut!$D$8</f>
        <v>0.39141743223367359</v>
      </c>
      <c r="K41" s="110">
        <f t="shared" si="6"/>
        <v>0.14481154079122233</v>
      </c>
      <c r="L41" s="111">
        <f t="shared" si="7"/>
        <v>8.2970901121236018</v>
      </c>
      <c r="M41" s="90">
        <f t="shared" si="15"/>
        <v>6.0529572784871928E-3</v>
      </c>
      <c r="N41" s="90">
        <f t="shared" si="16"/>
        <v>0.34680890563030903</v>
      </c>
      <c r="O41" s="110">
        <f t="shared" si="8"/>
        <v>0.19198621771937624</v>
      </c>
      <c r="P41" s="87">
        <v>11</v>
      </c>
      <c r="Q41" s="110">
        <f t="shared" si="30"/>
        <v>4.1121719649666717E-2</v>
      </c>
      <c r="R41" s="112">
        <f t="shared" si="10"/>
        <v>2.356100982246089</v>
      </c>
      <c r="S41" s="127">
        <f t="shared" si="17"/>
        <v>0.82077284520418037</v>
      </c>
      <c r="T41" s="127">
        <f t="shared" si="18"/>
        <v>135.59692818970325</v>
      </c>
      <c r="U41" s="122">
        <v>0.82077284482251855</v>
      </c>
      <c r="V41" s="122">
        <v>0.34680890563030903</v>
      </c>
      <c r="W41" s="123">
        <f t="shared" si="19"/>
        <v>2.356100982246089</v>
      </c>
      <c r="X41" s="122">
        <f t="shared" si="20"/>
        <v>135.59692818970325</v>
      </c>
      <c r="Y41" s="128">
        <v>0.62341000000000002</v>
      </c>
      <c r="Z41" s="127">
        <v>4.5310000000000003E-2</v>
      </c>
      <c r="AA41" s="122">
        <f t="shared" si="21"/>
        <v>-2.6601423996908125E-7</v>
      </c>
      <c r="AB41" s="122">
        <f t="shared" si="22"/>
        <v>696.98940875227208</v>
      </c>
      <c r="AC41" s="122">
        <f t="shared" si="23"/>
        <v>0.82077284520418037</v>
      </c>
      <c r="AD41" s="138">
        <f t="shared" si="24"/>
        <v>3.8166181326459991E-10</v>
      </c>
      <c r="AE41" s="122">
        <f t="shared" si="25"/>
        <v>6.0529602862128473E-3</v>
      </c>
      <c r="AF41" s="122">
        <f t="shared" si="26"/>
        <v>0.34680907796029498</v>
      </c>
      <c r="AG41" s="144">
        <v>0.35174083166570996</v>
      </c>
      <c r="AH41" s="50"/>
      <c r="AI41" s="50"/>
      <c r="AJ41" s="50"/>
      <c r="AK41" s="50"/>
      <c r="AL41" s="50"/>
      <c r="AM41" s="50"/>
      <c r="AN41" s="131">
        <v>0.34680890563030903</v>
      </c>
      <c r="AO41" s="113">
        <f>PROP_InOut!$F$8*'PROP_Table (2)'!I41*'PROP_Table (2)'!E41</f>
        <v>43862.907557370963</v>
      </c>
      <c r="AP41" s="91">
        <f t="shared" si="27"/>
        <v>0.62341000000000002</v>
      </c>
      <c r="AQ41" s="91">
        <f t="shared" si="28"/>
        <v>4.5310000000000003E-2</v>
      </c>
      <c r="AR41" s="8">
        <f>0.5*PROP_InOut!$J$8*I41^2*E41*AP41*(C41-C40)</f>
        <v>4.9526373611622827E-2</v>
      </c>
      <c r="AS41" s="8">
        <f>0.5*PROP_InOut!$J$8*I41^2*E41*AQ41*(C41-C40)</f>
        <v>3.5996214182362016E-3</v>
      </c>
      <c r="AT41" s="110">
        <f t="shared" si="0"/>
        <v>4.8509278262119288E-2</v>
      </c>
      <c r="AU41" s="110">
        <f t="shared" si="1"/>
        <v>2.9395240485079856E-3</v>
      </c>
      <c r="AV41" s="95">
        <f t="shared" si="2"/>
        <v>1.4775659449349141</v>
      </c>
      <c r="AW41" s="88">
        <f>PROP_InOut!$G$4/2*((PROP_InOut!$E$8-'PROP_Table (2)'!C41)/('PROP_Table (2)'!C41*SIN('PROP_Table (2)'!K41)))</f>
        <v>0</v>
      </c>
      <c r="AX41" s="88">
        <f t="shared" si="11"/>
        <v>0</v>
      </c>
      <c r="AY41" s="88">
        <f>PROP_InOut!$G$4/2*((C41-PROP_InOut!$J$12/2)/(C41*SIN('PROP_Table (2)'!K41)))</f>
        <v>6.5172379853710325</v>
      </c>
      <c r="AZ41" s="88">
        <f t="shared" si="12"/>
        <v>0.99905923795664309</v>
      </c>
      <c r="BA41" s="88">
        <f t="shared" si="13"/>
        <v>0</v>
      </c>
      <c r="BB41" s="25">
        <f>0.5*PROP_InOut!$J$8*T41^2*E41*AP41*(C41-C40)</f>
        <v>4.9614790123209705E-2</v>
      </c>
      <c r="BC41" s="25">
        <f>0.5*PROP_InOut!$J$8*T41^2*E41*AQ41*(C41-C40)</f>
        <v>3.6060476098917758E-3</v>
      </c>
      <c r="BD41" s="108">
        <f t="shared" si="3"/>
        <v>0</v>
      </c>
      <c r="BE41" s="108">
        <f t="shared" si="4"/>
        <v>0</v>
      </c>
      <c r="BF41" s="88">
        <f t="shared" si="29"/>
        <v>0</v>
      </c>
    </row>
    <row r="42" spans="1:58" ht="15.75" thickBot="1" x14ac:dyDescent="0.3">
      <c r="A42" s="177"/>
      <c r="B42" s="3">
        <v>39</v>
      </c>
      <c r="C42" s="114"/>
      <c r="D42" s="25"/>
      <c r="E42" s="72"/>
      <c r="F42" s="26"/>
      <c r="H42" s="8"/>
      <c r="I42" s="27"/>
      <c r="J42" s="68"/>
      <c r="K42" s="8"/>
      <c r="L42" s="27"/>
      <c r="M42" s="90"/>
      <c r="N42" s="90"/>
      <c r="O42" s="8"/>
      <c r="P42" s="27"/>
      <c r="Q42" s="8"/>
      <c r="R42" s="68"/>
      <c r="S42" s="127"/>
      <c r="T42" s="127"/>
      <c r="U42" s="122"/>
      <c r="V42" s="122"/>
      <c r="W42" s="123"/>
      <c r="X42" s="122"/>
      <c r="Y42" s="128"/>
      <c r="Z42" s="127"/>
      <c r="AA42" s="122"/>
      <c r="AB42" s="122"/>
      <c r="AC42" s="122"/>
      <c r="AD42" s="138"/>
      <c r="AE42" s="122"/>
      <c r="AF42" s="122"/>
      <c r="AG42" s="146"/>
      <c r="AH42" s="132"/>
      <c r="AI42" s="132"/>
      <c r="AJ42" s="132"/>
      <c r="AK42" s="132"/>
      <c r="AL42" s="132"/>
      <c r="AM42" s="132"/>
      <c r="AN42" s="133"/>
      <c r="AO42" s="67"/>
      <c r="AP42" s="91"/>
      <c r="AQ42" s="91"/>
      <c r="AR42" s="8"/>
      <c r="AS42" s="8"/>
      <c r="AT42" s="8"/>
      <c r="AU42" s="8"/>
      <c r="AV42" s="55"/>
      <c r="AW42" s="79"/>
      <c r="AX42" s="79"/>
      <c r="AY42" s="79"/>
      <c r="AZ42" s="79"/>
      <c r="BA42" s="79"/>
      <c r="BB42" s="25"/>
      <c r="BC42" s="25"/>
      <c r="BD42" s="25"/>
      <c r="BE42" s="25"/>
      <c r="BF42" s="25"/>
    </row>
    <row r="43" spans="1:58" x14ac:dyDescent="0.25">
      <c r="C43" s="8"/>
      <c r="D43" s="25"/>
      <c r="E43" s="25"/>
      <c r="F43" s="26"/>
      <c r="H43" s="8"/>
      <c r="I43" s="27"/>
      <c r="J43" s="68"/>
      <c r="K43" s="8"/>
      <c r="L43" s="27"/>
      <c r="O43" s="8"/>
      <c r="P43" s="27"/>
      <c r="Q43" s="8"/>
      <c r="R43" s="68"/>
      <c r="V43" s="139"/>
      <c r="AO43" s="67"/>
      <c r="AP43" s="8"/>
      <c r="AQ43" s="8"/>
      <c r="AR43" s="8"/>
      <c r="AS43" s="8"/>
      <c r="AT43" s="8"/>
      <c r="AU43" s="8"/>
      <c r="AV43" s="55"/>
      <c r="AW43" s="50"/>
      <c r="AX43" s="50"/>
      <c r="AY43" s="50"/>
      <c r="AZ43" s="50"/>
      <c r="BA43" s="50"/>
    </row>
    <row r="44" spans="1:58" x14ac:dyDescent="0.25">
      <c r="W44" s="140">
        <f>W24</f>
        <v>1.4043650593635602</v>
      </c>
    </row>
  </sheetData>
  <mergeCells count="15">
    <mergeCell ref="AH9:AM9"/>
    <mergeCell ref="AO2:AO3"/>
    <mergeCell ref="AP2:AP3"/>
    <mergeCell ref="AQ2:AQ3"/>
    <mergeCell ref="B1:B2"/>
    <mergeCell ref="C1:F1"/>
    <mergeCell ref="G1:J1"/>
    <mergeCell ref="K1:R1"/>
    <mergeCell ref="AG2:AN2"/>
    <mergeCell ref="Q2:R2"/>
    <mergeCell ref="A4:A23"/>
    <mergeCell ref="A24:A42"/>
    <mergeCell ref="K2:L2"/>
    <mergeCell ref="M2:N2"/>
    <mergeCell ref="O2:P2"/>
  </mergeCells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K c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v x B F 5 a w A A A D 2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s z D T M z c y 1 T O w 0 Y e J 2 f h m 5 i H k j Y D u B c k i C d o 4 l + a U l B a l 2 q X m 6 Y Y G 2 + j D u D b 6 U C / Y A Q A A A P / / A w B Q S w M E F A A C A A g A A A A h A J M H M b u 3 A Q A A F g g A A B M A A A B G b 3 J t d W x h c y 9 T Z W N 0 a W 9 u M S 5 t 7 J T f i h M x F M b v C 3 2 H w + x N C 9 N i W 2 t h Z S 7 q z C 7 e + G f p C A s d k e z k b B v M 5 A x J p r a U P o z s h Q / g I / T F T J 2 W R c w o q I i i u Z n M 7 w s 5 O X x f Y j C 3 g h T M 6 u / g c b v V b p k l 0 8 j h L F j f 9 n L J 9 N t N T 8 j e 4 M H n E U A E E m 2 7 B W 7 M q N I 5 O h K b V T + h v C p Q 2 c 6 l k N i P S V n 3 Y z p B f J 6 9 M q h N V i L X l C X 0 T k l i 3 G S + 7 f u 5 W Q X d c J 6 g F I W w q K M g D E K I S V a F M t E k h A u V E x d q E Q 2 G 4 2 E I V x V Z n N m N x O h + 2 n 9 O C l 9 3 w / q U Z 0 G 8 Z G r h W k o 3 J R 4 a S N m N W 5 R q p s w t 6 a L e / S C a T t 1 S u N 0 G N R 2 4 6 t Y p Y H F t d y G c + L C B j x r 4 w w Y + b u C P G v j k C 7 7 r t l t C e d v 8 v p X Q G X b / W T t V V d y g 9 h n 6 l T J q V P 4 8 U 3 / a z x c K E y 1 W m I 1 7 k A j j F M v 2 H / Z 3 B B z h G R q r G a d s B F O 1 f y + F Q U h x / 1 G L n M F L T W U l j V v q i 8 L / i / 3 b M v B L 7 v X f l Q N X s 3 A a h 6 f I u G v i P g t H 5 c h P K Y D 5 k U + l n O X M n d F E V l c / G C 1 P / U P O p r J c M t / b I X 2 Q e 2 H p o 4 U H p l S + u b b a o z w h 6 1 G + F b B P A A A A / / 8 D A F B L A Q I t A B Q A B g A I A A A A I Q A q 3 a p A 0 g A A A D c B A A A T A A A A A A A A A A A A A A A A A A A A A A B b Q 2 9 u d G V u d F 9 U e X B l c 1 0 u e G 1 s U E s B A i 0 A F A A C A A g A A A A h A L 8 Q R e W s A A A A 9 g A A A B I A A A A A A A A A A A A A A A A A C w M A A E N v b m Z p Z y 9 Q Y W N r Y W d l L n h t b F B L A Q I t A B Q A A g A I A A A A I Q C T B z G 7 t w E A A B Y I A A A T A A A A A A A A A A A A A A A A A O c D A A B G b 3 J t d W x h c y 9 T Z W N 0 a W 9 u M S 5 t U E s F B g A A A A A D A A M A w g A A A M 8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T K w A A A A A A A H E r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e G Y t Y 2 x h c m t 5 L W l s L T E w M D A w M D A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T Q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A t M T A t M j Z U M T U 6 M D M 6 M j c u M z g 5 N D Y x N F o i L z 4 8 R W 5 0 c n k g V H l w Z T 0 i R m l s b E N v b H V t b l R 5 c G V z I i B W Y W x 1 Z T 0 i c 0 J n W U d C Z 1 l H Q m c 9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4 Z i 1 j b G F y a 3 k t a W w t M T A w M D A w M C 9 D a G F u Z 2 V k I F R 5 c G U u e 0 N v b H V t b j E s M H 0 m c X V v d D s s J n F 1 b 3 Q 7 U 2 V j d G l v b j E v e G Y t Y 2 x h c m t 5 L W l s L T E w M D A w M D A v Q 2 h h b m d l Z C B U e X B l L n t D b 2 x 1 b W 4 y L D F 9 J n F 1 b 3 Q 7 L C Z x d W 9 0 O 1 N l Y 3 R p b 2 4 x L 3 h m L W N s Y X J r e S 1 p b C 0 x M D A w M D A w L 0 N o Y W 5 n Z W Q g V H l w Z S 5 7 Q 2 9 s d W 1 u M y w y f S Z x d W 9 0 O y w m c X V v d D t T Z W N 0 a W 9 u M S 9 4 Z i 1 j b G F y a 3 k t a W w t M T A w M D A w M C 9 D a G F u Z 2 V k I F R 5 c G U u e 0 N v b H V t b j Q s M 3 0 m c X V v d D s s J n F 1 b 3 Q 7 U 2 V j d G l v b j E v e G Y t Y 2 x h c m t 5 L W l s L T E w M D A w M D A v Q 2 h h b m d l Z C B U e X B l L n t D b 2 x 1 b W 4 1 L D R 9 J n F 1 b 3 Q 7 L C Z x d W 9 0 O 1 N l Y 3 R p b 2 4 x L 3 h m L W N s Y X J r e S 1 p b C 0 x M D A w M D A w L 0 N o Y W 5 n Z W Q g V H l w Z S 5 7 Q 2 9 s d W 1 u N i w 1 f S Z x d W 9 0 O y w m c X V v d D t T Z W N 0 a W 9 u M S 9 4 Z i 1 j b G F y a 3 k t a W w t M T A w M D A w M C 9 D a G F u Z 2 V k I F R 5 c G U u e 0 N v b H V t b j c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e G Y t Y 2 x h c m t 5 L W l s L T E w M D A w M D A v Q 2 h h b m d l Z C B U e X B l L n t D b 2 x 1 b W 4 x L D B 9 J n F 1 b 3 Q 7 L C Z x d W 9 0 O 1 N l Y 3 R p b 2 4 x L 3 h m L W N s Y X J r e S 1 p b C 0 x M D A w M D A w L 0 N o Y W 5 n Z W Q g V H l w Z S 5 7 Q 2 9 s d W 1 u M i w x f S Z x d W 9 0 O y w m c X V v d D t T Z W N 0 a W 9 u M S 9 4 Z i 1 j b G F y a 3 k t a W w t M T A w M D A w M C 9 D a G F u Z 2 V k I F R 5 c G U u e 0 N v b H V t b j M s M n 0 m c X V v d D s s J n F 1 b 3 Q 7 U 2 V j d G l v b j E v e G Y t Y 2 x h c m t 5 L W l s L T E w M D A w M D A v Q 2 h h b m d l Z C B U e X B l L n t D b 2 x 1 b W 4 0 L D N 9 J n F 1 b 3 Q 7 L C Z x d W 9 0 O 1 N l Y 3 R p b 2 4 x L 3 h m L W N s Y X J r e S 1 p b C 0 x M D A w M D A w L 0 N o Y W 5 n Z W Q g V H l w Z S 5 7 Q 2 9 s d W 1 u N S w 0 f S Z x d W 9 0 O y w m c X V v d D t T Z W N 0 a W 9 u M S 9 4 Z i 1 j b G F y a 3 k t a W w t M T A w M D A w M C 9 D a G F u Z 2 V k I F R 5 c G U u e 0 N v b H V t b j Y s N X 0 m c X V v d D s s J n F 1 b 3 Q 7 U 2 V j d G l v b j E v e G Y t Y 2 x h c m t 5 L W l s L T E w M D A w M D A v Q 2 h h b m d l Z C B U e X B l L n t D b 2 x 1 b W 4 3 L D Z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4 Z i 1 j b G F y a 3 k t a W w t M T A w M D A w M C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x N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T A i L z 4 8 R W 5 0 c n k g V H l w Z T 0 i R m l s b E x h c 3 R V c G R h d G V k I i B W Y W x 1 Z T 0 i Z D I w M j A t M T A t M j Z U M T U 6 M T Q 6 M T U u N j g y N D A 1 M 1 o i L z 4 8 R W 5 0 c n k g V H l w Z T 0 i R m l s b E N v b H V t b l R 5 c G V z I i B W Y W x 1 Z T 0 i c 0 J R V U Z C Z 1 l H Q m c 9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4 Z i 1 j b G F y a 3 k t a W w t M T A w M D A w M C A o M i k v Q 2 h h b m d l Z C B U e X B l L n t D b 2 x 1 b W 4 x L D B 9 J n F 1 b 3 Q 7 L C Z x d W 9 0 O 1 N l Y 3 R p b 2 4 x L 3 h m L W N s Y X J r e S 1 p b C 0 x M D A w M D A w I C g y K S 9 D a G F u Z 2 V k I F R 5 c G U u e 0 N v b H V t b j I s M X 0 m c X V v d D s s J n F 1 b 3 Q 7 U 2 V j d G l v b j E v e G Y t Y 2 x h c m t 5 L W l s L T E w M D A w M D A g K D I p L 0 N o Y W 5 n Z W Q g V H l w Z S 5 7 Q 2 9 s d W 1 u M y w y f S Z x d W 9 0 O y w m c X V v d D t T Z W N 0 a W 9 u M S 9 4 Z i 1 j b G F y a 3 k t a W w t M T A w M D A w M C A o M i k v Q 2 h h b m d l Z C B U e X B l L n t D b 2 x 1 b W 4 0 L D N 9 J n F 1 b 3 Q 7 L C Z x d W 9 0 O 1 N l Y 3 R p b 2 4 x L 3 h m L W N s Y X J r e S 1 p b C 0 x M D A w M D A w I C g y K S 9 D a G F u Z 2 V k I F R 5 c G U u e 0 N v b H V t b j U s N H 0 m c X V v d D s s J n F 1 b 3 Q 7 U 2 V j d G l v b j E v e G Y t Y 2 x h c m t 5 L W l s L T E w M D A w M D A g K D I p L 0 N o Y W 5 n Z W Q g V H l w Z S 5 7 Q 2 9 s d W 1 u N i w 1 f S Z x d W 9 0 O y w m c X V v d D t T Z W N 0 a W 9 u M S 9 4 Z i 1 j b G F y a 3 k t a W w t M T A w M D A w M C A o M i k v Q 2 h h b m d l Z C B U e X B l L n t D b 2 x 1 b W 4 3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3 h m L W N s Y X J r e S 1 p b C 0 x M D A w M D A w I C g y K S 9 D a G F u Z 2 V k I F R 5 c G U u e 0 N v b H V t b j E s M H 0 m c X V v d D s s J n F 1 b 3 Q 7 U 2 V j d G l v b j E v e G Y t Y 2 x h c m t 5 L W l s L T E w M D A w M D A g K D I p L 0 N o Y W 5 n Z W Q g V H l w Z S 5 7 Q 2 9 s d W 1 u M i w x f S Z x d W 9 0 O y w m c X V v d D t T Z W N 0 a W 9 u M S 9 4 Z i 1 j b G F y a 3 k t a W w t M T A w M D A w M C A o M i k v Q 2 h h b m d l Z C B U e X B l L n t D b 2 x 1 b W 4 z L D J 9 J n F 1 b 3 Q 7 L C Z x d W 9 0 O 1 N l Y 3 R p b 2 4 x L 3 h m L W N s Y X J r e S 1 p b C 0 x M D A w M D A w I C g y K S 9 D a G F u Z 2 V k I F R 5 c G U u e 0 N v b H V t b j Q s M 3 0 m c X V v d D s s J n F 1 b 3 Q 7 U 2 V j d G l v b j E v e G Y t Y 2 x h c m t 5 L W l s L T E w M D A w M D A g K D I p L 0 N o Y W 5 n Z W Q g V H l w Z S 5 7 Q 2 9 s d W 1 u N S w 0 f S Z x d W 9 0 O y w m c X V v d D t T Z W N 0 a W 9 u M S 9 4 Z i 1 j b G F y a 3 k t a W w t M T A w M D A w M C A o M i k v Q 2 h h b m d l Z C B U e X B l L n t D b 2 x 1 b W 4 2 L D V 9 J n F 1 b 3 Q 7 L C Z x d W 9 0 O 1 N l Y 3 R p b 2 4 x L 3 h m L W N s Y X J r e S 1 p b C 0 x M D A w M D A w I C g y K S 9 D a G F u Z 2 V k I F R 5 c G U u e 0 N v b H V t b j c s N n 0 m c X V v d D t d L C Z x d W 9 0 O 1 J l b G F 0 a W 9 u c 2 h p c E l u Z m 8 m c X V v d D s 6 W 1 1 9 I i 8 + P E V u d H J 5 I F R 5 c G U 9 I l J l c 3 V s d F R 5 c G U i I F Z h b H V l P S J z V G F i b G U i L z 4 8 R W 5 0 c n k g V H l w Z T 0 i T m F 2 a W d h d G l v b l N 0 Z X B O Y W 1 l I i B W Y W x 1 Z T 0 i c 0 5 h d m l n Y X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3 h m L W N s Y X J r e S 1 p b C 0 x M D A w M D A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T I 0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A t M T E t M T h U M j I 6 N T E 6 N D c u O T Y z M j I x M l o i L z 4 8 R W 5 0 c n k g V H l w Z T 0 i R m l s b E N v b H V t b l R 5 c G V z I i B W Y W x 1 Z T 0 i c 0 J n W U d C Z 1 l H Q m c 9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4 Z i 1 j b G F y a 3 k t a W w t M T A w M D A w L 0 F 1 d G 9 S Z W 1 v d m V k Q 2 9 s d W 1 u c z E u e 0 N v b H V t b j E s M H 0 m c X V v d D s s J n F 1 b 3 Q 7 U 2 V j d G l v b j E v e G Y t Y 2 x h c m t 5 L W l s L T E w M D A w M C 9 B d X R v U m V t b 3 Z l Z E N v b H V t b n M x L n t D b 2 x 1 b W 4 y L D F 9 J n F 1 b 3 Q 7 L C Z x d W 9 0 O 1 N l Y 3 R p b 2 4 x L 3 h m L W N s Y X J r e S 1 p b C 0 x M D A w M D A v Q X V 0 b 1 J l b W 9 2 Z W R D b 2 x 1 b W 5 z M S 5 7 Q 2 9 s d W 1 u M y w y f S Z x d W 9 0 O y w m c X V v d D t T Z W N 0 a W 9 u M S 9 4 Z i 1 j b G F y a 3 k t a W w t M T A w M D A w L 0 F 1 d G 9 S Z W 1 v d m V k Q 2 9 s d W 1 u c z E u e 0 N v b H V t b j Q s M 3 0 m c X V v d D s s J n F 1 b 3 Q 7 U 2 V j d G l v b j E v e G Y t Y 2 x h c m t 5 L W l s L T E w M D A w M C 9 B d X R v U m V t b 3 Z l Z E N v b H V t b n M x L n t D b 2 x 1 b W 4 1 L D R 9 J n F 1 b 3 Q 7 L C Z x d W 9 0 O 1 N l Y 3 R p b 2 4 x L 3 h m L W N s Y X J r e S 1 p b C 0 x M D A w M D A v Q X V 0 b 1 J l b W 9 2 Z W R D b 2 x 1 b W 5 z M S 5 7 Q 2 9 s d W 1 u N i w 1 f S Z x d W 9 0 O y w m c X V v d D t T Z W N 0 a W 9 u M S 9 4 Z i 1 j b G F y a 3 k t a W w t M T A w M D A w L 0 F 1 d G 9 S Z W 1 v d m V k Q 2 9 s d W 1 u c z E u e 0 N v b H V t b j c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e G Y t Y 2 x h c m t 5 L W l s L T E w M D A w M C 9 B d X R v U m V t b 3 Z l Z E N v b H V t b n M x L n t D b 2 x 1 b W 4 x L D B 9 J n F 1 b 3 Q 7 L C Z x d W 9 0 O 1 N l Y 3 R p b 2 4 x L 3 h m L W N s Y X J r e S 1 p b C 0 x M D A w M D A v Q X V 0 b 1 J l b W 9 2 Z W R D b 2 x 1 b W 5 z M S 5 7 Q 2 9 s d W 1 u M i w x f S Z x d W 9 0 O y w m c X V v d D t T Z W N 0 a W 9 u M S 9 4 Z i 1 j b G F y a 3 k t a W w t M T A w M D A w L 0 F 1 d G 9 S Z W 1 v d m V k Q 2 9 s d W 1 u c z E u e 0 N v b H V t b j M s M n 0 m c X V v d D s s J n F 1 b 3 Q 7 U 2 V j d G l v b j E v e G Y t Y 2 x h c m t 5 L W l s L T E w M D A w M C 9 B d X R v U m V t b 3 Z l Z E N v b H V t b n M x L n t D b 2 x 1 b W 4 0 L D N 9 J n F 1 b 3 Q 7 L C Z x d W 9 0 O 1 N l Y 3 R p b 2 4 x L 3 h m L W N s Y X J r e S 1 p b C 0 x M D A w M D A v Q X V 0 b 1 J l b W 9 2 Z W R D b 2 x 1 b W 5 z M S 5 7 Q 2 9 s d W 1 u N S w 0 f S Z x d W 9 0 O y w m c X V v d D t T Z W N 0 a W 9 u M S 9 4 Z i 1 j b G F y a 3 k t a W w t M T A w M D A w L 0 F 1 d G 9 S Z W 1 v d m V k Q 2 9 s d W 1 u c z E u e 0 N v b H V t b j Y s N X 0 m c X V v d D s s J n F 1 b 3 Q 7 U 2 V j d G l v b j E v e G Y t Y 2 x h c m t 5 L W l s L T E w M D A w M C 9 B d X R v U m V t b 3 Z l Z E N v b H V t b n M x L n t D b 2 x 1 b W 4 3 L D Z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4 Z i 1 j b G F y a 3 k t a W w t M T A w M D A w J T I w K D I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E x M y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w L T E x L T E 4 V D I y O j U 2 O j E y L j Y x N T I 5 M j R a I i 8 + P E V u d H J 5 I F R 5 c G U 9 I k Z p b G x D b 2 x 1 b W 5 U e X B l c y I g V m F s d W U 9 I n N C U V V G Q l F V R k J R P T 0 i L z 4 8 R W 5 0 c n k g V H l w Z T 0 i R m l s b E N v b H V t b k 5 h b W V z I i B W Y W x 1 Z T 0 i c 1 s m c X V v d D t B b H B o Y S Z x d W 9 0 O y w m c X V v d D t D b C Z x d W 9 0 O y w m c X V v d D t D Z C Z x d W 9 0 O y w m c X V v d D t D Z H A m c X V v d D s s J n F 1 b 3 Q 7 Q 2 0 m c X V v d D s s J n F 1 b 3 Q 7 V G 9 w X 1 h 0 c i Z x d W 9 0 O y w m c X V v d D t C b 3 R f W H R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G Y t Y 2 x h c m t 5 L W l s L T E w M D A w M C A o M i k v Q X V 0 b 1 J l b W 9 2 Z W R D b 2 x 1 b W 5 z M S 5 7 Q W x w a G E s M H 0 m c X V v d D s s J n F 1 b 3 Q 7 U 2 V j d G l v b j E v e G Y t Y 2 x h c m t 5 L W l s L T E w M D A w M C A o M i k v Q X V 0 b 1 J l b W 9 2 Z W R D b 2 x 1 b W 5 z M S 5 7 Q 2 w s M X 0 m c X V v d D s s J n F 1 b 3 Q 7 U 2 V j d G l v b j E v e G Y t Y 2 x h c m t 5 L W l s L T E w M D A w M C A o M i k v Q X V 0 b 1 J l b W 9 2 Z W R D b 2 x 1 b W 5 z M S 5 7 Q 2 Q s M n 0 m c X V v d D s s J n F 1 b 3 Q 7 U 2 V j d G l v b j E v e G Y t Y 2 x h c m t 5 L W l s L T E w M D A w M C A o M i k v Q X V 0 b 1 J l b W 9 2 Z W R D b 2 x 1 b W 5 z M S 5 7 Q 2 R w L D N 9 J n F 1 b 3 Q 7 L C Z x d W 9 0 O 1 N l Y 3 R p b 2 4 x L 3 h m L W N s Y X J r e S 1 p b C 0 x M D A w M D A g K D I p L 0 F 1 d G 9 S Z W 1 v d m V k Q 2 9 s d W 1 u c z E u e 0 N t L D R 9 J n F 1 b 3 Q 7 L C Z x d W 9 0 O 1 N l Y 3 R p b 2 4 x L 3 h m L W N s Y X J r e S 1 p b C 0 x M D A w M D A g K D I p L 0 F 1 d G 9 S Z W 1 v d m V k Q 2 9 s d W 1 u c z E u e 1 R v c F 9 Y d H I s N X 0 m c X V v d D s s J n F 1 b 3 Q 7 U 2 V j d G l v b j E v e G Y t Y 2 x h c m t 5 L W l s L T E w M D A w M C A o M i k v Q X V 0 b 1 J l b W 9 2 Z W R D b 2 x 1 b W 5 z M S 5 7 Q m 9 0 X 1 h 0 c i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4 Z i 1 j b G F y a 3 k t a W w t M T A w M D A w I C g y K S 9 B d X R v U m V t b 3 Z l Z E N v b H V t b n M x L n t B b H B o Y S w w f S Z x d W 9 0 O y w m c X V v d D t T Z W N 0 a W 9 u M S 9 4 Z i 1 j b G F y a 3 k t a W w t M T A w M D A w I C g y K S 9 B d X R v U m V t b 3 Z l Z E N v b H V t b n M x L n t D b C w x f S Z x d W 9 0 O y w m c X V v d D t T Z W N 0 a W 9 u M S 9 4 Z i 1 j b G F y a 3 k t a W w t M T A w M D A w I C g y K S 9 B d X R v U m V t b 3 Z l Z E N v b H V t b n M x L n t D Z C w y f S Z x d W 9 0 O y w m c X V v d D t T Z W N 0 a W 9 u M S 9 4 Z i 1 j b G F y a 3 k t a W w t M T A w M D A w I C g y K S 9 B d X R v U m V t b 3 Z l Z E N v b H V t b n M x L n t D Z H A s M 3 0 m c X V v d D s s J n F 1 b 3 Q 7 U 2 V j d G l v b j E v e G Y t Y 2 x h c m t 5 L W l s L T E w M D A w M C A o M i k v Q X V 0 b 1 J l b W 9 2 Z W R D b 2 x 1 b W 5 z M S 5 7 Q 2 0 s N H 0 m c X V v d D s s J n F 1 b 3 Q 7 U 2 V j d G l v b j E v e G Y t Y 2 x h c m t 5 L W l s L T E w M D A w M C A o M i k v Q X V 0 b 1 J l b W 9 2 Z W R D b 2 x 1 b W 5 z M S 5 7 V G 9 w X 1 h 0 c i w 1 f S Z x d W 9 0 O y w m c X V v d D t T Z W N 0 a W 9 u M S 9 4 Z i 1 j b G F y a 3 k t a W w t M T A w M D A w I C g y K S 9 B d X R v U m V t b 3 Z l Z E N v b H V t b n M x L n t C b 3 R f W H R y L D Z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4 Z i 1 j b G F y a 3 k t a W w t M T A w M D A w M C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h m L W N s Y X J r e S 1 p b C 0 x M D A w M D A w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4 Z i 1 j b G F y a 3 k t a W w t M T A w M D A w M C U y M C g y K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h m L W N s Y X J r e S 1 p b C 0 x M D A w M D A w J T I w K D I p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4 Z i 1 j b G F y a 3 k t a W w t M T A w M D A w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e G Y t Y 2 x h c m t 5 L W l s L T E w M D A w M C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e G Y t Y 2 x h c m t 5 L W l s L T E w M D A w M C U y M C g y K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h m L W N s Y X J r e S 1 p b C 0 x M D A w M D A l M j A o M i k v U H J v b W 9 0 Z W Q l M j B I Z W F k Z X J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4 Z i 1 j b G F y a 3 k t a W w t M T A w M D A w J T I w K D I p L 0 N o Y W 5 n Z W Q l M j B U e X B l P C 9 J d G V t U G F 0 a D 4 8 L 0 l 0 Z W 1 M b 2 N h d G l v b j 4 8 U 3 R h Y m x l R W 5 0 c m l l c y 8 + P C 9 J d G V t P j x J d G V t P j x J d G V t T G 9 j Y X R p b 2 4 + P E l 0 Z W 1 U e X B l P k F s b E Z v c m 1 1 b G F z P C 9 J d G V t V H l w Z T 4 8 S X R l b V B h d G g + P C 9 J d G V t U G F 0 a D 4 8 L 0 l 0 Z W 1 M b 2 N h d G l v b j 4 8 U 3 R h Y m x l R W 5 0 c m l l c z 4 8 R W 5 0 c n k g V H l w Z T 0 i U X V l c n l H c m 9 1 c H M i I F Z h b H V l P S J z Q U F B Q U F B P T 0 i L z 4 8 R W 5 0 c n k g V H l w Z T 0 i U m V s Y X R p b 2 5 z a G l w c y I g V m F s d W U 9 I n N B Q U F B Q U E 9 P S I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R Z q i n a 1 / V S o C J q o d R r n D a A A A A A A I A A A A A A B B m A A A A A Q A A I A A A A K f x s k J O W K A G V 5 W 2 r x L h / c 3 6 n L o L M 5 + K e F w v / R I B V F L C A A A A A A 6 A A A A A A g A A I A A A A B M B T M O 1 K e N 4 D k 5 w 6 K X A j V q T t 5 t n j 4 H v + i e K i / a 7 7 X f C U A A A A N E a 2 S g c p F R E C i 7 q G E 9 X j j q j l q K u n t 0 w C Q C v O 1 u P t n p p x H o c J P R D m 4 Q c J T f d B 5 K c o e P n R i 3 D O 9 1 r V / z I A r I O R K Z 7 6 x T e Q K a 6 J f U Z t 7 s o I s h 5 Q A A A A J z A f c V N 0 2 G 0 a o 0 U c D y Q y t n k C A S y o r y i 6 K A S O M n i K W m G 9 K 3 m u M d G v n O w 2 e N x R s e J 0 V r 1 e h G N q + l u m f m n U B z 8 c x U = < / D a t a M a s h u p > 
</file>

<file path=customXml/itemProps1.xml><?xml version="1.0" encoding="utf-8"?>
<ds:datastoreItem xmlns:ds="http://schemas.openxmlformats.org/officeDocument/2006/customXml" ds:itemID="{51CB1247-D78F-42D2-9ACF-913FF2B7A6A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4</vt:i4>
      </vt:variant>
    </vt:vector>
  </HeadingPairs>
  <TitlesOfParts>
    <vt:vector size="4" baseType="lpstr">
      <vt:lpstr>PROP_InOut</vt:lpstr>
      <vt:lpstr>PROP_Table</vt:lpstr>
      <vt:lpstr>Conversor</vt:lpstr>
      <vt:lpstr>PROP_Table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Mendes</dc:creator>
  <cp:lastModifiedBy>Pedro</cp:lastModifiedBy>
  <dcterms:created xsi:type="dcterms:W3CDTF">2020-10-23T11:07:10Z</dcterms:created>
  <dcterms:modified xsi:type="dcterms:W3CDTF">2021-11-01T15:13:43Z</dcterms:modified>
</cp:coreProperties>
</file>