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BET21x13\"/>
    </mc:Choice>
  </mc:AlternateContent>
  <xr:revisionPtr revIDLastSave="0" documentId="13_ncr:1_{181D01D6-1813-4C06-92C3-280E47905A55}" xr6:coauthVersionLast="47" xr6:coauthVersionMax="47" xr10:uidLastSave="{00000000-0000-0000-0000-000000000000}"/>
  <bookViews>
    <workbookView xWindow="-120" yWindow="-120" windowWidth="20730" windowHeight="11160" xr2:uid="{2999A67B-CFAC-4A53-8180-99CD48303CF1}"/>
  </bookViews>
  <sheets>
    <sheet name="PROP_InOut" sheetId="1" r:id="rId1"/>
    <sheet name="PROP_Table" sheetId="2" r:id="rId2"/>
    <sheet name="Conversor" sheetId="3" r:id="rId3"/>
    <sheet name="PROP_Table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G12" i="1"/>
  <c r="E12" i="1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10" i="4"/>
  <c r="C12" i="1"/>
  <c r="B12" i="1"/>
  <c r="BH9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10" i="4"/>
  <c r="AL9" i="2"/>
  <c r="Y27" i="4"/>
  <c r="Z27" i="4"/>
  <c r="D8" i="1" l="1"/>
  <c r="N41" i="4" l="1"/>
  <c r="N40" i="4"/>
  <c r="N38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AQ39" i="4"/>
  <c r="AQ40" i="4"/>
  <c r="Z37" i="4"/>
  <c r="AQ37" i="4" s="1"/>
  <c r="Z35" i="4"/>
  <c r="Z33" i="4"/>
  <c r="AQ33" i="4" s="1"/>
  <c r="Z31" i="4"/>
  <c r="AQ31" i="4" s="1"/>
  <c r="Z29" i="4"/>
  <c r="AQ29" i="4" s="1"/>
  <c r="Z25" i="4"/>
  <c r="AQ25" i="4" s="1"/>
  <c r="Z23" i="4"/>
  <c r="AQ23" i="4" s="1"/>
  <c r="Z21" i="4"/>
  <c r="AQ21" i="4" s="1"/>
  <c r="Z19" i="4"/>
  <c r="AQ19" i="4" s="1"/>
  <c r="Z17" i="4"/>
  <c r="Z15" i="4"/>
  <c r="AQ15" i="4" s="1"/>
  <c r="Z13" i="4"/>
  <c r="AQ13" i="4" s="1"/>
  <c r="Z11" i="4"/>
  <c r="AQ11" i="4" s="1"/>
  <c r="AP39" i="4"/>
  <c r="Y37" i="4"/>
  <c r="AP37" i="4" s="1"/>
  <c r="Y35" i="4"/>
  <c r="AP35" i="4" s="1"/>
  <c r="Y33" i="4"/>
  <c r="AP33" i="4" s="1"/>
  <c r="Y31" i="4"/>
  <c r="AP31" i="4" s="1"/>
  <c r="Y29" i="4"/>
  <c r="AP29" i="4" s="1"/>
  <c r="AP27" i="4"/>
  <c r="Y25" i="4"/>
  <c r="AP25" i="4" s="1"/>
  <c r="Y23" i="4"/>
  <c r="AP23" i="4" s="1"/>
  <c r="Y21" i="4"/>
  <c r="AP21" i="4" s="1"/>
  <c r="Y19" i="4"/>
  <c r="AP19" i="4" s="1"/>
  <c r="Y17" i="4"/>
  <c r="AP17" i="4" s="1"/>
  <c r="Y15" i="4"/>
  <c r="AP15" i="4" s="1"/>
  <c r="Y13" i="4"/>
  <c r="AP13" i="4" s="1"/>
  <c r="Y11" i="4"/>
  <c r="AP11" i="4" s="1"/>
  <c r="N39" i="4"/>
  <c r="V37" i="4"/>
  <c r="N37" i="4" s="1"/>
  <c r="V35" i="4"/>
  <c r="N35" i="4" s="1"/>
  <c r="V33" i="4"/>
  <c r="N33" i="4" s="1"/>
  <c r="V31" i="4"/>
  <c r="N31" i="4" s="1"/>
  <c r="V29" i="4"/>
  <c r="N29" i="4" s="1"/>
  <c r="V25" i="4"/>
  <c r="N25" i="4" s="1"/>
  <c r="V23" i="4"/>
  <c r="N23" i="4" s="1"/>
  <c r="V21" i="4"/>
  <c r="N21" i="4" s="1"/>
  <c r="V19" i="4"/>
  <c r="N19" i="4" s="1"/>
  <c r="V17" i="4"/>
  <c r="N17" i="4" s="1"/>
  <c r="V15" i="4"/>
  <c r="N15" i="4" s="1"/>
  <c r="N13" i="4"/>
  <c r="V11" i="4"/>
  <c r="N11" i="4" s="1"/>
  <c r="U37" i="4"/>
  <c r="U35" i="4"/>
  <c r="U33" i="4"/>
  <c r="U31" i="4"/>
  <c r="U29" i="4"/>
  <c r="U27" i="4"/>
  <c r="U25" i="4"/>
  <c r="U23" i="4"/>
  <c r="U21" i="4"/>
  <c r="U19" i="4"/>
  <c r="U17" i="4"/>
  <c r="U15" i="4"/>
  <c r="U13" i="4"/>
  <c r="U11" i="4"/>
  <c r="K8" i="1"/>
  <c r="AQ12" i="4"/>
  <c r="AQ14" i="4"/>
  <c r="AQ16" i="4"/>
  <c r="AQ17" i="4"/>
  <c r="AQ18" i="4"/>
  <c r="AQ20" i="4"/>
  <c r="AQ22" i="4"/>
  <c r="AQ24" i="4"/>
  <c r="AQ26" i="4"/>
  <c r="AQ27" i="4"/>
  <c r="AQ28" i="4"/>
  <c r="AQ30" i="4"/>
  <c r="AQ32" i="4"/>
  <c r="AQ34" i="4"/>
  <c r="AQ35" i="4"/>
  <c r="AQ36" i="4"/>
  <c r="AQ38" i="4"/>
  <c r="AQ41" i="4"/>
  <c r="AQ10" i="4"/>
  <c r="AP12" i="4"/>
  <c r="AP14" i="4"/>
  <c r="AP16" i="4"/>
  <c r="AP18" i="4"/>
  <c r="AP20" i="4"/>
  <c r="AP22" i="4"/>
  <c r="AP24" i="4"/>
  <c r="AP26" i="4"/>
  <c r="AP28" i="4"/>
  <c r="AP30" i="4"/>
  <c r="AP32" i="4"/>
  <c r="AP34" i="4"/>
  <c r="AP36" i="4"/>
  <c r="AP38" i="4"/>
  <c r="AP40" i="4"/>
  <c r="AP41" i="4"/>
  <c r="AP10" i="4"/>
  <c r="BC13" i="4" l="1"/>
  <c r="BB13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10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G9" i="4"/>
  <c r="G8" i="4"/>
  <c r="G7" i="4"/>
  <c r="G6" i="4"/>
  <c r="G5" i="4"/>
  <c r="G4" i="4"/>
  <c r="G24" i="2" l="1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M8" i="1"/>
  <c r="J8" i="1" l="1"/>
  <c r="E2" i="3" l="1"/>
  <c r="L8" i="1"/>
  <c r="L12" i="1" s="1"/>
  <c r="K12" i="1" s="1"/>
  <c r="C9" i="3"/>
  <c r="P6" i="4" l="1"/>
  <c r="O6" i="4" s="1"/>
  <c r="P4" i="4"/>
  <c r="O4" i="4" s="1"/>
  <c r="P8" i="4"/>
  <c r="O8" i="4" s="1"/>
  <c r="P7" i="4"/>
  <c r="O7" i="4" s="1"/>
  <c r="P5" i="4"/>
  <c r="O5" i="4" s="1"/>
  <c r="P9" i="4"/>
  <c r="O9" i="4" s="1"/>
  <c r="P6" i="2"/>
  <c r="O24" i="2"/>
  <c r="P7" i="2"/>
  <c r="O31" i="2"/>
  <c r="P8" i="2"/>
  <c r="P5" i="2"/>
  <c r="P4" i="2"/>
  <c r="O40" i="2"/>
  <c r="P9" i="2"/>
  <c r="O29" i="2"/>
  <c r="O35" i="2"/>
  <c r="O43" i="2"/>
  <c r="O27" i="2"/>
  <c r="O37" i="2"/>
  <c r="O28" i="2"/>
  <c r="O38" i="2"/>
  <c r="O42" i="2"/>
  <c r="C21" i="3"/>
  <c r="C19" i="3"/>
  <c r="C17" i="3"/>
  <c r="C15" i="3"/>
  <c r="C13" i="3"/>
  <c r="C11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C7" i="3"/>
  <c r="C5" i="3"/>
  <c r="C3" i="3"/>
  <c r="O41" i="2" l="1"/>
  <c r="O32" i="2"/>
  <c r="O34" i="2"/>
  <c r="O36" i="2"/>
  <c r="O26" i="2"/>
  <c r="O39" i="2"/>
  <c r="O30" i="2"/>
  <c r="O33" i="2"/>
  <c r="O25" i="2"/>
  <c r="F8" i="1"/>
  <c r="E8" i="1"/>
  <c r="B8" i="1"/>
  <c r="H12" i="1" s="1"/>
  <c r="D9" i="4" l="1"/>
  <c r="D4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5" i="4"/>
  <c r="C42" i="2"/>
  <c r="G8" i="1"/>
  <c r="C8" i="1"/>
  <c r="H15" i="4" s="1"/>
  <c r="F41" i="4" l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40" i="4"/>
  <c r="H36" i="4"/>
  <c r="H32" i="4"/>
  <c r="H28" i="4"/>
  <c r="H24" i="4"/>
  <c r="H20" i="4"/>
  <c r="H16" i="4"/>
  <c r="H12" i="4"/>
  <c r="H8" i="4"/>
  <c r="H4" i="4"/>
  <c r="H39" i="4"/>
  <c r="H35" i="4"/>
  <c r="H31" i="4"/>
  <c r="H19" i="4"/>
  <c r="H7" i="4"/>
  <c r="H27" i="4"/>
  <c r="H23" i="4"/>
  <c r="H11" i="4"/>
  <c r="H38" i="4"/>
  <c r="H30" i="4"/>
  <c r="H22" i="4"/>
  <c r="H14" i="4"/>
  <c r="H6" i="4"/>
  <c r="H33" i="4"/>
  <c r="H25" i="4"/>
  <c r="H9" i="4"/>
  <c r="H37" i="4"/>
  <c r="H29" i="4"/>
  <c r="H21" i="4"/>
  <c r="H13" i="4"/>
  <c r="H5" i="4"/>
  <c r="H34" i="4"/>
  <c r="H26" i="4"/>
  <c r="H18" i="4"/>
  <c r="H10" i="4"/>
  <c r="H41" i="4"/>
  <c r="H17" i="4"/>
  <c r="H23" i="2"/>
  <c r="H14" i="2"/>
  <c r="D15" i="2"/>
  <c r="D8" i="2"/>
  <c r="H19" i="2"/>
  <c r="D11" i="2"/>
  <c r="D9" i="2"/>
  <c r="D18" i="2"/>
  <c r="H4" i="2"/>
  <c r="D12" i="2"/>
  <c r="H13" i="2"/>
  <c r="D16" i="2"/>
  <c r="H5" i="2"/>
  <c r="H20" i="2"/>
  <c r="D17" i="2"/>
  <c r="D7" i="2"/>
  <c r="H10" i="2"/>
  <c r="H21" i="2"/>
  <c r="H6" i="2"/>
  <c r="D22" i="2"/>
  <c r="X15" i="4" l="1"/>
  <c r="AB15" i="4" s="1"/>
  <c r="I15" i="4"/>
  <c r="K15" i="4"/>
  <c r="K16" i="4"/>
  <c r="I16" i="4"/>
  <c r="X16" i="4"/>
  <c r="AB16" i="4" s="1"/>
  <c r="X17" i="4"/>
  <c r="AB17" i="4" s="1"/>
  <c r="I17" i="4"/>
  <c r="K17" i="4"/>
  <c r="I26" i="4"/>
  <c r="K26" i="4"/>
  <c r="X26" i="4"/>
  <c r="AB26" i="4" s="1"/>
  <c r="K21" i="4"/>
  <c r="X21" i="4"/>
  <c r="AB21" i="4" s="1"/>
  <c r="I21" i="4"/>
  <c r="I25" i="4"/>
  <c r="X25" i="4"/>
  <c r="AB25" i="4" s="1"/>
  <c r="K25" i="4"/>
  <c r="I22" i="4"/>
  <c r="X22" i="4"/>
  <c r="K22" i="4"/>
  <c r="I23" i="4"/>
  <c r="X23" i="4"/>
  <c r="AB23" i="4" s="1"/>
  <c r="K23" i="4"/>
  <c r="X19" i="4"/>
  <c r="AB19" i="4" s="1"/>
  <c r="I19" i="4"/>
  <c r="K19" i="4"/>
  <c r="K4" i="4"/>
  <c r="I4" i="4"/>
  <c r="I20" i="4"/>
  <c r="K20" i="4"/>
  <c r="X20" i="4"/>
  <c r="AB20" i="4" s="1"/>
  <c r="X36" i="4"/>
  <c r="AB36" i="4" s="1"/>
  <c r="I36" i="4"/>
  <c r="K36" i="4"/>
  <c r="X10" i="4"/>
  <c r="I10" i="4"/>
  <c r="K10" i="4"/>
  <c r="I5" i="4"/>
  <c r="K5" i="4"/>
  <c r="X37" i="4"/>
  <c r="AB37" i="4" s="1"/>
  <c r="K37" i="4"/>
  <c r="I37" i="4"/>
  <c r="I6" i="4"/>
  <c r="K6" i="4"/>
  <c r="I38" i="4"/>
  <c r="X38" i="4"/>
  <c r="AB38" i="4" s="1"/>
  <c r="K38" i="4"/>
  <c r="I7" i="4"/>
  <c r="K7" i="4"/>
  <c r="K35" i="4"/>
  <c r="X35" i="4"/>
  <c r="AB35" i="4" s="1"/>
  <c r="I35" i="4"/>
  <c r="X12" i="4"/>
  <c r="AB12" i="4" s="1"/>
  <c r="I12" i="4"/>
  <c r="K12" i="4"/>
  <c r="I28" i="4"/>
  <c r="K28" i="4"/>
  <c r="X28" i="4"/>
  <c r="K18" i="4"/>
  <c r="X18" i="4"/>
  <c r="AB18" i="4" s="1"/>
  <c r="I18" i="4"/>
  <c r="X13" i="4"/>
  <c r="AA13" i="4" s="1"/>
  <c r="K13" i="4"/>
  <c r="AV13" i="4" s="1"/>
  <c r="I13" i="4"/>
  <c r="I9" i="4"/>
  <c r="K9" i="4"/>
  <c r="I14" i="4"/>
  <c r="X14" i="4"/>
  <c r="AB14" i="4" s="1"/>
  <c r="K14" i="4"/>
  <c r="AY14" i="4" s="1"/>
  <c r="K11" i="4"/>
  <c r="I11" i="4"/>
  <c r="I39" i="4"/>
  <c r="K39" i="4"/>
  <c r="X39" i="4"/>
  <c r="AB39" i="4" s="1"/>
  <c r="X32" i="4"/>
  <c r="K32" i="4"/>
  <c r="I32" i="4"/>
  <c r="I41" i="4"/>
  <c r="K41" i="4"/>
  <c r="X41" i="4"/>
  <c r="K34" i="4"/>
  <c r="I34" i="4"/>
  <c r="X34" i="4"/>
  <c r="AB34" i="4" s="1"/>
  <c r="X29" i="4"/>
  <c r="AB29" i="4" s="1"/>
  <c r="I29" i="4"/>
  <c r="K29" i="4"/>
  <c r="K33" i="4"/>
  <c r="X33" i="4"/>
  <c r="I33" i="4"/>
  <c r="X30" i="4"/>
  <c r="AB30" i="4" s="1"/>
  <c r="K30" i="4"/>
  <c r="I30" i="4"/>
  <c r="X27" i="4"/>
  <c r="I27" i="4"/>
  <c r="K27" i="4"/>
  <c r="I31" i="4"/>
  <c r="X31" i="4"/>
  <c r="AB31" i="4" s="1"/>
  <c r="K31" i="4"/>
  <c r="I8" i="4"/>
  <c r="K8" i="4"/>
  <c r="K24" i="4"/>
  <c r="I24" i="4"/>
  <c r="X24" i="4"/>
  <c r="AB24" i="4" s="1"/>
  <c r="K40" i="4"/>
  <c r="I40" i="4"/>
  <c r="X40" i="4"/>
  <c r="H11" i="2"/>
  <c r="I11" i="2" s="1"/>
  <c r="H12" i="2"/>
  <c r="K12" i="2" s="1"/>
  <c r="D20" i="2"/>
  <c r="H18" i="2"/>
  <c r="I18" i="2" s="1"/>
  <c r="H16" i="2"/>
  <c r="I16" i="2" s="1"/>
  <c r="D13" i="2"/>
  <c r="H25" i="2"/>
  <c r="D25" i="2"/>
  <c r="D37" i="2"/>
  <c r="H37" i="2"/>
  <c r="D26" i="2"/>
  <c r="H26" i="2"/>
  <c r="D30" i="2"/>
  <c r="H30" i="2"/>
  <c r="D43" i="2"/>
  <c r="H43" i="2"/>
  <c r="H35" i="2"/>
  <c r="D35" i="2"/>
  <c r="H27" i="2"/>
  <c r="D27" i="2"/>
  <c r="H36" i="2"/>
  <c r="D36" i="2"/>
  <c r="D23" i="2"/>
  <c r="D33" i="2"/>
  <c r="H33" i="2"/>
  <c r="D31" i="2"/>
  <c r="H31" i="2"/>
  <c r="D28" i="2"/>
  <c r="H28" i="2"/>
  <c r="D42" i="2"/>
  <c r="H42" i="2"/>
  <c r="H34" i="2"/>
  <c r="D34" i="2"/>
  <c r="D41" i="2"/>
  <c r="H41" i="2"/>
  <c r="H40" i="2"/>
  <c r="D40" i="2"/>
  <c r="D32" i="2"/>
  <c r="H32" i="2"/>
  <c r="H29" i="2"/>
  <c r="D29" i="2"/>
  <c r="D38" i="2"/>
  <c r="H38" i="2"/>
  <c r="D39" i="2"/>
  <c r="H39" i="2"/>
  <c r="D24" i="2"/>
  <c r="H24" i="2"/>
  <c r="H8" i="2"/>
  <c r="K8" i="2" s="1"/>
  <c r="D14" i="2"/>
  <c r="D19" i="2"/>
  <c r="D4" i="2"/>
  <c r="H7" i="2"/>
  <c r="K7" i="2" s="1"/>
  <c r="D10" i="2"/>
  <c r="D5" i="2"/>
  <c r="H9" i="2"/>
  <c r="K9" i="2" s="1"/>
  <c r="H15" i="2"/>
  <c r="K15" i="2" s="1"/>
  <c r="H17" i="2"/>
  <c r="I17" i="2" s="1"/>
  <c r="H22" i="2"/>
  <c r="I22" i="2" s="1"/>
  <c r="D6" i="2"/>
  <c r="D21" i="2"/>
  <c r="F12" i="2"/>
  <c r="F7" i="2"/>
  <c r="F20" i="2"/>
  <c r="F15" i="2"/>
  <c r="F16" i="2"/>
  <c r="F9" i="2"/>
  <c r="F11" i="2"/>
  <c r="F22" i="2"/>
  <c r="F8" i="2"/>
  <c r="F17" i="2"/>
  <c r="F18" i="2"/>
  <c r="O7" i="2"/>
  <c r="O13" i="2"/>
  <c r="O19" i="2"/>
  <c r="O9" i="2"/>
  <c r="O10" i="2"/>
  <c r="O16" i="2"/>
  <c r="O22" i="2"/>
  <c r="O5" i="2"/>
  <c r="O11" i="2"/>
  <c r="O17" i="2"/>
  <c r="O23" i="2"/>
  <c r="O8" i="2"/>
  <c r="O14" i="2"/>
  <c r="O20" i="2"/>
  <c r="O4" i="2"/>
  <c r="O15" i="2"/>
  <c r="O21" i="2"/>
  <c r="O6" i="2"/>
  <c r="O12" i="2"/>
  <c r="O18" i="2"/>
  <c r="I19" i="2"/>
  <c r="K19" i="2"/>
  <c r="I13" i="2"/>
  <c r="K13" i="2"/>
  <c r="I5" i="2"/>
  <c r="K5" i="2"/>
  <c r="AA5" i="2" s="1"/>
  <c r="I21" i="2"/>
  <c r="K21" i="2"/>
  <c r="I6" i="2"/>
  <c r="AF6" i="2" s="1"/>
  <c r="K6" i="2"/>
  <c r="K20" i="2"/>
  <c r="I20" i="2"/>
  <c r="I10" i="2"/>
  <c r="K10" i="2"/>
  <c r="I4" i="2"/>
  <c r="K4" i="2"/>
  <c r="AC4" i="2" s="1"/>
  <c r="I23" i="2"/>
  <c r="K23" i="2"/>
  <c r="I14" i="2"/>
  <c r="K14" i="2"/>
  <c r="K11" i="2" l="1"/>
  <c r="AB13" i="4"/>
  <c r="AC13" i="4" s="1"/>
  <c r="AE13" i="4" s="1"/>
  <c r="AF13" i="4" s="1"/>
  <c r="AG13" i="2"/>
  <c r="AF13" i="2"/>
  <c r="V13" i="2"/>
  <c r="W13" i="2"/>
  <c r="AA40" i="4"/>
  <c r="T40" i="4"/>
  <c r="AY8" i="4"/>
  <c r="AZ8" i="4" s="1"/>
  <c r="L8" i="4"/>
  <c r="R8" i="4" s="1"/>
  <c r="Q8" i="4" s="1"/>
  <c r="AW8" i="4"/>
  <c r="AX8" i="4" s="1"/>
  <c r="AA33" i="4"/>
  <c r="T33" i="4"/>
  <c r="L34" i="4"/>
  <c r="AY34" i="4"/>
  <c r="AZ34" i="4" s="1"/>
  <c r="AW34" i="4"/>
  <c r="AX34" i="4" s="1"/>
  <c r="AA41" i="4"/>
  <c r="T41" i="4"/>
  <c r="AY32" i="4"/>
  <c r="AZ32" i="4" s="1"/>
  <c r="L32" i="4"/>
  <c r="AW32" i="4"/>
  <c r="AX32" i="4" s="1"/>
  <c r="AS11" i="4"/>
  <c r="AO11" i="4"/>
  <c r="J11" i="4"/>
  <c r="AR11" i="4"/>
  <c r="AR18" i="4"/>
  <c r="AO18" i="4"/>
  <c r="AS18" i="4"/>
  <c r="J18" i="4"/>
  <c r="AA28" i="4"/>
  <c r="T28" i="4"/>
  <c r="AS10" i="4"/>
  <c r="J10" i="4"/>
  <c r="AR10" i="4"/>
  <c r="AO10" i="4"/>
  <c r="AA22" i="4"/>
  <c r="T22" i="4"/>
  <c r="L15" i="4"/>
  <c r="AW15" i="4"/>
  <c r="AX15" i="4" s="1"/>
  <c r="AY15" i="4"/>
  <c r="AZ15" i="4" s="1"/>
  <c r="W11" i="2"/>
  <c r="V11" i="2"/>
  <c r="AF11" i="2"/>
  <c r="AG11" i="2"/>
  <c r="V10" i="2"/>
  <c r="AG10" i="2"/>
  <c r="W10" i="2"/>
  <c r="AF10" i="2"/>
  <c r="AG17" i="2"/>
  <c r="AF17" i="2"/>
  <c r="W17" i="2"/>
  <c r="V17" i="2"/>
  <c r="AF16" i="2"/>
  <c r="W16" i="2"/>
  <c r="V16" i="2"/>
  <c r="AG16" i="2"/>
  <c r="AO40" i="4"/>
  <c r="AR40" i="4"/>
  <c r="AS40" i="4"/>
  <c r="J40" i="4"/>
  <c r="AW24" i="4"/>
  <c r="AX24" i="4" s="1"/>
  <c r="L24" i="4"/>
  <c r="AY24" i="4"/>
  <c r="AZ24" i="4" s="1"/>
  <c r="BC8" i="4"/>
  <c r="AO8" i="4"/>
  <c r="BB8" i="4"/>
  <c r="AR8" i="4"/>
  <c r="AS8" i="4"/>
  <c r="J8" i="4"/>
  <c r="AA32" i="4"/>
  <c r="T32" i="4"/>
  <c r="AW14" i="4"/>
  <c r="AX14" i="4" s="1"/>
  <c r="L14" i="4"/>
  <c r="AZ14" i="4"/>
  <c r="AS35" i="4"/>
  <c r="AO35" i="4"/>
  <c r="AR35" i="4"/>
  <c r="J35" i="4"/>
  <c r="J38" i="4"/>
  <c r="AO38" i="4"/>
  <c r="AS38" i="4"/>
  <c r="AR38" i="4"/>
  <c r="J37" i="4"/>
  <c r="AR37" i="4"/>
  <c r="AS37" i="4"/>
  <c r="AO37" i="4"/>
  <c r="AA10" i="4"/>
  <c r="T10" i="4"/>
  <c r="W19" i="2"/>
  <c r="V19" i="2"/>
  <c r="AF19" i="2"/>
  <c r="AG19" i="2"/>
  <c r="V18" i="2"/>
  <c r="AG18" i="2"/>
  <c r="W18" i="2"/>
  <c r="AF18" i="2"/>
  <c r="AY40" i="4"/>
  <c r="AZ40" i="4" s="1"/>
  <c r="AW40" i="4"/>
  <c r="AX40" i="4" s="1"/>
  <c r="L40" i="4"/>
  <c r="AB33" i="4"/>
  <c r="W23" i="2"/>
  <c r="V23" i="2"/>
  <c r="AF23" i="2"/>
  <c r="AG23" i="2"/>
  <c r="AB40" i="4"/>
  <c r="AA24" i="4"/>
  <c r="AC24" i="4" s="1"/>
  <c r="T24" i="4"/>
  <c r="AS31" i="4"/>
  <c r="AR31" i="4"/>
  <c r="AO31" i="4"/>
  <c r="J31" i="4"/>
  <c r="AW27" i="4"/>
  <c r="AX27" i="4" s="1"/>
  <c r="L27" i="4"/>
  <c r="AY27" i="4"/>
  <c r="AZ27" i="4" s="1"/>
  <c r="AA30" i="4"/>
  <c r="AC30" i="4" s="1"/>
  <c r="T30" i="4"/>
  <c r="AS33" i="4"/>
  <c r="AO33" i="4"/>
  <c r="J33" i="4"/>
  <c r="AR33" i="4"/>
  <c r="AA29" i="4"/>
  <c r="AC29" i="4" s="1"/>
  <c r="T29" i="4"/>
  <c r="AO34" i="4"/>
  <c r="AS34" i="4"/>
  <c r="AR34" i="4"/>
  <c r="J34" i="4"/>
  <c r="AO41" i="4"/>
  <c r="AS41" i="4"/>
  <c r="J41" i="4"/>
  <c r="AR41" i="4"/>
  <c r="AB32" i="4"/>
  <c r="J39" i="4"/>
  <c r="AO39" i="4"/>
  <c r="AR39" i="4"/>
  <c r="AS39" i="4"/>
  <c r="AS14" i="4"/>
  <c r="AR14" i="4"/>
  <c r="AO14" i="4"/>
  <c r="J14" i="4"/>
  <c r="AS9" i="4"/>
  <c r="AO9" i="4"/>
  <c r="J9" i="4"/>
  <c r="BB9" i="4"/>
  <c r="AR9" i="4"/>
  <c r="BC9" i="4"/>
  <c r="AW13" i="4"/>
  <c r="AX13" i="4" s="1"/>
  <c r="AY13" i="4"/>
  <c r="AZ13" i="4" s="1"/>
  <c r="L13" i="4"/>
  <c r="AT13" i="4"/>
  <c r="AU13" i="4"/>
  <c r="AW18" i="4"/>
  <c r="AX18" i="4" s="1"/>
  <c r="L18" i="4"/>
  <c r="AY18" i="4"/>
  <c r="AZ18" i="4" s="1"/>
  <c r="AS28" i="4"/>
  <c r="J28" i="4"/>
  <c r="AR28" i="4"/>
  <c r="AO28" i="4"/>
  <c r="AO12" i="4"/>
  <c r="J12" i="4"/>
  <c r="AS12" i="4"/>
  <c r="AR12" i="4"/>
  <c r="AW35" i="4"/>
  <c r="AX35" i="4" s="1"/>
  <c r="L35" i="4"/>
  <c r="AY35" i="4"/>
  <c r="AZ35" i="4" s="1"/>
  <c r="AR7" i="4"/>
  <c r="BC7" i="4"/>
  <c r="AS7" i="4"/>
  <c r="AO7" i="4"/>
  <c r="J7" i="4"/>
  <c r="BB7" i="4"/>
  <c r="AA38" i="4"/>
  <c r="AC38" i="4" s="1"/>
  <c r="T38" i="4"/>
  <c r="AA37" i="4"/>
  <c r="AC37" i="4" s="1"/>
  <c r="T37" i="4"/>
  <c r="AS5" i="4"/>
  <c r="AO5" i="4"/>
  <c r="AR5" i="4"/>
  <c r="J5" i="4"/>
  <c r="BB5" i="4"/>
  <c r="BC5" i="4"/>
  <c r="AB10" i="4"/>
  <c r="AA36" i="4"/>
  <c r="AC36" i="4" s="1"/>
  <c r="T36" i="4"/>
  <c r="BC4" i="4"/>
  <c r="AS4" i="4"/>
  <c r="AO4" i="4"/>
  <c r="BB4" i="4"/>
  <c r="AR4" i="4"/>
  <c r="J4" i="4"/>
  <c r="AA23" i="4"/>
  <c r="AC23" i="4" s="1"/>
  <c r="T23" i="4"/>
  <c r="AW22" i="4"/>
  <c r="AX22" i="4" s="1"/>
  <c r="AY22" i="4"/>
  <c r="AZ22" i="4" s="1"/>
  <c r="L22" i="4"/>
  <c r="AS25" i="4"/>
  <c r="J25" i="4"/>
  <c r="AO25" i="4"/>
  <c r="AR25" i="4"/>
  <c r="AS26" i="4"/>
  <c r="J26" i="4"/>
  <c r="AO26" i="4"/>
  <c r="AR26" i="4"/>
  <c r="AS16" i="4"/>
  <c r="J16" i="4"/>
  <c r="AR16" i="4"/>
  <c r="AO16" i="4"/>
  <c r="AG21" i="2"/>
  <c r="AF21" i="2"/>
  <c r="V21" i="2"/>
  <c r="W21" i="2"/>
  <c r="V22" i="2"/>
  <c r="AG22" i="2"/>
  <c r="W22" i="2"/>
  <c r="AF22" i="2"/>
  <c r="AS24" i="4"/>
  <c r="J24" i="4"/>
  <c r="AO24" i="4"/>
  <c r="AR24" i="4"/>
  <c r="AW31" i="4"/>
  <c r="AX31" i="4" s="1"/>
  <c r="L31" i="4"/>
  <c r="AY31" i="4"/>
  <c r="AZ31" i="4" s="1"/>
  <c r="J27" i="4"/>
  <c r="AO27" i="4"/>
  <c r="AS27" i="4"/>
  <c r="AR27" i="4"/>
  <c r="AS30" i="4"/>
  <c r="AO30" i="4"/>
  <c r="J30" i="4"/>
  <c r="AR30" i="4"/>
  <c r="L29" i="4"/>
  <c r="AY29" i="4"/>
  <c r="AZ29" i="4" s="1"/>
  <c r="AW29" i="4"/>
  <c r="AX29" i="4" s="1"/>
  <c r="AA12" i="4"/>
  <c r="AC12" i="4" s="1"/>
  <c r="T12" i="4"/>
  <c r="L6" i="4"/>
  <c r="R6" i="4" s="1"/>
  <c r="Q6" i="4" s="1"/>
  <c r="AW6" i="4"/>
  <c r="AX6" i="4" s="1"/>
  <c r="AY6" i="4"/>
  <c r="AZ6" i="4" s="1"/>
  <c r="AW20" i="4"/>
  <c r="AX20" i="4" s="1"/>
  <c r="L20" i="4"/>
  <c r="AY20" i="4"/>
  <c r="AZ20" i="4" s="1"/>
  <c r="AW4" i="4"/>
  <c r="AX4" i="4" s="1"/>
  <c r="AY4" i="4"/>
  <c r="AZ4" i="4" s="1"/>
  <c r="L4" i="4"/>
  <c r="R4" i="4" s="1"/>
  <c r="Q4" i="4" s="1"/>
  <c r="L19" i="4"/>
  <c r="AY19" i="4"/>
  <c r="AZ19" i="4" s="1"/>
  <c r="AW19" i="4"/>
  <c r="AX19" i="4" s="1"/>
  <c r="AO23" i="4"/>
  <c r="AR23" i="4"/>
  <c r="AS23" i="4"/>
  <c r="J23" i="4"/>
  <c r="AR21" i="4"/>
  <c r="AS21" i="4"/>
  <c r="AO21" i="4"/>
  <c r="J21" i="4"/>
  <c r="AW17" i="4"/>
  <c r="AX17" i="4" s="1"/>
  <c r="L17" i="4"/>
  <c r="AY17" i="4"/>
  <c r="AZ17" i="4" s="1"/>
  <c r="AY16" i="4"/>
  <c r="AZ16" i="4" s="1"/>
  <c r="L16" i="4"/>
  <c r="AW16" i="4"/>
  <c r="AX16" i="4" s="1"/>
  <c r="V14" i="2"/>
  <c r="AG14" i="2"/>
  <c r="W14" i="2"/>
  <c r="AF14" i="2"/>
  <c r="AA31" i="4"/>
  <c r="AC31" i="4" s="1"/>
  <c r="T31" i="4"/>
  <c r="AA27" i="4"/>
  <c r="T27" i="4"/>
  <c r="AY30" i="4"/>
  <c r="AZ30" i="4" s="1"/>
  <c r="L30" i="4"/>
  <c r="AW30" i="4"/>
  <c r="AX30" i="4" s="1"/>
  <c r="AW33" i="4"/>
  <c r="AX33" i="4" s="1"/>
  <c r="AY33" i="4"/>
  <c r="AZ33" i="4" s="1"/>
  <c r="L33" i="4"/>
  <c r="AS29" i="4"/>
  <c r="AR29" i="4"/>
  <c r="J29" i="4"/>
  <c r="AO29" i="4"/>
  <c r="L41" i="4"/>
  <c r="AW41" i="4"/>
  <c r="AX41" i="4" s="1"/>
  <c r="AY41" i="4"/>
  <c r="AZ41" i="4" s="1"/>
  <c r="AA39" i="4"/>
  <c r="AC39" i="4" s="1"/>
  <c r="T39" i="4"/>
  <c r="AW11" i="4"/>
  <c r="AX11" i="4" s="1"/>
  <c r="L11" i="4"/>
  <c r="AY11" i="4"/>
  <c r="AZ11" i="4" s="1"/>
  <c r="AY28" i="4"/>
  <c r="AZ28" i="4" s="1"/>
  <c r="L28" i="4"/>
  <c r="AW28" i="4"/>
  <c r="AX28" i="4" s="1"/>
  <c r="AS6" i="4"/>
  <c r="BB6" i="4"/>
  <c r="J6" i="4"/>
  <c r="AO6" i="4"/>
  <c r="BC6" i="4"/>
  <c r="AR6" i="4"/>
  <c r="AY36" i="4"/>
  <c r="AZ36" i="4" s="1"/>
  <c r="L36" i="4"/>
  <c r="AW36" i="4"/>
  <c r="AX36" i="4" s="1"/>
  <c r="AR20" i="4"/>
  <c r="AO20" i="4"/>
  <c r="AS20" i="4"/>
  <c r="J20" i="4"/>
  <c r="AO19" i="4"/>
  <c r="AR19" i="4"/>
  <c r="AS19" i="4"/>
  <c r="J19" i="4"/>
  <c r="AS22" i="4"/>
  <c r="AR22" i="4"/>
  <c r="J22" i="4"/>
  <c r="AO22" i="4"/>
  <c r="AW25" i="4"/>
  <c r="AX25" i="4" s="1"/>
  <c r="L25" i="4"/>
  <c r="AY25" i="4"/>
  <c r="AZ25" i="4" s="1"/>
  <c r="AA21" i="4"/>
  <c r="AC21" i="4" s="1"/>
  <c r="T21" i="4"/>
  <c r="AA26" i="4"/>
  <c r="AC26" i="4" s="1"/>
  <c r="T26" i="4"/>
  <c r="AO17" i="4"/>
  <c r="AS17" i="4"/>
  <c r="J17" i="4"/>
  <c r="AR17" i="4"/>
  <c r="AR15" i="4"/>
  <c r="AS15" i="4"/>
  <c r="J15" i="4"/>
  <c r="AO15" i="4"/>
  <c r="AF20" i="2"/>
  <c r="W20" i="2"/>
  <c r="AG20" i="2"/>
  <c r="V20" i="2"/>
  <c r="I12" i="2"/>
  <c r="AB27" i="4"/>
  <c r="AA34" i="4"/>
  <c r="AC34" i="4" s="1"/>
  <c r="T34" i="4"/>
  <c r="AB41" i="4"/>
  <c r="J32" i="4"/>
  <c r="AR32" i="4"/>
  <c r="AS32" i="4"/>
  <c r="AO32" i="4"/>
  <c r="AW39" i="4"/>
  <c r="AX39" i="4" s="1"/>
  <c r="L39" i="4"/>
  <c r="AY39" i="4"/>
  <c r="AZ39" i="4" s="1"/>
  <c r="AA14" i="4"/>
  <c r="AC14" i="4" s="1"/>
  <c r="T14" i="4"/>
  <c r="AY9" i="4"/>
  <c r="AZ9" i="4" s="1"/>
  <c r="AW9" i="4"/>
  <c r="AX9" i="4" s="1"/>
  <c r="L9" i="4"/>
  <c r="R9" i="4" s="1"/>
  <c r="Q9" i="4" s="1"/>
  <c r="AO13" i="4"/>
  <c r="AS13" i="4"/>
  <c r="AR13" i="4"/>
  <c r="J13" i="4"/>
  <c r="AA18" i="4"/>
  <c r="AC18" i="4" s="1"/>
  <c r="T18" i="4"/>
  <c r="AB28" i="4"/>
  <c r="AY12" i="4"/>
  <c r="AZ12" i="4" s="1"/>
  <c r="AW12" i="4"/>
  <c r="AX12" i="4" s="1"/>
  <c r="L12" i="4"/>
  <c r="AA35" i="4"/>
  <c r="AC35" i="4" s="1"/>
  <c r="T35" i="4"/>
  <c r="AW7" i="4"/>
  <c r="AX7" i="4" s="1"/>
  <c r="L7" i="4"/>
  <c r="R7" i="4" s="1"/>
  <c r="Q7" i="4" s="1"/>
  <c r="AY7" i="4"/>
  <c r="AZ7" i="4" s="1"/>
  <c r="L38" i="4"/>
  <c r="AY38" i="4"/>
  <c r="AZ38" i="4" s="1"/>
  <c r="AW38" i="4"/>
  <c r="AX38" i="4" s="1"/>
  <c r="AW37" i="4"/>
  <c r="AX37" i="4" s="1"/>
  <c r="L37" i="4"/>
  <c r="AY37" i="4"/>
  <c r="AZ37" i="4" s="1"/>
  <c r="L5" i="4"/>
  <c r="R5" i="4" s="1"/>
  <c r="Q5" i="4" s="1"/>
  <c r="AW5" i="4"/>
  <c r="AX5" i="4" s="1"/>
  <c r="AY5" i="4"/>
  <c r="AZ5" i="4" s="1"/>
  <c r="AW10" i="4"/>
  <c r="AX10" i="4" s="1"/>
  <c r="L10" i="4"/>
  <c r="AY10" i="4"/>
  <c r="AZ10" i="4" s="1"/>
  <c r="J36" i="4"/>
  <c r="AR36" i="4"/>
  <c r="AS36" i="4"/>
  <c r="AO36" i="4"/>
  <c r="AA20" i="4"/>
  <c r="AC20" i="4" s="1"/>
  <c r="T20" i="4"/>
  <c r="AA19" i="4"/>
  <c r="AC19" i="4" s="1"/>
  <c r="T19" i="4"/>
  <c r="AW23" i="4"/>
  <c r="AX23" i="4" s="1"/>
  <c r="L23" i="4"/>
  <c r="AY23" i="4"/>
  <c r="AZ23" i="4" s="1"/>
  <c r="AB22" i="4"/>
  <c r="AA25" i="4"/>
  <c r="AC25" i="4" s="1"/>
  <c r="T25" i="4"/>
  <c r="AW21" i="4"/>
  <c r="AX21" i="4" s="1"/>
  <c r="AY21" i="4"/>
  <c r="AZ21" i="4" s="1"/>
  <c r="L21" i="4"/>
  <c r="AW26" i="4"/>
  <c r="AX26" i="4" s="1"/>
  <c r="L26" i="4"/>
  <c r="AY26" i="4"/>
  <c r="AZ26" i="4" s="1"/>
  <c r="AA17" i="4"/>
  <c r="AC17" i="4" s="1"/>
  <c r="T17" i="4"/>
  <c r="AA16" i="4"/>
  <c r="AC16" i="4" s="1"/>
  <c r="T16" i="4"/>
  <c r="AA15" i="4"/>
  <c r="AC15" i="4" s="1"/>
  <c r="T15" i="4"/>
  <c r="BB15" i="4" s="1"/>
  <c r="J4" i="2"/>
  <c r="S4" i="2"/>
  <c r="K18" i="2"/>
  <c r="AC18" i="2" s="1"/>
  <c r="AD18" i="2" s="1"/>
  <c r="F10" i="2"/>
  <c r="I8" i="2"/>
  <c r="J8" i="2" s="1"/>
  <c r="K16" i="2"/>
  <c r="AC16" i="2" s="1"/>
  <c r="AD16" i="2" s="1"/>
  <c r="F23" i="2"/>
  <c r="F13" i="2"/>
  <c r="F43" i="2"/>
  <c r="F26" i="2"/>
  <c r="F24" i="2"/>
  <c r="F32" i="2"/>
  <c r="F42" i="2"/>
  <c r="F36" i="2"/>
  <c r="F29" i="2"/>
  <c r="F40" i="2"/>
  <c r="F34" i="2"/>
  <c r="F30" i="2"/>
  <c r="F37" i="2"/>
  <c r="F38" i="2"/>
  <c r="F41" i="2"/>
  <c r="F31" i="2"/>
  <c r="F35" i="2"/>
  <c r="F39" i="2"/>
  <c r="F28" i="2"/>
  <c r="F33" i="2"/>
  <c r="F27" i="2"/>
  <c r="F25" i="2"/>
  <c r="F6" i="2"/>
  <c r="K38" i="2"/>
  <c r="I38" i="2"/>
  <c r="K34" i="2"/>
  <c r="I34" i="2"/>
  <c r="K42" i="2"/>
  <c r="I42" i="2"/>
  <c r="K35" i="2"/>
  <c r="I35" i="2"/>
  <c r="K43" i="2"/>
  <c r="I43" i="2"/>
  <c r="K26" i="2"/>
  <c r="I26" i="2"/>
  <c r="V5" i="2"/>
  <c r="F19" i="2"/>
  <c r="K32" i="2"/>
  <c r="I32" i="2"/>
  <c r="I28" i="2"/>
  <c r="K28" i="2"/>
  <c r="I37" i="2"/>
  <c r="K37" i="2"/>
  <c r="K36" i="2"/>
  <c r="I36" i="2"/>
  <c r="W4" i="2"/>
  <c r="F14" i="2"/>
  <c r="K24" i="2"/>
  <c r="I24" i="2"/>
  <c r="I29" i="2"/>
  <c r="K29" i="2"/>
  <c r="K31" i="2"/>
  <c r="I31" i="2"/>
  <c r="I39" i="2"/>
  <c r="K39" i="2"/>
  <c r="I40" i="2"/>
  <c r="K40" i="2"/>
  <c r="K41" i="2"/>
  <c r="I41" i="2"/>
  <c r="I33" i="2"/>
  <c r="K33" i="2"/>
  <c r="K27" i="2"/>
  <c r="I27" i="2"/>
  <c r="K30" i="2"/>
  <c r="I30" i="2"/>
  <c r="I25" i="2"/>
  <c r="K25" i="2"/>
  <c r="I9" i="2"/>
  <c r="V9" i="2" s="1"/>
  <c r="I15" i="2"/>
  <c r="I7" i="2"/>
  <c r="V7" i="2" s="1"/>
  <c r="K17" i="2"/>
  <c r="AA17" i="2" s="1"/>
  <c r="AB17" i="2" s="1"/>
  <c r="K22" i="2"/>
  <c r="L22" i="2" s="1"/>
  <c r="W5" i="2"/>
  <c r="V4" i="2"/>
  <c r="V6" i="2"/>
  <c r="W6" i="2"/>
  <c r="L4" i="2"/>
  <c r="R4" i="2" s="1"/>
  <c r="AA4" i="2"/>
  <c r="AB4" i="2" s="1"/>
  <c r="AD4" i="2"/>
  <c r="L13" i="2"/>
  <c r="R13" i="2" s="1"/>
  <c r="AC13" i="2"/>
  <c r="AD13" i="2" s="1"/>
  <c r="AA13" i="2"/>
  <c r="AB13" i="2" s="1"/>
  <c r="L15" i="2"/>
  <c r="R15" i="2" s="1"/>
  <c r="AA15" i="2"/>
  <c r="AB15" i="2" s="1"/>
  <c r="AC15" i="2"/>
  <c r="AD15" i="2" s="1"/>
  <c r="L7" i="2"/>
  <c r="R7" i="2" s="1"/>
  <c r="AA7" i="2"/>
  <c r="AB7" i="2" s="1"/>
  <c r="AC7" i="2"/>
  <c r="AD7" i="2" s="1"/>
  <c r="L9" i="2"/>
  <c r="R9" i="2" s="1"/>
  <c r="AA9" i="2"/>
  <c r="AB9" i="2" s="1"/>
  <c r="AC9" i="2"/>
  <c r="AD9" i="2" s="1"/>
  <c r="L5" i="2"/>
  <c r="R5" i="2" s="1"/>
  <c r="AB5" i="2"/>
  <c r="AC5" i="2"/>
  <c r="AD5" i="2" s="1"/>
  <c r="L14" i="2"/>
  <c r="R14" i="2" s="1"/>
  <c r="AC14" i="2"/>
  <c r="AD14" i="2" s="1"/>
  <c r="AA14" i="2"/>
  <c r="AB14" i="2" s="1"/>
  <c r="L6" i="2"/>
  <c r="R6" i="2" s="1"/>
  <c r="AA6" i="2"/>
  <c r="AB6" i="2" s="1"/>
  <c r="AC6" i="2"/>
  <c r="AD6" i="2" s="1"/>
  <c r="L12" i="2"/>
  <c r="R12" i="2" s="1"/>
  <c r="AA12" i="2"/>
  <c r="AB12" i="2" s="1"/>
  <c r="AC12" i="2"/>
  <c r="AD12" i="2" s="1"/>
  <c r="L23" i="2"/>
  <c r="R23" i="2" s="1"/>
  <c r="AA23" i="2"/>
  <c r="AB23" i="2" s="1"/>
  <c r="AC23" i="2"/>
  <c r="AD23" i="2" s="1"/>
  <c r="L21" i="2"/>
  <c r="R21" i="2" s="1"/>
  <c r="AC21" i="2"/>
  <c r="AD21" i="2" s="1"/>
  <c r="AA21" i="2"/>
  <c r="AB21" i="2" s="1"/>
  <c r="L19" i="2"/>
  <c r="R19" i="2" s="1"/>
  <c r="AC19" i="2"/>
  <c r="AD19" i="2" s="1"/>
  <c r="AA19" i="2"/>
  <c r="AB19" i="2" s="1"/>
  <c r="L20" i="2"/>
  <c r="R20" i="2" s="1"/>
  <c r="AA20" i="2"/>
  <c r="AB20" i="2" s="1"/>
  <c r="AC20" i="2"/>
  <c r="AD20" i="2" s="1"/>
  <c r="L11" i="2"/>
  <c r="R11" i="2" s="1"/>
  <c r="AA11" i="2"/>
  <c r="AB11" i="2" s="1"/>
  <c r="AC11" i="2"/>
  <c r="AD11" i="2" s="1"/>
  <c r="L10" i="2"/>
  <c r="R10" i="2" s="1"/>
  <c r="AA10" i="2"/>
  <c r="AB10" i="2" s="1"/>
  <c r="AC10" i="2"/>
  <c r="AD10" i="2" s="1"/>
  <c r="L8" i="2"/>
  <c r="R8" i="2" s="1"/>
  <c r="AC8" i="2"/>
  <c r="AD8" i="2" s="1"/>
  <c r="AA8" i="2"/>
  <c r="AB8" i="2" s="1"/>
  <c r="J14" i="2"/>
  <c r="S14" i="2"/>
  <c r="J11" i="2"/>
  <c r="S11" i="2"/>
  <c r="J10" i="2"/>
  <c r="J6" i="2"/>
  <c r="S6" i="2"/>
  <c r="J18" i="2"/>
  <c r="S18" i="2"/>
  <c r="J23" i="2"/>
  <c r="S23" i="2"/>
  <c r="J16" i="2"/>
  <c r="S16" i="2"/>
  <c r="J21" i="2"/>
  <c r="S21" i="2"/>
  <c r="J13" i="2"/>
  <c r="J19" i="2"/>
  <c r="S19" i="2"/>
  <c r="J20" i="2"/>
  <c r="S20" i="2"/>
  <c r="J22" i="2"/>
  <c r="S22" i="2"/>
  <c r="J17" i="2"/>
  <c r="S17" i="2"/>
  <c r="J5" i="2"/>
  <c r="S5" i="2"/>
  <c r="BC15" i="4" l="1"/>
  <c r="AC40" i="4"/>
  <c r="AD40" i="4" s="1"/>
  <c r="BA15" i="4"/>
  <c r="BA41" i="4"/>
  <c r="BA33" i="4"/>
  <c r="BA13" i="4"/>
  <c r="BA36" i="4"/>
  <c r="BA11" i="4"/>
  <c r="BA16" i="4"/>
  <c r="BA4" i="4"/>
  <c r="BF4" i="4" s="1"/>
  <c r="AC32" i="4"/>
  <c r="AE32" i="4" s="1"/>
  <c r="AD13" i="4"/>
  <c r="AC10" i="4"/>
  <c r="BA25" i="4"/>
  <c r="L16" i="2"/>
  <c r="R16" i="2" s="1"/>
  <c r="Q16" i="2" s="1"/>
  <c r="BA30" i="4"/>
  <c r="BA17" i="4"/>
  <c r="BA37" i="4"/>
  <c r="BA8" i="4"/>
  <c r="BA29" i="4"/>
  <c r="S8" i="2"/>
  <c r="V8" i="2"/>
  <c r="BA5" i="4"/>
  <c r="BE5" i="4" s="1"/>
  <c r="AC33" i="4"/>
  <c r="AE33" i="4" s="1"/>
  <c r="BA24" i="4"/>
  <c r="BA32" i="4"/>
  <c r="BA34" i="4"/>
  <c r="W8" i="2"/>
  <c r="AC22" i="4"/>
  <c r="AE22" i="4" s="1"/>
  <c r="AC41" i="4"/>
  <c r="AE41" i="4" s="1"/>
  <c r="BA14" i="4"/>
  <c r="AE14" i="4"/>
  <c r="AD14" i="4"/>
  <c r="AD37" i="4"/>
  <c r="AE37" i="4"/>
  <c r="AE16" i="4"/>
  <c r="AD16" i="4"/>
  <c r="AD19" i="4"/>
  <c r="AE19" i="4"/>
  <c r="AE21" i="4"/>
  <c r="AD21" i="4"/>
  <c r="AE39" i="4"/>
  <c r="AD39" i="4"/>
  <c r="AE31" i="4"/>
  <c r="AD31" i="4"/>
  <c r="AE38" i="4"/>
  <c r="AD38" i="4"/>
  <c r="AD29" i="4"/>
  <c r="AE29" i="4"/>
  <c r="AD35" i="4"/>
  <c r="AE35" i="4"/>
  <c r="AE34" i="4"/>
  <c r="AD34" i="4"/>
  <c r="AE15" i="4"/>
  <c r="AD15" i="4"/>
  <c r="AD17" i="4"/>
  <c r="AE17" i="4"/>
  <c r="AD20" i="4"/>
  <c r="AE20" i="4"/>
  <c r="AE26" i="4"/>
  <c r="AD26" i="4"/>
  <c r="AD12" i="4"/>
  <c r="AE12" i="4"/>
  <c r="AE23" i="4"/>
  <c r="AD23" i="4"/>
  <c r="AE36" i="4"/>
  <c r="AD36" i="4"/>
  <c r="V30" i="2"/>
  <c r="AG30" i="2"/>
  <c r="W30" i="2"/>
  <c r="AF30" i="2"/>
  <c r="AF24" i="2"/>
  <c r="W24" i="2"/>
  <c r="AG24" i="2"/>
  <c r="V24" i="2"/>
  <c r="V38" i="2"/>
  <c r="AG38" i="2"/>
  <c r="W38" i="2"/>
  <c r="AF38" i="2"/>
  <c r="BC25" i="4"/>
  <c r="BB25" i="4"/>
  <c r="R23" i="4"/>
  <c r="Q23" i="4" s="1"/>
  <c r="W23" i="4"/>
  <c r="BC20" i="4"/>
  <c r="BB20" i="4"/>
  <c r="BC18" i="4"/>
  <c r="BB18" i="4"/>
  <c r="R39" i="4"/>
  <c r="Q39" i="4" s="1"/>
  <c r="W39" i="4"/>
  <c r="AF12" i="2"/>
  <c r="W12" i="2"/>
  <c r="AG12" i="2"/>
  <c r="V12" i="2"/>
  <c r="R33" i="4"/>
  <c r="Q33" i="4" s="1"/>
  <c r="W33" i="4"/>
  <c r="BB31" i="4"/>
  <c r="BC31" i="4"/>
  <c r="AE25" i="4"/>
  <c r="AD25" i="4"/>
  <c r="W20" i="4"/>
  <c r="R20" i="4"/>
  <c r="Q20" i="4" s="1"/>
  <c r="AU4" i="4"/>
  <c r="AT4" i="4"/>
  <c r="AV4" i="4"/>
  <c r="BC36" i="4"/>
  <c r="BB36" i="4"/>
  <c r="AU5" i="4"/>
  <c r="AT5" i="4"/>
  <c r="BF5" i="4"/>
  <c r="AV5" i="4"/>
  <c r="W35" i="4"/>
  <c r="R35" i="4"/>
  <c r="Q35" i="4" s="1"/>
  <c r="BD13" i="4"/>
  <c r="BE13" i="4"/>
  <c r="W40" i="4"/>
  <c r="R40" i="4"/>
  <c r="Q40" i="4" s="1"/>
  <c r="BB10" i="4"/>
  <c r="BC10" i="4"/>
  <c r="BC28" i="4"/>
  <c r="BB28" i="4"/>
  <c r="R37" i="4"/>
  <c r="Q37" i="4" s="1"/>
  <c r="W37" i="4"/>
  <c r="R38" i="4"/>
  <c r="Q38" i="4" s="1"/>
  <c r="W38" i="4"/>
  <c r="BB35" i="4"/>
  <c r="BC35" i="4"/>
  <c r="AD18" i="4"/>
  <c r="AE18" i="4"/>
  <c r="BC14" i="4"/>
  <c r="BB14" i="4"/>
  <c r="BC26" i="4"/>
  <c r="BB26" i="4"/>
  <c r="W36" i="4"/>
  <c r="R36" i="4"/>
  <c r="Q36" i="4" s="1"/>
  <c r="R11" i="4"/>
  <c r="Q11" i="4" s="1"/>
  <c r="W11" i="4"/>
  <c r="W29" i="4"/>
  <c r="R29" i="4"/>
  <c r="Q29" i="4" s="1"/>
  <c r="W22" i="4"/>
  <c r="W44" i="4" s="1"/>
  <c r="R22" i="4"/>
  <c r="Q22" i="4" s="1"/>
  <c r="BC37" i="4"/>
  <c r="BB37" i="4"/>
  <c r="AT7" i="4"/>
  <c r="AU7" i="4"/>
  <c r="BF7" i="4"/>
  <c r="AV7" i="4"/>
  <c r="BB30" i="4"/>
  <c r="BC30" i="4"/>
  <c r="R14" i="4"/>
  <c r="Q14" i="4" s="1"/>
  <c r="W14" i="4"/>
  <c r="AT8" i="4"/>
  <c r="AU8" i="4"/>
  <c r="BF8" i="4"/>
  <c r="AV8" i="4"/>
  <c r="W24" i="4"/>
  <c r="R24" i="4"/>
  <c r="Q24" i="4" s="1"/>
  <c r="W15" i="4"/>
  <c r="R15" i="4"/>
  <c r="Q15" i="4" s="1"/>
  <c r="BC41" i="4"/>
  <c r="BB41" i="4"/>
  <c r="W34" i="4"/>
  <c r="R34" i="4"/>
  <c r="Q34" i="4" s="1"/>
  <c r="J12" i="2"/>
  <c r="L18" i="2"/>
  <c r="R18" i="2" s="1"/>
  <c r="Q18" i="2" s="1"/>
  <c r="W27" i="2"/>
  <c r="V27" i="2"/>
  <c r="AF27" i="2"/>
  <c r="AG27" i="2"/>
  <c r="AG41" i="2"/>
  <c r="AF41" i="2"/>
  <c r="V41" i="2"/>
  <c r="W41" i="2"/>
  <c r="AF32" i="2"/>
  <c r="W32" i="2"/>
  <c r="V32" i="2"/>
  <c r="AG32" i="2"/>
  <c r="V26" i="2"/>
  <c r="AG26" i="2"/>
  <c r="W26" i="2"/>
  <c r="AF26" i="2"/>
  <c r="W35" i="2"/>
  <c r="V35" i="2"/>
  <c r="AF35" i="2"/>
  <c r="AG35" i="2"/>
  <c r="V34" i="2"/>
  <c r="AG34" i="2"/>
  <c r="W34" i="2"/>
  <c r="AF34" i="2"/>
  <c r="BA26" i="4"/>
  <c r="BA21" i="4"/>
  <c r="BB19" i="4"/>
  <c r="BC19" i="4"/>
  <c r="BA10" i="4"/>
  <c r="BA7" i="4"/>
  <c r="AC28" i="4"/>
  <c r="AC27" i="4"/>
  <c r="R25" i="4"/>
  <c r="Q25" i="4" s="1"/>
  <c r="W25" i="4"/>
  <c r="R28" i="4"/>
  <c r="Q28" i="4" s="1"/>
  <c r="BB27" i="4"/>
  <c r="BC27" i="4"/>
  <c r="W17" i="4"/>
  <c r="R17" i="4"/>
  <c r="Q17" i="4" s="1"/>
  <c r="BA19" i="4"/>
  <c r="BA31" i="4"/>
  <c r="BA22" i="4"/>
  <c r="BA18" i="4"/>
  <c r="AT9" i="4"/>
  <c r="BC24" i="4"/>
  <c r="BB24" i="4"/>
  <c r="BA40" i="4"/>
  <c r="BC33" i="4"/>
  <c r="BB33" i="4"/>
  <c r="BD8" i="4"/>
  <c r="BE8" i="4"/>
  <c r="W15" i="2"/>
  <c r="V15" i="2"/>
  <c r="AG15" i="2"/>
  <c r="AF15" i="2"/>
  <c r="W31" i="2"/>
  <c r="V31" i="2"/>
  <c r="AG31" i="2"/>
  <c r="AF31" i="2"/>
  <c r="AF36" i="2"/>
  <c r="W36" i="2"/>
  <c r="S36" i="2"/>
  <c r="AG36" i="2"/>
  <c r="V36" i="2"/>
  <c r="V42" i="2"/>
  <c r="AG42" i="2"/>
  <c r="W42" i="2"/>
  <c r="AF42" i="2"/>
  <c r="R30" i="4"/>
  <c r="Q30" i="4" s="1"/>
  <c r="W30" i="4"/>
  <c r="BB23" i="4"/>
  <c r="BC23" i="4"/>
  <c r="AU9" i="4"/>
  <c r="AV9" i="4"/>
  <c r="BF9" i="4"/>
  <c r="S12" i="2"/>
  <c r="AA18" i="2"/>
  <c r="AB18" i="2" s="1"/>
  <c r="AE18" i="2" s="1"/>
  <c r="AG33" i="2"/>
  <c r="AF33" i="2"/>
  <c r="W33" i="2"/>
  <c r="V33" i="2"/>
  <c r="AF40" i="2"/>
  <c r="W40" i="2"/>
  <c r="AG40" i="2"/>
  <c r="V40" i="2"/>
  <c r="AF28" i="2"/>
  <c r="W28" i="2"/>
  <c r="AG28" i="2"/>
  <c r="V28" i="2"/>
  <c r="BC16" i="4"/>
  <c r="BB16" i="4"/>
  <c r="W21" i="4"/>
  <c r="R21" i="4"/>
  <c r="Q21" i="4" s="1"/>
  <c r="BA12" i="4"/>
  <c r="AG25" i="2"/>
  <c r="AF25" i="2"/>
  <c r="W25" i="2"/>
  <c r="V25" i="2"/>
  <c r="W39" i="2"/>
  <c r="V39" i="2"/>
  <c r="AG39" i="2"/>
  <c r="AF39" i="2"/>
  <c r="AG29" i="2"/>
  <c r="AF29" i="2"/>
  <c r="V29" i="2"/>
  <c r="W29" i="2"/>
  <c r="AG37" i="2"/>
  <c r="AF37" i="2"/>
  <c r="V37" i="2"/>
  <c r="W37" i="2"/>
  <c r="BC17" i="4"/>
  <c r="BB17" i="4"/>
  <c r="R26" i="4"/>
  <c r="Q26" i="4" s="1"/>
  <c r="W26" i="4"/>
  <c r="BA23" i="4"/>
  <c r="R10" i="4"/>
  <c r="Q10" i="4" s="1"/>
  <c r="W10" i="4"/>
  <c r="W8" i="4" s="1"/>
  <c r="BA38" i="4"/>
  <c r="R12" i="4"/>
  <c r="Q12" i="4" s="1"/>
  <c r="W12" i="4"/>
  <c r="BA9" i="4"/>
  <c r="BA39" i="4"/>
  <c r="BB34" i="4"/>
  <c r="BC34" i="4"/>
  <c r="AD24" i="4"/>
  <c r="AE24" i="4"/>
  <c r="BC21" i="4"/>
  <c r="BB21" i="4"/>
  <c r="AU6" i="4"/>
  <c r="AT6" i="4"/>
  <c r="AV6" i="4"/>
  <c r="BF6" i="4"/>
  <c r="BA28" i="4"/>
  <c r="BB39" i="4"/>
  <c r="BC39" i="4"/>
  <c r="W41" i="4"/>
  <c r="R41" i="4"/>
  <c r="Q41" i="4" s="1"/>
  <c r="W16" i="4"/>
  <c r="R16" i="4"/>
  <c r="Q16" i="4" s="1"/>
  <c r="W19" i="4"/>
  <c r="R19" i="4"/>
  <c r="Q19" i="4" s="1"/>
  <c r="BA20" i="4"/>
  <c r="BA6" i="4"/>
  <c r="BC12" i="4"/>
  <c r="BB12" i="4"/>
  <c r="R31" i="4"/>
  <c r="Q31" i="4" s="1"/>
  <c r="W31" i="4"/>
  <c r="BC38" i="4"/>
  <c r="BB38" i="4"/>
  <c r="BA35" i="4"/>
  <c r="R18" i="4"/>
  <c r="Q18" i="4" s="1"/>
  <c r="W18" i="4"/>
  <c r="R13" i="4"/>
  <c r="Q13" i="4" s="1"/>
  <c r="W13" i="4"/>
  <c r="BC29" i="4"/>
  <c r="BB29" i="4"/>
  <c r="BA27" i="4"/>
  <c r="AE30" i="4"/>
  <c r="AD30" i="4"/>
  <c r="BC32" i="4"/>
  <c r="BB32" i="4"/>
  <c r="BC22" i="4"/>
  <c r="BB22" i="4"/>
  <c r="R32" i="4"/>
  <c r="Q32" i="4" s="1"/>
  <c r="W32" i="4"/>
  <c r="BC40" i="4"/>
  <c r="BB40" i="4"/>
  <c r="S10" i="2"/>
  <c r="AA16" i="2"/>
  <c r="AB16" i="2" s="1"/>
  <c r="AE16" i="2" s="1"/>
  <c r="R22" i="2"/>
  <c r="Q22" i="2" s="1"/>
  <c r="S9" i="2"/>
  <c r="J15" i="2"/>
  <c r="J9" i="2"/>
  <c r="S15" i="2"/>
  <c r="S13" i="2"/>
  <c r="W9" i="2"/>
  <c r="J31" i="2"/>
  <c r="S31" i="2"/>
  <c r="L29" i="2"/>
  <c r="AA29" i="2"/>
  <c r="AB29" i="2" s="1"/>
  <c r="AC29" i="2"/>
  <c r="AD29" i="2" s="1"/>
  <c r="S24" i="2"/>
  <c r="J24" i="2"/>
  <c r="J36" i="2"/>
  <c r="L37" i="2"/>
  <c r="AA37" i="2"/>
  <c r="AB37" i="2" s="1"/>
  <c r="AC37" i="2"/>
  <c r="AD37" i="2" s="1"/>
  <c r="L28" i="2"/>
  <c r="AA28" i="2"/>
  <c r="AB28" i="2" s="1"/>
  <c r="AC28" i="2"/>
  <c r="AD28" i="2" s="1"/>
  <c r="S32" i="2"/>
  <c r="J32" i="2"/>
  <c r="S26" i="2"/>
  <c r="J26" i="2"/>
  <c r="V43" i="2"/>
  <c r="S43" i="2"/>
  <c r="W43" i="2"/>
  <c r="J43" i="2"/>
  <c r="AG43" i="2"/>
  <c r="AF43" i="2"/>
  <c r="S35" i="2"/>
  <c r="J35" i="2"/>
  <c r="S42" i="2"/>
  <c r="J42" i="2"/>
  <c r="S34" i="2"/>
  <c r="J34" i="2"/>
  <c r="S38" i="2"/>
  <c r="J38" i="2"/>
  <c r="F21" i="2"/>
  <c r="L31" i="2"/>
  <c r="AA31" i="2"/>
  <c r="AB31" i="2" s="1"/>
  <c r="AC31" i="2"/>
  <c r="AD31" i="2" s="1"/>
  <c r="J29" i="2"/>
  <c r="S29" i="2"/>
  <c r="AA24" i="2"/>
  <c r="AB24" i="2" s="1"/>
  <c r="L24" i="2"/>
  <c r="AC24" i="2"/>
  <c r="AD24" i="2" s="1"/>
  <c r="F4" i="2"/>
  <c r="L36" i="2"/>
  <c r="AC36" i="2"/>
  <c r="AD36" i="2" s="1"/>
  <c r="AA36" i="2"/>
  <c r="AB36" i="2" s="1"/>
  <c r="J37" i="2"/>
  <c r="S37" i="2"/>
  <c r="J28" i="2"/>
  <c r="S28" i="2"/>
  <c r="AA32" i="2"/>
  <c r="AB32" i="2" s="1"/>
  <c r="L32" i="2"/>
  <c r="AC32" i="2"/>
  <c r="AD32" i="2" s="1"/>
  <c r="F5" i="2"/>
  <c r="AA26" i="2"/>
  <c r="AB26" i="2" s="1"/>
  <c r="L26" i="2"/>
  <c r="AC26" i="2"/>
  <c r="AD26" i="2" s="1"/>
  <c r="L43" i="2"/>
  <c r="AC43" i="2"/>
  <c r="AD43" i="2" s="1"/>
  <c r="AA43" i="2"/>
  <c r="AB43" i="2" s="1"/>
  <c r="L35" i="2"/>
  <c r="AA35" i="2"/>
  <c r="AB35" i="2" s="1"/>
  <c r="AC35" i="2"/>
  <c r="AD35" i="2" s="1"/>
  <c r="L42" i="2"/>
  <c r="AC42" i="2"/>
  <c r="AD42" i="2" s="1"/>
  <c r="AA42" i="2"/>
  <c r="AB42" i="2" s="1"/>
  <c r="AA34" i="2"/>
  <c r="AB34" i="2" s="1"/>
  <c r="L34" i="2"/>
  <c r="AC34" i="2"/>
  <c r="AD34" i="2" s="1"/>
  <c r="L38" i="2"/>
  <c r="AC38" i="2"/>
  <c r="AD38" i="2" s="1"/>
  <c r="AA38" i="2"/>
  <c r="AB38" i="2" s="1"/>
  <c r="L25" i="2"/>
  <c r="AC25" i="2"/>
  <c r="AD25" i="2" s="1"/>
  <c r="AA25" i="2"/>
  <c r="AB25" i="2" s="1"/>
  <c r="S30" i="2"/>
  <c r="J30" i="2"/>
  <c r="J27" i="2"/>
  <c r="S27" i="2"/>
  <c r="L33" i="2"/>
  <c r="AC33" i="2"/>
  <c r="AD33" i="2" s="1"/>
  <c r="AA33" i="2"/>
  <c r="AB33" i="2" s="1"/>
  <c r="J41" i="2"/>
  <c r="S41" i="2"/>
  <c r="L40" i="2"/>
  <c r="AA40" i="2"/>
  <c r="AB40" i="2" s="1"/>
  <c r="AC40" i="2"/>
  <c r="AD40" i="2" s="1"/>
  <c r="L39" i="2"/>
  <c r="AC39" i="2"/>
  <c r="AD39" i="2" s="1"/>
  <c r="AA39" i="2"/>
  <c r="AB39" i="2" s="1"/>
  <c r="J25" i="2"/>
  <c r="S25" i="2"/>
  <c r="AA30" i="2"/>
  <c r="AB30" i="2" s="1"/>
  <c r="L30" i="2"/>
  <c r="AC30" i="2"/>
  <c r="AD30" i="2" s="1"/>
  <c r="L27" i="2"/>
  <c r="AA27" i="2"/>
  <c r="AB27" i="2" s="1"/>
  <c r="AC27" i="2"/>
  <c r="AD27" i="2" s="1"/>
  <c r="J33" i="2"/>
  <c r="S33" i="2"/>
  <c r="L41" i="2"/>
  <c r="AA41" i="2"/>
  <c r="AB41" i="2" s="1"/>
  <c r="AC41" i="2"/>
  <c r="AD41" i="2" s="1"/>
  <c r="J40" i="2"/>
  <c r="S40" i="2"/>
  <c r="J39" i="2"/>
  <c r="S39" i="2"/>
  <c r="S7" i="2"/>
  <c r="W7" i="2"/>
  <c r="J7" i="2"/>
  <c r="AA22" i="2"/>
  <c r="AB22" i="2" s="1"/>
  <c r="AC17" i="2"/>
  <c r="AD17" i="2" s="1"/>
  <c r="AE17" i="2" s="1"/>
  <c r="AC22" i="2"/>
  <c r="AD22" i="2" s="1"/>
  <c r="L17" i="2"/>
  <c r="Q6" i="2"/>
  <c r="AG9" i="2"/>
  <c r="Q4" i="2"/>
  <c r="Q10" i="2"/>
  <c r="Q23" i="2"/>
  <c r="Q12" i="2"/>
  <c r="Q14" i="2"/>
  <c r="AG6" i="2"/>
  <c r="Q15" i="2"/>
  <c r="Q9" i="2"/>
  <c r="Q20" i="2"/>
  <c r="Q7" i="2"/>
  <c r="AE8" i="2"/>
  <c r="AE21" i="2"/>
  <c r="AE13" i="2"/>
  <c r="AE10" i="2"/>
  <c r="AE20" i="2"/>
  <c r="AE23" i="2"/>
  <c r="AE12" i="2"/>
  <c r="Q5" i="2"/>
  <c r="AE11" i="2"/>
  <c r="AE6" i="2"/>
  <c r="AE5" i="2"/>
  <c r="AE9" i="2"/>
  <c r="AE15" i="2"/>
  <c r="AE7" i="2"/>
  <c r="AE14" i="2"/>
  <c r="AE19" i="2"/>
  <c r="Q11" i="2"/>
  <c r="Q8" i="2"/>
  <c r="AE4" i="2"/>
  <c r="Q13" i="2"/>
  <c r="Q21" i="2"/>
  <c r="Q19" i="2"/>
  <c r="BD5" i="4" l="1"/>
  <c r="AE40" i="4"/>
  <c r="S40" i="4" s="1"/>
  <c r="AD32" i="4"/>
  <c r="AD33" i="4"/>
  <c r="BE4" i="4"/>
  <c r="BD4" i="4"/>
  <c r="BE33" i="4"/>
  <c r="AD22" i="4"/>
  <c r="BD25" i="4"/>
  <c r="BE16" i="4"/>
  <c r="BD37" i="4"/>
  <c r="BE15" i="4"/>
  <c r="AD41" i="4"/>
  <c r="BE37" i="4"/>
  <c r="BD24" i="4"/>
  <c r="BD17" i="4"/>
  <c r="BE41" i="4"/>
  <c r="BD30" i="4"/>
  <c r="BE34" i="4"/>
  <c r="BD15" i="4"/>
  <c r="BE30" i="4"/>
  <c r="BD32" i="4"/>
  <c r="BE14" i="4"/>
  <c r="BE31" i="4"/>
  <c r="BD31" i="4"/>
  <c r="BD21" i="4"/>
  <c r="BE21" i="4"/>
  <c r="AU12" i="4"/>
  <c r="AT12" i="4"/>
  <c r="AV12" i="4"/>
  <c r="BD28" i="4"/>
  <c r="BE28" i="4"/>
  <c r="BD9" i="4"/>
  <c r="BE9" i="4"/>
  <c r="AU15" i="4"/>
  <c r="AT15" i="4"/>
  <c r="AV15" i="4"/>
  <c r="AU16" i="4"/>
  <c r="AT16" i="4"/>
  <c r="AV16" i="4"/>
  <c r="AF40" i="4"/>
  <c r="AU33" i="4"/>
  <c r="AT33" i="4"/>
  <c r="AV33" i="4"/>
  <c r="BD40" i="4"/>
  <c r="BE40" i="4"/>
  <c r="BE18" i="4"/>
  <c r="BD18" i="4"/>
  <c r="BD19" i="4"/>
  <c r="BE19" i="4"/>
  <c r="AD28" i="4"/>
  <c r="AE28" i="4"/>
  <c r="AF28" i="4" s="1"/>
  <c r="AU19" i="4"/>
  <c r="AT19" i="4"/>
  <c r="AV19" i="4"/>
  <c r="BE26" i="4"/>
  <c r="BD26" i="4"/>
  <c r="AU26" i="4"/>
  <c r="AT26" i="4"/>
  <c r="AV26" i="4"/>
  <c r="S18" i="4"/>
  <c r="AF18" i="4"/>
  <c r="AU36" i="4"/>
  <c r="AT36" i="4"/>
  <c r="AV36" i="4"/>
  <c r="BD16" i="4"/>
  <c r="S36" i="4"/>
  <c r="AF36" i="4"/>
  <c r="S15" i="4"/>
  <c r="AF15" i="4"/>
  <c r="S38" i="4"/>
  <c r="AF38" i="4"/>
  <c r="S39" i="4"/>
  <c r="AF39" i="4"/>
  <c r="AU29" i="4"/>
  <c r="AT29" i="4"/>
  <c r="AV29" i="4"/>
  <c r="AT39" i="4"/>
  <c r="AU39" i="4"/>
  <c r="AV39" i="4"/>
  <c r="S24" i="4"/>
  <c r="AF24" i="4"/>
  <c r="BE38" i="4"/>
  <c r="BD38" i="4"/>
  <c r="AT24" i="4"/>
  <c r="AU24" i="4"/>
  <c r="AV24" i="4"/>
  <c r="AT37" i="4"/>
  <c r="AU37" i="4"/>
  <c r="AV37" i="4"/>
  <c r="AT35" i="4"/>
  <c r="AU35" i="4"/>
  <c r="AV35" i="4"/>
  <c r="AU20" i="4"/>
  <c r="AT20" i="4"/>
  <c r="AV20" i="4"/>
  <c r="S12" i="4"/>
  <c r="AF12" i="4"/>
  <c r="S37" i="4"/>
  <c r="AF37" i="4"/>
  <c r="AT40" i="4"/>
  <c r="AU40" i="4"/>
  <c r="AV40" i="4"/>
  <c r="AT22" i="4"/>
  <c r="AU22" i="4"/>
  <c r="AV22" i="4"/>
  <c r="AU32" i="4"/>
  <c r="AT32" i="4"/>
  <c r="AV32" i="4"/>
  <c r="S30" i="4"/>
  <c r="AF30" i="4"/>
  <c r="BD35" i="4"/>
  <c r="BE35" i="4"/>
  <c r="AT21" i="4"/>
  <c r="AU21" i="4"/>
  <c r="AV21" i="4"/>
  <c r="AT17" i="4"/>
  <c r="AU17" i="4"/>
  <c r="AV17" i="4"/>
  <c r="BD12" i="4"/>
  <c r="BE12" i="4"/>
  <c r="AF32" i="4"/>
  <c r="S32" i="4"/>
  <c r="AE10" i="4"/>
  <c r="AD10" i="4"/>
  <c r="AE27" i="4"/>
  <c r="AD27" i="4"/>
  <c r="BE7" i="4"/>
  <c r="BD7" i="4"/>
  <c r="AT41" i="4"/>
  <c r="AU41" i="4"/>
  <c r="AV41" i="4"/>
  <c r="BD41" i="4"/>
  <c r="BE32" i="4"/>
  <c r="BE24" i="4"/>
  <c r="AT10" i="4"/>
  <c r="AU10" i="4"/>
  <c r="AV10" i="4"/>
  <c r="BE29" i="4"/>
  <c r="BE36" i="4"/>
  <c r="AT18" i="4"/>
  <c r="AU18" i="4"/>
  <c r="AV18" i="4"/>
  <c r="S17" i="4"/>
  <c r="AF17" i="4"/>
  <c r="AF29" i="4"/>
  <c r="S29" i="4"/>
  <c r="BD20" i="4"/>
  <c r="BE20" i="4"/>
  <c r="BE39" i="4"/>
  <c r="BD39" i="4"/>
  <c r="AF41" i="4"/>
  <c r="S41" i="4"/>
  <c r="AT25" i="4"/>
  <c r="AU25" i="4"/>
  <c r="AV25" i="4"/>
  <c r="S20" i="4"/>
  <c r="AF20" i="4"/>
  <c r="S35" i="4"/>
  <c r="AF35" i="4"/>
  <c r="S19" i="4"/>
  <c r="AF19" i="4"/>
  <c r="AT38" i="4"/>
  <c r="AU38" i="4"/>
  <c r="AV38" i="4"/>
  <c r="BD6" i="4"/>
  <c r="BE6" i="4"/>
  <c r="AT34" i="4"/>
  <c r="AU34" i="4"/>
  <c r="AV34" i="4"/>
  <c r="BE23" i="4"/>
  <c r="BD23" i="4"/>
  <c r="AT23" i="4"/>
  <c r="AU23" i="4"/>
  <c r="AV23" i="4"/>
  <c r="AF33" i="4"/>
  <c r="S33" i="4"/>
  <c r="BD22" i="4"/>
  <c r="BE22" i="4"/>
  <c r="BE10" i="4"/>
  <c r="BD10" i="4"/>
  <c r="AF22" i="4"/>
  <c r="S22" i="4"/>
  <c r="AT30" i="4"/>
  <c r="AU30" i="4"/>
  <c r="AV30" i="4"/>
  <c r="BE17" i="4"/>
  <c r="BD33" i="4"/>
  <c r="BE25" i="4"/>
  <c r="AT14" i="4"/>
  <c r="AU14" i="4"/>
  <c r="AV14" i="4"/>
  <c r="BD34" i="4"/>
  <c r="AU28" i="4"/>
  <c r="AT28" i="4"/>
  <c r="AV28" i="4"/>
  <c r="BD14" i="4"/>
  <c r="BD29" i="4"/>
  <c r="AF25" i="4"/>
  <c r="S25" i="4"/>
  <c r="AT31" i="4"/>
  <c r="AU31" i="4"/>
  <c r="AV31" i="4"/>
  <c r="BD36" i="4"/>
  <c r="S23" i="4"/>
  <c r="AF23" i="4"/>
  <c r="AF26" i="4"/>
  <c r="S26" i="4"/>
  <c r="AF34" i="4"/>
  <c r="S34" i="4"/>
  <c r="AF31" i="4"/>
  <c r="S31" i="4"/>
  <c r="AF21" i="4"/>
  <c r="S21" i="4"/>
  <c r="AF16" i="4"/>
  <c r="S16" i="4"/>
  <c r="AF14" i="4"/>
  <c r="S14" i="4"/>
  <c r="R36" i="2"/>
  <c r="Q36" i="2" s="1"/>
  <c r="R41" i="2"/>
  <c r="Q41" i="2" s="1"/>
  <c r="R40" i="2"/>
  <c r="Q40" i="2" s="1"/>
  <c r="R25" i="2"/>
  <c r="Q25" i="2" s="1"/>
  <c r="R35" i="2"/>
  <c r="Q35" i="2" s="1"/>
  <c r="R31" i="2"/>
  <c r="Q31" i="2" s="1"/>
  <c r="R17" i="2"/>
  <c r="Q17" i="2" s="1"/>
  <c r="R27" i="2"/>
  <c r="Q27" i="2" s="1"/>
  <c r="R39" i="2"/>
  <c r="Q39" i="2" s="1"/>
  <c r="R33" i="2"/>
  <c r="Q33" i="2" s="1"/>
  <c r="R38" i="2"/>
  <c r="Q38" i="2" s="1"/>
  <c r="R42" i="2"/>
  <c r="Q42" i="2" s="1"/>
  <c r="R43" i="2"/>
  <c r="Q43" i="2" s="1"/>
  <c r="R32" i="2"/>
  <c r="Q32" i="2" s="1"/>
  <c r="R28" i="2"/>
  <c r="Q28" i="2" s="1"/>
  <c r="R29" i="2"/>
  <c r="Q29" i="2" s="1"/>
  <c r="R24" i="2"/>
  <c r="Q24" i="2" s="1"/>
  <c r="R37" i="2"/>
  <c r="Q37" i="2" s="1"/>
  <c r="R30" i="2"/>
  <c r="Q30" i="2" s="1"/>
  <c r="R34" i="2"/>
  <c r="Q34" i="2" s="1"/>
  <c r="R26" i="2"/>
  <c r="Q26" i="2" s="1"/>
  <c r="AE40" i="2"/>
  <c r="AH40" i="2" s="1"/>
  <c r="AE35" i="2"/>
  <c r="AH35" i="2" s="1"/>
  <c r="AE39" i="2"/>
  <c r="AI39" i="2" s="1"/>
  <c r="AE33" i="2"/>
  <c r="AH33" i="2" s="1"/>
  <c r="AE42" i="2"/>
  <c r="AI42" i="2" s="1"/>
  <c r="AE36" i="2"/>
  <c r="AH36" i="2" s="1"/>
  <c r="AE38" i="2"/>
  <c r="AI38" i="2" s="1"/>
  <c r="AE29" i="2"/>
  <c r="AH29" i="2" s="1"/>
  <c r="AE41" i="2"/>
  <c r="AH41" i="2" s="1"/>
  <c r="AE30" i="2"/>
  <c r="AI30" i="2" s="1"/>
  <c r="AE37" i="2"/>
  <c r="AI37" i="2" s="1"/>
  <c r="X26" i="2"/>
  <c r="X38" i="2"/>
  <c r="Y38" i="2"/>
  <c r="Z38" i="2"/>
  <c r="AJ38" i="2"/>
  <c r="X42" i="2"/>
  <c r="Y42" i="2"/>
  <c r="AJ42" i="2"/>
  <c r="Z42" i="2"/>
  <c r="X39" i="2"/>
  <c r="Y39" i="2"/>
  <c r="Z39" i="2"/>
  <c r="AJ39" i="2"/>
  <c r="AI40" i="2"/>
  <c r="AE43" i="2"/>
  <c r="X37" i="2"/>
  <c r="Y37" i="2"/>
  <c r="AJ37" i="2"/>
  <c r="Z37" i="2"/>
  <c r="X34" i="2"/>
  <c r="Y34" i="2"/>
  <c r="AJ34" i="2"/>
  <c r="Z34" i="2"/>
  <c r="X32" i="2"/>
  <c r="Y32" i="2"/>
  <c r="AJ32" i="2"/>
  <c r="Z32" i="2"/>
  <c r="X40" i="2"/>
  <c r="Y40" i="2"/>
  <c r="AJ40" i="2"/>
  <c r="Z40" i="2"/>
  <c r="X33" i="2"/>
  <c r="Y33" i="2"/>
  <c r="Z33" i="2"/>
  <c r="AJ33" i="2"/>
  <c r="AE27" i="2"/>
  <c r="X25" i="2"/>
  <c r="Y25" i="2"/>
  <c r="Z25" i="2"/>
  <c r="AJ25" i="2"/>
  <c r="X27" i="2"/>
  <c r="Y27" i="2"/>
  <c r="Z27" i="2"/>
  <c r="AJ27" i="2"/>
  <c r="X30" i="2"/>
  <c r="Y30" i="2"/>
  <c r="Z30" i="2"/>
  <c r="AJ30" i="2"/>
  <c r="AE25" i="2"/>
  <c r="AE24" i="2"/>
  <c r="X35" i="2"/>
  <c r="Y35" i="2"/>
  <c r="Z35" i="2"/>
  <c r="AJ35" i="2"/>
  <c r="Y26" i="2"/>
  <c r="Z26" i="2"/>
  <c r="AJ26" i="2"/>
  <c r="AE28" i="2"/>
  <c r="X24" i="2"/>
  <c r="Y24" i="2"/>
  <c r="AJ24" i="2"/>
  <c r="Z24" i="2"/>
  <c r="X41" i="2"/>
  <c r="Y41" i="2"/>
  <c r="Z41" i="2"/>
  <c r="AJ41" i="2"/>
  <c r="X29" i="2"/>
  <c r="Y29" i="2"/>
  <c r="AJ29" i="2"/>
  <c r="Z29" i="2"/>
  <c r="Y43" i="2"/>
  <c r="Z43" i="2"/>
  <c r="AE34" i="2"/>
  <c r="AE26" i="2"/>
  <c r="AE32" i="2"/>
  <c r="AH32" i="2" s="1"/>
  <c r="X28" i="2"/>
  <c r="Y28" i="2"/>
  <c r="Z28" i="2"/>
  <c r="AJ28" i="2"/>
  <c r="AE31" i="2"/>
  <c r="X36" i="2"/>
  <c r="Y36" i="2"/>
  <c r="Z36" i="2"/>
  <c r="AJ36" i="2"/>
  <c r="X31" i="2"/>
  <c r="Y31" i="2"/>
  <c r="AJ31" i="2"/>
  <c r="Z31" i="2"/>
  <c r="AE22" i="2"/>
  <c r="AF9" i="2"/>
  <c r="AJ9" i="2" s="1"/>
  <c r="AG7" i="2"/>
  <c r="AI15" i="2"/>
  <c r="AG5" i="2"/>
  <c r="AJ17" i="2"/>
  <c r="AH17" i="2"/>
  <c r="AI17" i="2"/>
  <c r="Y17" i="2"/>
  <c r="X17" i="2"/>
  <c r="Z17" i="2"/>
  <c r="AH21" i="2"/>
  <c r="AG4" i="2"/>
  <c r="AF8" i="2"/>
  <c r="AF4" i="2"/>
  <c r="AF5" i="2"/>
  <c r="AG8" i="2"/>
  <c r="AI6" i="2"/>
  <c r="AF7" i="2"/>
  <c r="AH7" i="2" s="1"/>
  <c r="AF27" i="4" l="1"/>
  <c r="S27" i="4"/>
  <c r="AH4" i="2"/>
  <c r="S28" i="4"/>
  <c r="AF10" i="4"/>
  <c r="S10" i="4"/>
  <c r="AH8" i="2"/>
  <c r="AH5" i="2"/>
  <c r="AH6" i="2"/>
  <c r="AH9" i="2"/>
  <c r="AI36" i="2"/>
  <c r="AI29" i="2"/>
  <c r="AI33" i="2"/>
  <c r="AI35" i="2"/>
  <c r="AH39" i="2"/>
  <c r="AH38" i="2"/>
  <c r="AI8" i="2"/>
  <c r="AH42" i="2"/>
  <c r="AH37" i="2"/>
  <c r="AI41" i="2"/>
  <c r="AH30" i="2"/>
  <c r="AI28" i="2"/>
  <c r="AH28" i="2"/>
  <c r="AI24" i="2"/>
  <c r="AH24" i="2"/>
  <c r="AI34" i="2"/>
  <c r="AH34" i="2"/>
  <c r="AH25" i="2"/>
  <c r="AI25" i="2"/>
  <c r="AI31" i="2"/>
  <c r="AH31" i="2"/>
  <c r="AI26" i="2"/>
  <c r="AH26" i="2"/>
  <c r="AH27" i="2"/>
  <c r="AI27" i="2"/>
  <c r="AI32" i="2"/>
  <c r="AI22" i="2"/>
  <c r="X9" i="2"/>
  <c r="AI9" i="2"/>
  <c r="Z9" i="2"/>
  <c r="Y9" i="2"/>
  <c r="AH15" i="2"/>
  <c r="AJ21" i="2"/>
  <c r="X15" i="2"/>
  <c r="Y15" i="2"/>
  <c r="Z15" i="2"/>
  <c r="AJ15" i="2"/>
  <c r="AI4" i="2"/>
  <c r="AJ4" i="2"/>
  <c r="AI11" i="2"/>
  <c r="Y11" i="2"/>
  <c r="X11" i="2"/>
  <c r="Z11" i="2"/>
  <c r="Y19" i="2"/>
  <c r="X19" i="2"/>
  <c r="Z19" i="2"/>
  <c r="X8" i="2"/>
  <c r="Y8" i="2"/>
  <c r="Z8" i="2"/>
  <c r="Y14" i="2"/>
  <c r="X14" i="2"/>
  <c r="Z14" i="2"/>
  <c r="AI18" i="2"/>
  <c r="Y18" i="2"/>
  <c r="X18" i="2"/>
  <c r="Z18" i="2"/>
  <c r="X10" i="2"/>
  <c r="Y10" i="2"/>
  <c r="Z10" i="2"/>
  <c r="X22" i="2"/>
  <c r="Y22" i="2"/>
  <c r="Z22" i="2"/>
  <c r="X20" i="2"/>
  <c r="Y20" i="2"/>
  <c r="Z20" i="2"/>
  <c r="AI21" i="2"/>
  <c r="X21" i="2"/>
  <c r="Y21" i="2"/>
  <c r="Z21" i="2"/>
  <c r="AJ5" i="2"/>
  <c r="Y5" i="2"/>
  <c r="X5" i="2"/>
  <c r="Z5" i="2"/>
  <c r="AJ19" i="2"/>
  <c r="AI5" i="2"/>
  <c r="X16" i="2"/>
  <c r="Y16" i="2"/>
  <c r="Z16" i="2"/>
  <c r="AH19" i="2"/>
  <c r="AI19" i="2"/>
  <c r="Y12" i="2"/>
  <c r="X12" i="2"/>
  <c r="Z12" i="2"/>
  <c r="AJ7" i="2"/>
  <c r="X7" i="2"/>
  <c r="Y7" i="2"/>
  <c r="Z7" i="2"/>
  <c r="AJ6" i="2"/>
  <c r="Y6" i="2"/>
  <c r="X6" i="2"/>
  <c r="Z6" i="2"/>
  <c r="Y13" i="2"/>
  <c r="X13" i="2"/>
  <c r="Z13" i="2"/>
  <c r="Y4" i="2"/>
  <c r="X4" i="2"/>
  <c r="Z4" i="2"/>
  <c r="Y23" i="2"/>
  <c r="X23" i="2"/>
  <c r="Z23" i="2"/>
  <c r="AI14" i="2"/>
  <c r="AI20" i="2"/>
  <c r="AH14" i="2"/>
  <c r="AJ14" i="2"/>
  <c r="AH18" i="2"/>
  <c r="AJ13" i="2"/>
  <c r="AJ23" i="2"/>
  <c r="AI23" i="2"/>
  <c r="AI12" i="2"/>
  <c r="AH12" i="2"/>
  <c r="AJ20" i="2"/>
  <c r="AI7" i="2"/>
  <c r="AJ18" i="2"/>
  <c r="AI16" i="2"/>
  <c r="AJ16" i="2"/>
  <c r="AH16" i="2"/>
  <c r="AJ8" i="2"/>
  <c r="AJ11" i="2"/>
  <c r="AJ12" i="2"/>
  <c r="AJ10" i="2"/>
  <c r="AI10" i="2"/>
  <c r="AH10" i="2"/>
  <c r="AJ22" i="2"/>
  <c r="AH22" i="2"/>
  <c r="AH20" i="2"/>
  <c r="AH11" i="2"/>
  <c r="AI13" i="2"/>
  <c r="AH13" i="2"/>
  <c r="AH23" i="2"/>
  <c r="AL4" i="2" l="1"/>
  <c r="AM9" i="2"/>
  <c r="AN9" i="2"/>
  <c r="AM4" i="2"/>
  <c r="AN4" i="2"/>
  <c r="F12" i="1"/>
  <c r="X11" i="4" l="1"/>
  <c r="T11" i="4" s="1"/>
  <c r="AA11" i="4" l="1"/>
  <c r="BB11" i="4"/>
  <c r="BC11" i="4"/>
  <c r="AB11" i="4"/>
  <c r="AC11" i="4" l="1"/>
  <c r="AD11" i="4" s="1"/>
  <c r="AV11" i="4"/>
  <c r="AU11" i="4"/>
  <c r="BD11" i="4"/>
  <c r="AT11" i="4"/>
  <c r="BE11" i="4"/>
  <c r="AE11" i="4" l="1"/>
  <c r="AF11" i="4" s="1"/>
  <c r="S11" i="4" l="1"/>
  <c r="W28" i="4" l="1"/>
  <c r="V27" i="4"/>
  <c r="W27" i="4" l="1"/>
  <c r="N27" i="4"/>
  <c r="M27" i="4" l="1"/>
  <c r="R27" i="4"/>
  <c r="Q27" i="4" s="1"/>
  <c r="AU27" i="4" l="1"/>
  <c r="BI4" i="4" s="1"/>
  <c r="BE27" i="4"/>
  <c r="BI9" i="4" s="1"/>
  <c r="BI10" i="4" s="1"/>
  <c r="AT27" i="4"/>
  <c r="BH4" i="4" s="1"/>
  <c r="BJ9" i="4"/>
  <c r="D12" i="1" s="1"/>
  <c r="I12" i="1" s="1"/>
  <c r="BD27" i="4"/>
  <c r="AV27" i="4"/>
  <c r="BJ4" i="4" s="1"/>
  <c r="BH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V2" authorId="0" shapeId="0" xr:uid="{37B6AAF4-9DB9-4AC3-A379-6D42DB9F29E0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AR2" authorId="0" shapeId="0" xr:uid="{2F082350-1563-4E42-8E43-A45D831F4C39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473D9-3405-4C60-A9A8-ECB1B45136A1}" keepAlive="1" name="Query - xf-clarky-il-100000" description="Connection to the 'xf-clarky-il-100000' query in the workbook." type="5" refreshedVersion="6" background="1" saveData="1">
    <dbPr connection="Provider=Microsoft.Mashup.OleDb.1;Data Source=$Workbook$;Location=xf-clarky-il-100000;Extended Properties=&quot;&quot;" command="SELECT * FROM [xf-clarky-il-100000]"/>
  </connection>
  <connection id="2" xr16:uid="{F16478ED-6A09-4D9B-A4DA-C9EAEABAEEF2}" keepAlive="1" name="Query - xf-clarky-il-100000 (2)" description="Connection to the 'xf-clarky-il-100000 (2)' query in the workbook." type="5" refreshedVersion="6" background="1" saveData="1">
    <dbPr connection="Provider=Microsoft.Mashup.OleDb.1;Data Source=$Workbook$;Location=&quot;xf-clarky-il-100000 (2)&quot;;Extended Properties=&quot;&quot;" command="SELECT * FROM [xf-clarky-il-100000 (2)]"/>
  </connection>
  <connection id="3" xr16:uid="{FB611102-CF43-4F9F-8548-A44C3E7466F5}" keepAlive="1" name="Query - xf-clarky-il-1000000" description="Connection to the 'xf-clarky-il-1000000' query in the workbook." type="5" refreshedVersion="6" background="1" saveData="1">
    <dbPr connection="Provider=Microsoft.Mashup.OleDb.1;Data Source=$Workbook$;Location=xf-clarky-il-1000000;Extended Properties=&quot;&quot;" command="SELECT * FROM [xf-clarky-il-1000000]"/>
  </connection>
  <connection id="4" xr16:uid="{B2026CEC-D974-4879-B71D-8CEE80AE9C40}" keepAlive="1" name="Query - xf-clarky-il-1000000 (2)" description="Connection to the 'xf-clarky-il-1000000 (2)' query in the workbook." type="5" refreshedVersion="6" background="1" saveData="1">
    <dbPr connection="Provider=Microsoft.Mashup.OleDb.1;Data Source=$Workbook$;Location=&quot;xf-clarky-il-1000000 (2)&quot;;Extended Properties=&quot;&quot;" command="SELECT * FROM [xf-clarky-il-1000000 (2)]"/>
  </connection>
</connections>
</file>

<file path=xl/sharedStrings.xml><?xml version="1.0" encoding="utf-8"?>
<sst xmlns="http://schemas.openxmlformats.org/spreadsheetml/2006/main" count="259" uniqueCount="105">
  <si>
    <t>RPM</t>
  </si>
  <si>
    <t>No. of elements</t>
  </si>
  <si>
    <t>m</t>
  </si>
  <si>
    <t>r</t>
  </si>
  <si>
    <t>x=r/R</t>
  </si>
  <si>
    <t>ΔA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</si>
  <si>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</si>
  <si>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Blade Geometry</t>
  </si>
  <si>
    <t>V</t>
  </si>
  <si>
    <t>m/s</t>
  </si>
  <si>
    <t>Ω∙r</t>
  </si>
  <si>
    <t>M</t>
  </si>
  <si>
    <t>Airspeed Components</t>
  </si>
  <si>
    <t>rad</t>
  </si>
  <si>
    <t>deg</t>
  </si>
  <si>
    <t>Flow Angles</t>
  </si>
  <si>
    <t>φ</t>
  </si>
  <si>
    <t>β</t>
  </si>
  <si>
    <t>Re</t>
  </si>
  <si>
    <t>Cl</t>
  </si>
  <si>
    <t>Cd</t>
  </si>
  <si>
    <t>dL</t>
  </si>
  <si>
    <t>dD</t>
  </si>
  <si>
    <t>dT</t>
  </si>
  <si>
    <t>dQ</t>
  </si>
  <si>
    <t>dP</t>
  </si>
  <si>
    <t>N</t>
  </si>
  <si>
    <t>Nm</t>
  </si>
  <si>
    <t>W</t>
  </si>
  <si>
    <t>Lift and Drag Coefficient</t>
  </si>
  <si>
    <t>Blade Element Differentials</t>
  </si>
  <si>
    <r>
      <t>V</t>
    </r>
    <r>
      <rPr>
        <b/>
        <vertAlign val="subscript"/>
        <sz val="11"/>
        <color theme="1"/>
        <rFont val="Calibri"/>
        <family val="2"/>
      </rPr>
      <t>R</t>
    </r>
  </si>
  <si>
    <t>Forward Speed</t>
  </si>
  <si>
    <t>Diameter</t>
  </si>
  <si>
    <t>in</t>
  </si>
  <si>
    <t>Geometric Pitch</t>
  </si>
  <si>
    <t>Hub Diameter</t>
  </si>
  <si>
    <t>Altitude</t>
  </si>
  <si>
    <t>Tip Radius</t>
  </si>
  <si>
    <t>Sound Speed</t>
  </si>
  <si>
    <t>rad/s</t>
  </si>
  <si>
    <t>Calc</t>
  </si>
  <si>
    <t>ft</t>
  </si>
  <si>
    <t>out</t>
  </si>
  <si>
    <t>Km/h</t>
  </si>
  <si>
    <t>KTS</t>
  </si>
  <si>
    <t>Tip pitch</t>
  </si>
  <si>
    <t>Hub pitch</t>
  </si>
  <si>
    <t>ρ/μ</t>
  </si>
  <si>
    <t>kg/Nms</t>
  </si>
  <si>
    <t>Air density 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</si>
  <si>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</si>
  <si>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viscosity μ</t>
  </si>
  <si>
    <r>
      <t>N</t>
    </r>
    <r>
      <rPr>
        <sz val="11"/>
        <color theme="1"/>
        <rFont val="Calibri"/>
        <family val="2"/>
      </rPr>
      <t>∙s/m</t>
    </r>
    <r>
      <rPr>
        <vertAlign val="superscript"/>
        <sz val="11"/>
        <color theme="1"/>
        <rFont val="Calibri"/>
        <family val="2"/>
        <scheme val="minor"/>
      </rPr>
      <t>2</t>
    </r>
  </si>
  <si>
    <t>Air Temp</t>
  </si>
  <si>
    <t>ºC</t>
  </si>
  <si>
    <t>Lbf</t>
  </si>
  <si>
    <r>
      <t>α</t>
    </r>
    <r>
      <rPr>
        <b/>
        <vertAlign val="subscript"/>
        <sz val="11"/>
        <color theme="1"/>
        <rFont val="Calibri"/>
        <family val="2"/>
      </rPr>
      <t>i</t>
    </r>
  </si>
  <si>
    <t>Number of Blades</t>
  </si>
  <si>
    <t>Totals</t>
  </si>
  <si>
    <t>T</t>
  </si>
  <si>
    <t>Q</t>
  </si>
  <si>
    <t>P</t>
  </si>
  <si>
    <t>ISA</t>
  </si>
  <si>
    <t>Input</t>
  </si>
  <si>
    <t>Output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</si>
  <si>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</si>
  <si>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</si>
  <si>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</si>
  <si>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RPS (n)</t>
  </si>
  <si>
    <r>
      <t>Angular Velocity (</t>
    </r>
    <r>
      <rPr>
        <b/>
        <sz val="11"/>
        <color theme="1"/>
        <rFont val="Calibri"/>
        <family val="2"/>
      </rPr>
      <t>Ω)</t>
    </r>
  </si>
  <si>
    <r>
      <t>Element width (</t>
    </r>
    <r>
      <rPr>
        <b/>
        <sz val="11"/>
        <color theme="1"/>
        <rFont val="Calibri"/>
        <family val="2"/>
      </rPr>
      <t>Δr</t>
    </r>
    <r>
      <rPr>
        <b/>
        <sz val="11"/>
        <color theme="1"/>
        <rFont val="Calibri"/>
        <family val="2"/>
        <scheme val="minor"/>
      </rPr>
      <t>)</t>
    </r>
  </si>
  <si>
    <t>Advance Ratio (J)</t>
  </si>
  <si>
    <r>
      <t>Propeller Efficiency (</t>
    </r>
    <r>
      <rPr>
        <b/>
        <sz val="11"/>
        <color theme="1"/>
        <rFont val="Calibri"/>
        <family val="2"/>
      </rPr>
      <t>η</t>
    </r>
    <r>
      <rPr>
        <b/>
        <vertAlign val="subscript"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  <scheme val="minor"/>
      </rPr>
      <t>)</t>
    </r>
  </si>
  <si>
    <r>
      <t>Pitch (</t>
    </r>
    <r>
      <rPr>
        <b/>
        <sz val="11"/>
        <color theme="1"/>
        <rFont val="Calibri"/>
        <family val="2"/>
      </rPr>
      <t>β</t>
    </r>
    <r>
      <rPr>
        <b/>
        <vertAlign val="subscript"/>
        <sz val="11"/>
        <color theme="1"/>
        <rFont val="Calibri"/>
        <family val="2"/>
      </rPr>
      <t>75%</t>
    </r>
    <r>
      <rPr>
        <b/>
        <sz val="11"/>
        <color theme="1"/>
        <rFont val="Calibri"/>
        <family val="2"/>
        <scheme val="minor"/>
      </rPr>
      <t>)</t>
    </r>
  </si>
  <si>
    <t>Prandtl's Tip and Hub Loss Correction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</si>
  <si>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</si>
  <si>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</si>
  <si>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</si>
  <si>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</si>
  <si>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</si>
  <si>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Totals (Prandtl Corrected)</t>
  </si>
  <si>
    <t>b</t>
  </si>
  <si>
    <t>HUB x</t>
  </si>
  <si>
    <t>Torsion parameters</t>
  </si>
  <si>
    <t xml:space="preserve">CLARK-Y </t>
  </si>
  <si>
    <t xml:space="preserve">E63        </t>
  </si>
  <si>
    <t>α=β-φ</t>
  </si>
  <si>
    <t>c(x)</t>
  </si>
  <si>
    <t>k</t>
  </si>
  <si>
    <t>Blade Element Differentials (Prandtl)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</si>
  <si>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i=tan(w/Ve)</t>
    </r>
  </si>
  <si>
    <t>w</t>
  </si>
  <si>
    <t>VE</t>
  </si>
  <si>
    <t>f(w)</t>
  </si>
  <si>
    <t>f'(w)</t>
  </si>
  <si>
    <t>DIFERENÇA</t>
  </si>
  <si>
    <t>final iteraction</t>
  </si>
  <si>
    <t>αi(0)</t>
  </si>
  <si>
    <t>α(0)</t>
  </si>
  <si>
    <t>w(1)</t>
  </si>
  <si>
    <t>w(0)</t>
  </si>
  <si>
    <t>αi(1)</t>
  </si>
  <si>
    <t>MACH</t>
  </si>
  <si>
    <t>Iteractions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</si>
</sst>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0000"/>
    <numFmt numFmtId="167" formatCode="0.0"/>
    <numFmt numFmtId="168" formatCode="0.0000E+00"/>
    <numFmt numFmtId="169" formatCode="0.00000000"/>
    <numFmt numFmtId="170" formatCode="0.000000"/>
    <numFmt numFmtId="171" formatCode="0.0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9" borderId="0" xfId="0" applyFill="1"/>
    <xf numFmtId="0" fontId="4" fillId="7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13" borderId="0" xfId="0" applyFill="1" applyAlignment="1"/>
    <xf numFmtId="0" fontId="4" fillId="12" borderId="0" xfId="0" applyFont="1" applyFill="1" applyAlignment="1">
      <alignment horizontal="center"/>
    </xf>
    <xf numFmtId="0" fontId="4" fillId="9" borderId="0" xfId="0" applyFont="1" applyFill="1" applyAlignment="1"/>
    <xf numFmtId="0" fontId="0" fillId="9" borderId="0" xfId="0" applyFill="1" applyAlignment="1"/>
    <xf numFmtId="0" fontId="4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 vertical="center"/>
    </xf>
    <xf numFmtId="11" fontId="0" fillId="15" borderId="1" xfId="0" applyNumberFormat="1" applyFill="1" applyBorder="1" applyAlignment="1">
      <alignment horizontal="center" vertical="center"/>
    </xf>
    <xf numFmtId="168" fontId="0" fillId="1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0" fontId="0" fillId="1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16" borderId="0" xfId="0" applyFill="1"/>
    <xf numFmtId="0" fontId="0" fillId="2" borderId="0" xfId="0" applyFill="1"/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6" fontId="0" fillId="2" borderId="29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7" fontId="0" fillId="2" borderId="29" xfId="0" applyNumberForma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3" fontId="4" fillId="2" borderId="29" xfId="0" applyNumberFormat="1" applyFont="1" applyFill="1" applyBorder="1" applyAlignment="1">
      <alignment horizontal="right" vertical="center"/>
    </xf>
    <xf numFmtId="164" fontId="0" fillId="2" borderId="30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ill="1"/>
    <xf numFmtId="0" fontId="0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0" xfId="0" applyFill="1"/>
    <xf numFmtId="0" fontId="0" fillId="17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70" fontId="0" fillId="2" borderId="0" xfId="0" applyNumberFormat="1" applyFill="1" applyAlignment="1">
      <alignment horizontal="center" vertical="center"/>
    </xf>
    <xf numFmtId="166" fontId="0" fillId="0" borderId="0" xfId="0" applyNumberFormat="1"/>
    <xf numFmtId="164" fontId="0" fillId="0" borderId="32" xfId="0" applyNumberFormat="1" applyFill="1" applyBorder="1" applyAlignment="1">
      <alignment horizontal="center" vertical="center"/>
    </xf>
    <xf numFmtId="164" fontId="0" fillId="0" borderId="33" xfId="0" applyNumberForma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167" fontId="0" fillId="0" borderId="29" xfId="0" applyNumberFormat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171" fontId="0" fillId="0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F4CB-70B1-43D5-A457-5685869EF902}">
  <dimension ref="A1:M14"/>
  <sheetViews>
    <sheetView tabSelected="1" zoomScaleNormal="100" workbookViewId="0">
      <selection activeCell="G19" sqref="G18:G19"/>
    </sheetView>
  </sheetViews>
  <sheetFormatPr defaultColWidth="9.140625" defaultRowHeight="15" x14ac:dyDescent="0.25"/>
  <cols>
    <col min="1" max="1" width="9.140625" style="34"/>
    <col min="2" max="2" width="13.140625" style="34" customWidth="1"/>
    <col min="3" max="3" width="19.140625" style="34" bestFit="1" customWidth="1"/>
    <col min="4" max="4" width="12.42578125" style="34" bestFit="1" customWidth="1"/>
    <col min="5" max="5" width="15.7109375" style="34" bestFit="1" customWidth="1"/>
    <col min="6" max="6" width="19" style="34" bestFit="1" customWidth="1"/>
    <col min="7" max="7" width="17.85546875" style="34" bestFit="1" customWidth="1"/>
    <col min="8" max="8" width="16.28515625" style="34" bestFit="1" customWidth="1"/>
    <col min="9" max="9" width="16.140625" style="34" customWidth="1"/>
    <col min="10" max="10" width="13.42578125" style="34" bestFit="1" customWidth="1"/>
    <col min="11" max="11" width="18.42578125" style="34" bestFit="1" customWidth="1"/>
    <col min="12" max="12" width="16.42578125" style="34" bestFit="1" customWidth="1"/>
    <col min="13" max="13" width="15.42578125" style="34" bestFit="1" customWidth="1"/>
    <col min="14" max="14" width="12.140625" style="34" bestFit="1" customWidth="1"/>
    <col min="15" max="15" width="8.7109375" style="34" bestFit="1" customWidth="1"/>
    <col min="16" max="16384" width="9.140625" style="34"/>
  </cols>
  <sheetData>
    <row r="1" spans="1:13" ht="4.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5">
      <c r="A2" s="164" t="s">
        <v>64</v>
      </c>
      <c r="B2" s="156" t="s">
        <v>0</v>
      </c>
      <c r="C2" s="30" t="s">
        <v>32</v>
      </c>
      <c r="D2" s="30" t="s">
        <v>37</v>
      </c>
      <c r="E2" s="30" t="s">
        <v>33</v>
      </c>
      <c r="F2" s="30" t="s">
        <v>35</v>
      </c>
      <c r="G2" s="30" t="s">
        <v>58</v>
      </c>
      <c r="H2" s="152" t="s">
        <v>84</v>
      </c>
      <c r="I2" s="153"/>
      <c r="J2" s="28" t="s">
        <v>46</v>
      </c>
      <c r="K2" s="159"/>
      <c r="L2" s="160"/>
      <c r="M2" s="29" t="s">
        <v>1</v>
      </c>
    </row>
    <row r="3" spans="1:13" x14ac:dyDescent="0.25">
      <c r="A3" s="164"/>
      <c r="B3" s="157"/>
      <c r="C3" s="38" t="s">
        <v>9</v>
      </c>
      <c r="D3" s="38" t="s">
        <v>2</v>
      </c>
      <c r="E3" s="38" t="s">
        <v>34</v>
      </c>
      <c r="F3" s="38" t="s">
        <v>34</v>
      </c>
      <c r="G3" s="38"/>
      <c r="H3" s="59" t="s">
        <v>2</v>
      </c>
      <c r="I3" s="59" t="s">
        <v>82</v>
      </c>
      <c r="J3" s="39" t="s">
        <v>14</v>
      </c>
      <c r="K3" s="161"/>
      <c r="L3" s="162"/>
      <c r="M3" s="40"/>
    </row>
    <row r="4" spans="1:13" x14ac:dyDescent="0.25">
      <c r="A4" s="165"/>
      <c r="B4" s="57">
        <v>5000</v>
      </c>
      <c r="C4" s="60">
        <v>19.5</v>
      </c>
      <c r="D4" s="60">
        <v>304</v>
      </c>
      <c r="E4" s="57">
        <v>21</v>
      </c>
      <c r="F4" s="57">
        <v>13</v>
      </c>
      <c r="G4" s="57">
        <v>2</v>
      </c>
      <c r="H4" s="56">
        <v>-11.92</v>
      </c>
      <c r="I4" s="57">
        <v>20.92</v>
      </c>
      <c r="J4" s="86">
        <v>9</v>
      </c>
      <c r="K4" s="152"/>
      <c r="L4" s="153"/>
      <c r="M4" s="9">
        <v>40</v>
      </c>
    </row>
    <row r="5" spans="1:13" ht="4.5" customHeight="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 ht="18" x14ac:dyDescent="0.25">
      <c r="A6" s="166" t="s">
        <v>41</v>
      </c>
      <c r="B6" s="156" t="s">
        <v>69</v>
      </c>
      <c r="C6" s="30" t="s">
        <v>70</v>
      </c>
      <c r="D6" s="30" t="s">
        <v>39</v>
      </c>
      <c r="E6" s="30" t="s">
        <v>38</v>
      </c>
      <c r="F6" s="41" t="s">
        <v>48</v>
      </c>
      <c r="G6" s="30" t="s">
        <v>71</v>
      </c>
      <c r="H6" s="156" t="s">
        <v>63</v>
      </c>
      <c r="I6" s="30" t="s">
        <v>54</v>
      </c>
      <c r="J6" s="30" t="s">
        <v>50</v>
      </c>
      <c r="K6" s="30" t="s">
        <v>52</v>
      </c>
      <c r="L6" s="30" t="s">
        <v>33</v>
      </c>
      <c r="M6" s="30" t="s">
        <v>74</v>
      </c>
    </row>
    <row r="7" spans="1:13" ht="17.25" x14ac:dyDescent="0.25">
      <c r="A7" s="166"/>
      <c r="B7" s="158"/>
      <c r="C7" s="42" t="s">
        <v>40</v>
      </c>
      <c r="D7" s="42" t="s">
        <v>9</v>
      </c>
      <c r="E7" s="42" t="s">
        <v>2</v>
      </c>
      <c r="F7" s="42" t="s">
        <v>49</v>
      </c>
      <c r="G7" s="42" t="s">
        <v>2</v>
      </c>
      <c r="H7" s="158"/>
      <c r="I7" s="38" t="s">
        <v>55</v>
      </c>
      <c r="J7" s="38" t="s">
        <v>51</v>
      </c>
      <c r="K7" s="38" t="s">
        <v>53</v>
      </c>
      <c r="L7" s="42" t="s">
        <v>2</v>
      </c>
      <c r="M7" s="38" t="s">
        <v>14</v>
      </c>
    </row>
    <row r="8" spans="1:13" x14ac:dyDescent="0.25">
      <c r="A8" s="166"/>
      <c r="B8" s="61">
        <f>B4/60</f>
        <v>83.333333333333329</v>
      </c>
      <c r="C8" s="62">
        <f>2*PI()*B8</f>
        <v>523.59877559829886</v>
      </c>
      <c r="D8" s="62">
        <f>SQRT(1.4*287*(273.15+I8))</f>
        <v>346.11655551273475</v>
      </c>
      <c r="E8" s="59">
        <f>E4*0.0254/2</f>
        <v>0.26669999999999999</v>
      </c>
      <c r="F8" s="63">
        <f>J8/K8</f>
        <v>64753.74275018512</v>
      </c>
      <c r="G8" s="59">
        <f>((2*E8-J12)/2)/M4</f>
        <v>6.2706249999999993E-3</v>
      </c>
      <c r="H8" s="157"/>
      <c r="I8" s="59">
        <v>25</v>
      </c>
      <c r="J8" s="59">
        <f>1.225*(1-(0.0065*D4)/(288.15))^(9.81/(0.0065*287)-1)</f>
        <v>1.1896229792258843</v>
      </c>
      <c r="K8" s="63">
        <f>0.00001716*(((I8+273.15)/(273.15))^1.5)*((273.15+110.4)/(I8+273.15+110.4))</f>
        <v>1.8371493734583912E-5</v>
      </c>
      <c r="L8" s="59">
        <f>E4*0.0254</f>
        <v>0.53339999999999999</v>
      </c>
      <c r="M8" s="59">
        <f>DEGREES(ATAN(F4/(0.75*PI()*E4)))</f>
        <v>14.720737280817831</v>
      </c>
    </row>
    <row r="9" spans="1:13" ht="4.5" customHeight="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 ht="18" x14ac:dyDescent="0.25">
      <c r="A10" s="166" t="s">
        <v>65</v>
      </c>
      <c r="B10" s="4" t="s">
        <v>60</v>
      </c>
      <c r="C10" s="4" t="s">
        <v>61</v>
      </c>
      <c r="D10" s="4" t="s">
        <v>62</v>
      </c>
      <c r="E10" s="4" t="s">
        <v>67</v>
      </c>
      <c r="F10" s="4" t="s">
        <v>68</v>
      </c>
      <c r="G10" s="4" t="s">
        <v>66</v>
      </c>
      <c r="H10" s="4" t="s">
        <v>72</v>
      </c>
      <c r="I10" s="154" t="s">
        <v>73</v>
      </c>
      <c r="J10" s="30" t="s">
        <v>36</v>
      </c>
      <c r="K10" s="30" t="s">
        <v>47</v>
      </c>
      <c r="L10" s="150" t="s">
        <v>83</v>
      </c>
      <c r="M10" s="47"/>
    </row>
    <row r="11" spans="1:13" x14ac:dyDescent="0.25">
      <c r="A11" s="166"/>
      <c r="B11" s="23" t="s">
        <v>26</v>
      </c>
      <c r="C11" s="23" t="s">
        <v>27</v>
      </c>
      <c r="D11" s="23" t="s">
        <v>28</v>
      </c>
      <c r="E11" s="23"/>
      <c r="F11" s="23"/>
      <c r="G11" s="23"/>
      <c r="H11" s="23"/>
      <c r="I11" s="155"/>
      <c r="J11" s="38" t="s">
        <v>2</v>
      </c>
      <c r="K11" s="38" t="s">
        <v>14</v>
      </c>
      <c r="L11" s="151"/>
      <c r="M11" s="48"/>
    </row>
    <row r="12" spans="1:13" x14ac:dyDescent="0.25">
      <c r="A12" s="166"/>
      <c r="B12" s="62">
        <f>'PROP_Table (2)'!BH9</f>
        <v>44.444037976238036</v>
      </c>
      <c r="C12" s="62">
        <f>'PROP_Table (2)'!BI9</f>
        <v>2.1700564938072033</v>
      </c>
      <c r="D12" s="62">
        <f>'PROP_Table (2)'!BJ9</f>
        <v>1136.2389231365887</v>
      </c>
      <c r="E12" s="58">
        <f>B12/($J$8*$B$8^2*($L$8)^4)</f>
        <v>6.6459123933741385E-2</v>
      </c>
      <c r="F12" s="64">
        <f>C12/($J$8*$B$8^2*($L$8/$J$12)^5)</f>
        <v>1.9628078173659151E-10</v>
      </c>
      <c r="G12" s="58">
        <f>D12/($J$8*$B$8^3*($L$8)^5)</f>
        <v>3.8224252320238392E-2</v>
      </c>
      <c r="H12" s="58">
        <f>C4/(B8*(L8))</f>
        <v>0.43869516310461198</v>
      </c>
      <c r="I12" s="58">
        <f>H12*(E12/G12)</f>
        <v>0.7627434009602746</v>
      </c>
      <c r="J12" s="59">
        <v>3.175E-2</v>
      </c>
      <c r="K12" s="59">
        <f>H4*L12+I4</f>
        <v>20.210476190476193</v>
      </c>
      <c r="L12" s="59">
        <f>J12/L8</f>
        <v>5.9523809523809527E-2</v>
      </c>
      <c r="M12" s="49"/>
    </row>
    <row r="13" spans="1:13" ht="6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 x14ac:dyDescent="0.25">
      <c r="E14" s="163"/>
      <c r="F14" s="163"/>
      <c r="G14" s="163"/>
      <c r="H14" s="163"/>
      <c r="I14" s="149">
        <f>(B12*C4)/(C12*C8)</f>
        <v>0.76274340096027438</v>
      </c>
    </row>
  </sheetData>
  <mergeCells count="11">
    <mergeCell ref="E14:H14"/>
    <mergeCell ref="H6:H8"/>
    <mergeCell ref="A2:A4"/>
    <mergeCell ref="A6:A8"/>
    <mergeCell ref="A10:A12"/>
    <mergeCell ref="L10:L11"/>
    <mergeCell ref="H2:I2"/>
    <mergeCell ref="I10:I11"/>
    <mergeCell ref="B2:B3"/>
    <mergeCell ref="B6:B7"/>
    <mergeCell ref="K2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670F-A3F7-49EB-AC62-35ED8946CF7F}">
  <dimension ref="A1:AO44"/>
  <sheetViews>
    <sheetView topLeftCell="B1" zoomScale="85" zoomScaleNormal="85" workbookViewId="0">
      <pane xSplit="1" topLeftCell="C1" activePane="topRight" state="frozen"/>
      <selection activeCell="B1" sqref="B1"/>
      <selection pane="topRight" activeCell="AI47" sqref="AI47"/>
    </sheetView>
  </sheetViews>
  <sheetFormatPr defaultColWidth="9.140625" defaultRowHeight="15" x14ac:dyDescent="0.25"/>
  <cols>
    <col min="1" max="1" width="4" style="65" hidden="1" customWidth="1"/>
    <col min="2" max="2" width="3.28515625" style="1" bestFit="1" customWidth="1"/>
    <col min="3" max="3" width="19.7109375" style="1" customWidth="1"/>
    <col min="4" max="5" width="7.140625" style="1" bestFit="1" customWidth="1"/>
    <col min="6" max="6" width="8.28515625" style="1" bestFit="1" customWidth="1"/>
    <col min="7" max="7" width="4.42578125" style="1" bestFit="1" customWidth="1"/>
    <col min="8" max="8" width="8.28515625" style="1" bestFit="1" customWidth="1"/>
    <col min="9" max="9" width="6.140625" style="1" bestFit="1" customWidth="1"/>
    <col min="10" max="10" width="6.140625" style="3" bestFit="1" customWidth="1"/>
    <col min="11" max="11" width="6.140625" style="1" bestFit="1" customWidth="1"/>
    <col min="12" max="12" width="10.5703125" style="1" customWidth="1"/>
    <col min="13" max="13" width="1.42578125" style="1" hidden="1" customWidth="1"/>
    <col min="14" max="14" width="4.5703125" style="1" customWidth="1"/>
    <col min="15" max="15" width="8.85546875" style="1" customWidth="1"/>
    <col min="16" max="16" width="10.85546875" style="1" customWidth="1"/>
    <col min="17" max="17" width="6.7109375" style="1" bestFit="1" customWidth="1"/>
    <col min="18" max="18" width="7.85546875" style="3" bestFit="1" customWidth="1"/>
    <col min="19" max="19" width="8.85546875" style="3" customWidth="1"/>
    <col min="20" max="20" width="6.7109375" style="1" bestFit="1" customWidth="1"/>
    <col min="21" max="21" width="9.28515625" style="1" customWidth="1"/>
    <col min="22" max="22" width="19.140625" style="2" customWidth="1"/>
    <col min="23" max="23" width="6.85546875" style="2" customWidth="1"/>
    <col min="24" max="24" width="7.7109375" style="2" customWidth="1"/>
    <col min="25" max="25" width="9.5703125" style="2" customWidth="1"/>
    <col min="26" max="26" width="6.7109375" style="2" customWidth="1"/>
    <col min="27" max="27" width="7.7109375" style="1" bestFit="1" customWidth="1"/>
    <col min="28" max="31" width="7" style="2" bestFit="1" customWidth="1"/>
    <col min="32" max="32" width="10.42578125" style="1" customWidth="1"/>
    <col min="33" max="33" width="10.28515625" style="1" customWidth="1"/>
    <col min="34" max="34" width="9.85546875" style="1" customWidth="1"/>
    <col min="35" max="35" width="9" style="1" customWidth="1"/>
    <col min="36" max="36" width="7.5703125" style="1" customWidth="1"/>
    <col min="37" max="37" width="12.28515625" style="2" customWidth="1"/>
    <col min="38" max="38" width="10.85546875" style="1" customWidth="1"/>
    <col min="39" max="40" width="7.85546875" style="1" bestFit="1" customWidth="1"/>
    <col min="41" max="41" width="1.7109375" style="1" customWidth="1"/>
    <col min="42" max="16384" width="9.140625" style="1"/>
  </cols>
  <sheetData>
    <row r="1" spans="1:41" x14ac:dyDescent="0.25">
      <c r="B1" s="177"/>
      <c r="C1" s="171" t="s">
        <v>7</v>
      </c>
      <c r="D1" s="172"/>
      <c r="E1" s="172"/>
      <c r="F1" s="173"/>
      <c r="G1" s="171" t="s">
        <v>12</v>
      </c>
      <c r="H1" s="172"/>
      <c r="I1" s="172"/>
      <c r="J1" s="172"/>
      <c r="K1" s="167" t="s">
        <v>15</v>
      </c>
      <c r="L1" s="167"/>
      <c r="M1" s="167"/>
      <c r="N1" s="167"/>
      <c r="O1" s="167"/>
      <c r="P1" s="167"/>
      <c r="Q1" s="167"/>
      <c r="R1" s="167"/>
      <c r="S1" s="167" t="s">
        <v>29</v>
      </c>
      <c r="T1" s="167"/>
      <c r="U1" s="167"/>
      <c r="V1" s="167" t="s">
        <v>30</v>
      </c>
      <c r="W1" s="167"/>
      <c r="X1" s="167"/>
      <c r="Y1" s="167"/>
      <c r="Z1" s="170"/>
      <c r="AA1" s="169" t="s">
        <v>75</v>
      </c>
      <c r="AB1" s="169"/>
      <c r="AC1" s="169"/>
      <c r="AD1" s="169"/>
      <c r="AE1" s="169"/>
      <c r="AF1" s="167" t="s">
        <v>90</v>
      </c>
      <c r="AG1" s="167"/>
      <c r="AH1" s="167"/>
      <c r="AI1" s="167"/>
      <c r="AJ1" s="167"/>
      <c r="AK1" s="35"/>
      <c r="AL1" s="171" t="s">
        <v>59</v>
      </c>
      <c r="AM1" s="172"/>
      <c r="AN1" s="173"/>
      <c r="AO1" s="35"/>
    </row>
    <row r="2" spans="1:41" ht="18" x14ac:dyDescent="0.25">
      <c r="B2" s="178"/>
      <c r="C2" s="4" t="s">
        <v>3</v>
      </c>
      <c r="D2" s="4" t="s">
        <v>4</v>
      </c>
      <c r="E2" s="4" t="s">
        <v>88</v>
      </c>
      <c r="F2" s="5" t="s">
        <v>5</v>
      </c>
      <c r="G2" s="6" t="s">
        <v>8</v>
      </c>
      <c r="H2" s="6" t="s">
        <v>10</v>
      </c>
      <c r="I2" s="6" t="s">
        <v>31</v>
      </c>
      <c r="J2" s="6" t="s">
        <v>11</v>
      </c>
      <c r="K2" s="168" t="s">
        <v>16</v>
      </c>
      <c r="L2" s="167"/>
      <c r="M2" s="168" t="s">
        <v>57</v>
      </c>
      <c r="N2" s="167"/>
      <c r="O2" s="168" t="s">
        <v>17</v>
      </c>
      <c r="P2" s="167"/>
      <c r="Q2" s="168" t="s">
        <v>87</v>
      </c>
      <c r="R2" s="167"/>
      <c r="S2" s="167" t="s">
        <v>18</v>
      </c>
      <c r="T2" s="167" t="s">
        <v>19</v>
      </c>
      <c r="U2" s="167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53" t="s">
        <v>25</v>
      </c>
      <c r="AA2" s="51" t="s">
        <v>76</v>
      </c>
      <c r="AB2" s="4" t="s">
        <v>77</v>
      </c>
      <c r="AC2" s="4" t="s">
        <v>78</v>
      </c>
      <c r="AD2" s="4" t="s">
        <v>79</v>
      </c>
      <c r="AE2" s="4" t="s">
        <v>80</v>
      </c>
      <c r="AF2" s="4" t="s">
        <v>21</v>
      </c>
      <c r="AG2" s="4" t="s">
        <v>22</v>
      </c>
      <c r="AH2" s="4" t="s">
        <v>23</v>
      </c>
      <c r="AI2" s="4" t="s">
        <v>24</v>
      </c>
      <c r="AJ2" s="4" t="s">
        <v>25</v>
      </c>
      <c r="AK2" s="35"/>
      <c r="AL2" s="4" t="s">
        <v>60</v>
      </c>
      <c r="AM2" s="4" t="s">
        <v>61</v>
      </c>
      <c r="AN2" s="4" t="s">
        <v>62</v>
      </c>
      <c r="AO2" s="35"/>
    </row>
    <row r="3" spans="1:41" ht="17.25" x14ac:dyDescent="0.25">
      <c r="B3" s="7" t="s">
        <v>89</v>
      </c>
      <c r="C3" s="23" t="s">
        <v>2</v>
      </c>
      <c r="D3" s="23"/>
      <c r="E3" s="23" t="s">
        <v>2</v>
      </c>
      <c r="F3" s="23" t="s">
        <v>6</v>
      </c>
      <c r="G3" s="23" t="s">
        <v>9</v>
      </c>
      <c r="H3" s="23" t="s">
        <v>9</v>
      </c>
      <c r="I3" s="23" t="s">
        <v>9</v>
      </c>
      <c r="J3" s="69"/>
      <c r="K3" s="24" t="s">
        <v>13</v>
      </c>
      <c r="L3" s="24" t="s">
        <v>14</v>
      </c>
      <c r="M3" s="24" t="s">
        <v>13</v>
      </c>
      <c r="N3" s="24" t="s">
        <v>14</v>
      </c>
      <c r="O3" s="24" t="s">
        <v>13</v>
      </c>
      <c r="P3" s="24" t="s">
        <v>14</v>
      </c>
      <c r="Q3" s="24" t="s">
        <v>13</v>
      </c>
      <c r="R3" s="66" t="s">
        <v>14</v>
      </c>
      <c r="S3" s="167"/>
      <c r="T3" s="167"/>
      <c r="U3" s="167"/>
      <c r="V3" s="23" t="s">
        <v>26</v>
      </c>
      <c r="W3" s="23" t="s">
        <v>26</v>
      </c>
      <c r="X3" s="23" t="s">
        <v>26</v>
      </c>
      <c r="Y3" s="23" t="s">
        <v>27</v>
      </c>
      <c r="Z3" s="54" t="s">
        <v>28</v>
      </c>
      <c r="AA3" s="52"/>
      <c r="AB3" s="23"/>
      <c r="AC3" s="23"/>
      <c r="AD3" s="23"/>
      <c r="AE3" s="23"/>
      <c r="AF3" s="23" t="s">
        <v>26</v>
      </c>
      <c r="AG3" s="23" t="s">
        <v>26</v>
      </c>
      <c r="AH3" s="23" t="s">
        <v>26</v>
      </c>
      <c r="AI3" s="23" t="s">
        <v>27</v>
      </c>
      <c r="AJ3" s="23" t="s">
        <v>28</v>
      </c>
      <c r="AK3" s="35"/>
      <c r="AL3" s="23" t="s">
        <v>26</v>
      </c>
      <c r="AM3" s="23" t="s">
        <v>27</v>
      </c>
      <c r="AN3" s="23" t="s">
        <v>28</v>
      </c>
      <c r="AO3" s="35"/>
    </row>
    <row r="4" spans="1:41" x14ac:dyDescent="0.25">
      <c r="A4" s="174" t="s">
        <v>86</v>
      </c>
      <c r="B4" s="70">
        <v>1</v>
      </c>
      <c r="C4" s="71">
        <v>1.6E-2</v>
      </c>
      <c r="D4" s="72">
        <f>C4/PROP_InOut!$E$8</f>
        <v>5.9992500937382828E-2</v>
      </c>
      <c r="E4" s="72"/>
      <c r="F4" s="73">
        <f>E4*PROP_InOut!$G$8</f>
        <v>0</v>
      </c>
      <c r="G4" s="74">
        <f>PROP_InOut!$C$4</f>
        <v>19.5</v>
      </c>
      <c r="H4" s="71">
        <f>PROP_InOut!$C$8*PROP_Table!C4</f>
        <v>8.3775804095727811</v>
      </c>
      <c r="I4" s="75">
        <f>SQRT(G4^2+H4^2)</f>
        <v>21.223426997515215</v>
      </c>
      <c r="J4" s="76">
        <f>I4/PROP_InOut!$D$8</f>
        <v>6.1318728213029201E-2</v>
      </c>
      <c r="K4" s="71">
        <f>ATAN(G4/H4)</f>
        <v>1.1650194300516075</v>
      </c>
      <c r="L4" s="75">
        <f>DEGREES(K4)</f>
        <v>66.75069639269374</v>
      </c>
      <c r="M4" s="74">
        <v>0</v>
      </c>
      <c r="N4" s="74">
        <v>0</v>
      </c>
      <c r="O4" s="71">
        <f>RADIANS(P4)</f>
        <v>0.35029360641672724</v>
      </c>
      <c r="P4" s="75">
        <f>PROP_InOut!$K$12*(1-(B4-0.5)/PROP_InOut!$M$4)+PROP_InOut!$J$4*((B4-0.5)/PROP_InOut!$M$4)</f>
        <v>20.070345238095243</v>
      </c>
      <c r="Q4" s="71">
        <f>RADIANS(R4)</f>
        <v>-0.81472582363488033</v>
      </c>
      <c r="R4" s="76">
        <f>P4-L4-N4</f>
        <v>-46.680351154598497</v>
      </c>
      <c r="S4" s="77">
        <f>PROP_InOut!$F$8*PROP_Table!I4*PROP_Table!E4</f>
        <v>0</v>
      </c>
      <c r="T4" s="80">
        <v>-0.58399999999999996</v>
      </c>
      <c r="U4" s="80">
        <v>0.22</v>
      </c>
      <c r="V4" s="71">
        <f>0.5*PROP_InOut!$J$8*I4^2*E4*T4*PROP_InOut!$G$8</f>
        <v>0</v>
      </c>
      <c r="W4" s="71">
        <f>0.5*PROP_InOut!$J$8*I4^2*E4*U4*PROP_InOut!$G$8</f>
        <v>0</v>
      </c>
      <c r="X4" s="71">
        <f>(AF4*COS(K4+M4)-AG4*SIN(K4+M4))</f>
        <v>0</v>
      </c>
      <c r="Y4" s="71">
        <f>(C4*(AF4*SIN(K4+M4)+AG4*COS(K4+M4)))</f>
        <v>0</v>
      </c>
      <c r="Z4" s="55">
        <f>(H4*(AF4*SIN(K4+M4)+AG4*COS(K4+M4)))</f>
        <v>0</v>
      </c>
      <c r="AA4" s="79">
        <f>PROP_InOut!$G$4/2*((PROP_InOut!$E$8-PROP_Table!C4)/(PROP_Table!C4*SIN(PROP_Table!K4)))</f>
        <v>17.053567782939307</v>
      </c>
      <c r="AB4" s="79">
        <f>2/PI()*ACOS(EXP(-AA4))</f>
        <v>0.99999997501900473</v>
      </c>
      <c r="AC4" s="79">
        <f>PROP_InOut!$G$4/2*((C4-PROP_InOut!$J$12/2)/(C4*SIN(PROP_Table!K4)))</f>
        <v>8.5029755599019367E-3</v>
      </c>
      <c r="AD4" s="79">
        <f>2/PI()*ACOS(EXP(-AC4))</f>
        <v>8.2901988286477546E-2</v>
      </c>
      <c r="AE4" s="79">
        <f>AD4*AB4</f>
        <v>8.2901986215503362E-2</v>
      </c>
      <c r="AF4" s="72">
        <f>0.5*PROP_InOut!$J$8*I4^2*E4*T4*PROP_InOut!$G$8</f>
        <v>0</v>
      </c>
      <c r="AG4" s="72">
        <f>0.5*PROP_InOut!$J$8*I4^2*E4*U4*PROP_InOut!$G$8</f>
        <v>0</v>
      </c>
      <c r="AH4" s="72">
        <f t="shared" ref="AH4:AH23" si="0">AE4*(AF4*COS(K4+M4)-AG4*SIN(K4+M4))</f>
        <v>0</v>
      </c>
      <c r="AI4" s="72">
        <f t="shared" ref="AI4:AI23" si="1">AE4*(C4*(AF4*SIN(K4+M4)+AG4*COS(K4+M4)))</f>
        <v>0</v>
      </c>
      <c r="AJ4" s="72">
        <f>AE4*(H4*(AF4*SIN(K4+M4)+AG4*COS(K4+M4)))</f>
        <v>0</v>
      </c>
      <c r="AK4" s="78"/>
      <c r="AL4" s="37">
        <f>PROP_InOut!$G$4*SUM(X$4:X$43)</f>
        <v>51.34736140648041</v>
      </c>
      <c r="AM4" s="37" t="e">
        <f>PROP_InOut!$G$4*SUM(Y:Y)</f>
        <v>#DIV/0!</v>
      </c>
      <c r="AN4" s="37" t="e">
        <f>PROP_InOut!$G$4*SUM(Z:Z)</f>
        <v>#DIV/0!</v>
      </c>
      <c r="AO4" s="35"/>
    </row>
    <row r="5" spans="1:41" x14ac:dyDescent="0.25">
      <c r="A5" s="174"/>
      <c r="B5" s="70">
        <v>2</v>
      </c>
      <c r="C5" s="71">
        <v>2.4E-2</v>
      </c>
      <c r="D5" s="72">
        <f>C5/PROP_InOut!$E$8</f>
        <v>8.9988751406074249E-2</v>
      </c>
      <c r="E5" s="72"/>
      <c r="F5" s="73">
        <f>E5*PROP_InOut!$G$8</f>
        <v>0</v>
      </c>
      <c r="G5" s="74">
        <f>PROP_InOut!$C$4</f>
        <v>19.5</v>
      </c>
      <c r="H5" s="71">
        <f>PROP_InOut!$C$8*PROP_Table!C5</f>
        <v>12.566370614359172</v>
      </c>
      <c r="I5" s="75">
        <f t="shared" ref="I5:I23" si="2">SQRT(G5^2+H5^2)</f>
        <v>23.198354907566824</v>
      </c>
      <c r="J5" s="76">
        <f>I5/PROP_InOut!$D$8</f>
        <v>6.7024690203567217E-2</v>
      </c>
      <c r="K5" s="71">
        <f t="shared" ref="K5:K23" si="3">ATAN(G5/H5)</f>
        <v>0.99834724015968013</v>
      </c>
      <c r="L5" s="75">
        <f t="shared" ref="L5:L23" si="4">DEGREES(K5)</f>
        <v>57.20108334968328</v>
      </c>
      <c r="M5" s="74">
        <v>0</v>
      </c>
      <c r="N5" s="74">
        <v>0</v>
      </c>
      <c r="O5" s="71">
        <f t="shared" ref="O5:O23" si="5">RADIANS(P5)</f>
        <v>0.34540211341072119</v>
      </c>
      <c r="P5" s="75">
        <f>PROP_InOut!$K$12*(1-(B5-0.5)/PROP_InOut!$M$4)+PROP_InOut!$J$4*((B5-0.5)/PROP_InOut!$M$4)</f>
        <v>19.790083333333335</v>
      </c>
      <c r="Q5" s="71">
        <f t="shared" ref="Q5:Q22" si="6">RADIANS(R5)</f>
        <v>-0.65294512674895899</v>
      </c>
      <c r="R5" s="76">
        <f t="shared" ref="R5:R43" si="7">P5-L5-N5</f>
        <v>-37.411000016349945</v>
      </c>
      <c r="S5" s="77">
        <f>PROP_InOut!$F$8*PROP_Table!I5*PROP_Table!E5</f>
        <v>0</v>
      </c>
      <c r="T5" s="71">
        <v>-0.51400000000000001</v>
      </c>
      <c r="U5" s="71">
        <v>0.21099999999999999</v>
      </c>
      <c r="V5" s="71">
        <f>0.5*PROP_InOut!$J$8*I5^2*E5*T5*PROP_InOut!$G$8</f>
        <v>0</v>
      </c>
      <c r="W5" s="71">
        <f>0.5*PROP_InOut!$J$8*I5^2*E5*U5*PROP_InOut!$G$8</f>
        <v>0</v>
      </c>
      <c r="X5" s="71">
        <f t="shared" ref="X5:X23" si="8">(AF5*COS(K5+M5)-AG5*SIN(K5+M5))</f>
        <v>0</v>
      </c>
      <c r="Y5" s="71">
        <f t="shared" ref="Y5:Y23" si="9">(C5*(AF5*SIN(K5+M5)+AG5*COS(K5+M5)))</f>
        <v>0</v>
      </c>
      <c r="Z5" s="55">
        <f t="shared" ref="Z5:Z23" si="10">(H5*(AF5*SIN(K5+M5)+AG5*COS(K5+M5)))</f>
        <v>0</v>
      </c>
      <c r="AA5" s="79">
        <f>PROP_InOut!$G$4/2*((PROP_InOut!$E$8-PROP_Table!C5)/(PROP_Table!C5*SIN(PROP_Table!K5)))</f>
        <v>12.030428923218947</v>
      </c>
      <c r="AB5" s="79">
        <f t="shared" ref="AB5:AB23" si="11">2/PI()*ACOS(EXP(-AA5))</f>
        <v>0.99999620570383652</v>
      </c>
      <c r="AC5" s="79">
        <f>PROP_InOut!$G$4/2*((C5-PROP_InOut!$J$12/2)/(C5*SIN(PROP_Table!K5)))</f>
        <v>0.40274921714525735</v>
      </c>
      <c r="AD5" s="79">
        <f t="shared" ref="AD5:AD23" si="12">2/PI()*ACOS(EXP(-AC5))</f>
        <v>0.5338906983486652</v>
      </c>
      <c r="AE5" s="79">
        <f t="shared" ref="AE5:AE23" si="13">AD5*AB5</f>
        <v>0.53388867260923678</v>
      </c>
      <c r="AF5" s="72">
        <f>0.5*PROP_InOut!$J$8*I5^2*E5*T5*PROP_InOut!$G$8</f>
        <v>0</v>
      </c>
      <c r="AG5" s="72">
        <f>0.5*PROP_InOut!$J$8*I5^2*E5*U5*PROP_InOut!$G$8</f>
        <v>0</v>
      </c>
      <c r="AH5" s="72">
        <f t="shared" si="0"/>
        <v>0</v>
      </c>
      <c r="AI5" s="72">
        <f t="shared" si="1"/>
        <v>0</v>
      </c>
      <c r="AJ5" s="72">
        <f t="shared" ref="AJ5:AJ23" si="14">H5*(AF5*SIN(K5+M5)+AG5*COS(K5+M5))</f>
        <v>0</v>
      </c>
      <c r="AK5" s="78"/>
      <c r="AL5" s="35"/>
      <c r="AM5" s="35"/>
      <c r="AN5" s="35"/>
      <c r="AO5" s="35"/>
    </row>
    <row r="6" spans="1:41" x14ac:dyDescent="0.25">
      <c r="A6" s="174"/>
      <c r="B6" s="70">
        <v>3</v>
      </c>
      <c r="C6" s="71">
        <v>3.2000000000000001E-2</v>
      </c>
      <c r="D6" s="72">
        <f>C6/PROP_InOut!$E$8</f>
        <v>0.11998500187476566</v>
      </c>
      <c r="E6" s="72"/>
      <c r="F6" s="73">
        <f>E6*PROP_InOut!$G$8</f>
        <v>0</v>
      </c>
      <c r="G6" s="74">
        <f>PROP_InOut!$C$4</f>
        <v>19.5</v>
      </c>
      <c r="H6" s="71">
        <f>PROP_InOut!$C$8*PROP_Table!C6</f>
        <v>16.755160819145562</v>
      </c>
      <c r="I6" s="75">
        <f t="shared" si="2"/>
        <v>25.709636599443225</v>
      </c>
      <c r="J6" s="76">
        <f>I6/PROP_InOut!$D$8</f>
        <v>7.4280285614645447E-2</v>
      </c>
      <c r="K6" s="71">
        <f t="shared" si="3"/>
        <v>0.86096293139054403</v>
      </c>
      <c r="L6" s="75">
        <f t="shared" si="4"/>
        <v>49.329542285889637</v>
      </c>
      <c r="M6" s="74">
        <v>0</v>
      </c>
      <c r="N6" s="74">
        <v>0</v>
      </c>
      <c r="O6" s="71">
        <f t="shared" si="5"/>
        <v>0.34051062040471519</v>
      </c>
      <c r="P6" s="75">
        <f>PROP_InOut!$K$12*(1-(B6-0.5)/PROP_InOut!$M$4)+PROP_InOut!$J$4*((B6-0.5)/PROP_InOut!$M$4)</f>
        <v>19.509821428571431</v>
      </c>
      <c r="Q6" s="71">
        <f t="shared" si="6"/>
        <v>-0.52045231098582889</v>
      </c>
      <c r="R6" s="76">
        <f t="shared" si="7"/>
        <v>-29.819720857318206</v>
      </c>
      <c r="S6" s="77">
        <f>PROP_InOut!$F$8*PROP_Table!I6*PROP_Table!E6</f>
        <v>0</v>
      </c>
      <c r="T6" s="71">
        <v>-0.45800000000000002</v>
      </c>
      <c r="U6" s="71">
        <v>0.188</v>
      </c>
      <c r="V6" s="71">
        <f>0.5*PROP_InOut!$J$8*I6^2*E6*T6*PROP_InOut!$G$8</f>
        <v>0</v>
      </c>
      <c r="W6" s="71">
        <f>0.5*PROP_InOut!$J$8*I6^2*E6*U6*PROP_InOut!$G$8</f>
        <v>0</v>
      </c>
      <c r="X6" s="71">
        <f t="shared" si="8"/>
        <v>0</v>
      </c>
      <c r="Y6" s="71">
        <f t="shared" si="9"/>
        <v>0</v>
      </c>
      <c r="Z6" s="55">
        <f t="shared" si="10"/>
        <v>0</v>
      </c>
      <c r="AA6" s="79">
        <f>PROP_InOut!$G$4/2*((PROP_InOut!$E$8-PROP_Table!C6)/(PROP_Table!C6*SIN(PROP_Table!K6)))</f>
        <v>9.6699546632841749</v>
      </c>
      <c r="AB6" s="79">
        <f t="shared" si="11"/>
        <v>0.99995979573075722</v>
      </c>
      <c r="AC6" s="79">
        <f>PROP_InOut!$G$4/2*((C6-PROP_InOut!$J$12/2)/(C6*SIN(PROP_Table!K6)))</f>
        <v>0.66437161885580454</v>
      </c>
      <c r="AD6" s="79">
        <f t="shared" si="12"/>
        <v>0.65588324873621406</v>
      </c>
      <c r="AE6" s="79">
        <f t="shared" si="13"/>
        <v>0.65585687942949</v>
      </c>
      <c r="AF6" s="72">
        <f>0.5*PROP_InOut!$J$8*I6^2*E6*T6*PROP_InOut!$G$8</f>
        <v>0</v>
      </c>
      <c r="AG6" s="72">
        <f>0.5*PROP_InOut!$J$8*I6^2*E6*U6*PROP_InOut!$G$8</f>
        <v>0</v>
      </c>
      <c r="AH6" s="72">
        <f t="shared" si="0"/>
        <v>0</v>
      </c>
      <c r="AI6" s="72">
        <f t="shared" si="1"/>
        <v>0</v>
      </c>
      <c r="AJ6" s="72">
        <f t="shared" si="14"/>
        <v>0</v>
      </c>
      <c r="AK6" s="78"/>
      <c r="AL6" s="171" t="s">
        <v>81</v>
      </c>
      <c r="AM6" s="172"/>
      <c r="AN6" s="173"/>
      <c r="AO6" s="35"/>
    </row>
    <row r="7" spans="1:41" x14ac:dyDescent="0.25">
      <c r="A7" s="174"/>
      <c r="B7" s="70">
        <v>4</v>
      </c>
      <c r="C7" s="71">
        <v>0.04</v>
      </c>
      <c r="D7" s="72">
        <f>C7/PROP_InOut!$E$8</f>
        <v>0.14998125234345708</v>
      </c>
      <c r="E7" s="72"/>
      <c r="F7" s="73">
        <f>E7*PROP_InOut!$G$8</f>
        <v>0</v>
      </c>
      <c r="G7" s="74">
        <f>PROP_InOut!$C$4</f>
        <v>19.5</v>
      </c>
      <c r="H7" s="71">
        <f>PROP_InOut!$C$8*PROP_Table!C7</f>
        <v>20.943951023931955</v>
      </c>
      <c r="I7" s="75">
        <f t="shared" si="2"/>
        <v>28.616412851593758</v>
      </c>
      <c r="J7" s="76">
        <f>I7/PROP_InOut!$D$8</f>
        <v>8.2678543963901396E-2</v>
      </c>
      <c r="K7" s="71">
        <f t="shared" si="3"/>
        <v>0.74971080012504743</v>
      </c>
      <c r="L7" s="75">
        <f t="shared" si="4"/>
        <v>42.95526470254125</v>
      </c>
      <c r="M7" s="74">
        <v>0</v>
      </c>
      <c r="N7" s="74">
        <v>0</v>
      </c>
      <c r="O7" s="71">
        <f t="shared" si="5"/>
        <v>0.33561912739870919</v>
      </c>
      <c r="P7" s="75">
        <f>PROP_InOut!$K$12*(1-(B7-0.5)/PROP_InOut!$M$4)+PROP_InOut!$J$4*((B7-0.5)/PROP_InOut!$M$4)</f>
        <v>19.229559523809527</v>
      </c>
      <c r="Q7" s="71">
        <f t="shared" si="6"/>
        <v>-0.41409167272633829</v>
      </c>
      <c r="R7" s="76">
        <f t="shared" si="7"/>
        <v>-23.725705178731722</v>
      </c>
      <c r="S7" s="77">
        <f>PROP_InOut!$F$8*PROP_Table!I7*PROP_Table!E7</f>
        <v>0</v>
      </c>
      <c r="T7" s="71">
        <v>-0.41699999999999998</v>
      </c>
      <c r="U7" s="71">
        <v>0.16400000000000001</v>
      </c>
      <c r="V7" s="71">
        <f>0.5*PROP_InOut!$J$8*I7^2*E7*T7*PROP_InOut!$G$8</f>
        <v>0</v>
      </c>
      <c r="W7" s="71">
        <f>0.5*PROP_InOut!$J$8*I7^2*E7*U7*PROP_InOut!$G$8</f>
        <v>0</v>
      </c>
      <c r="X7" s="71">
        <f t="shared" si="8"/>
        <v>0</v>
      </c>
      <c r="Y7" s="71">
        <f t="shared" si="9"/>
        <v>0</v>
      </c>
      <c r="Z7" s="55">
        <f t="shared" si="10"/>
        <v>0</v>
      </c>
      <c r="AA7" s="79">
        <f>PROP_InOut!$G$4/2*((PROP_InOut!$E$8-PROP_Table!C7)/(PROP_Table!C7*SIN(PROP_Table!K7)))</f>
        <v>8.3171035813542371</v>
      </c>
      <c r="AB7" s="79">
        <f t="shared" si="11"/>
        <v>0.99984447223305095</v>
      </c>
      <c r="AC7" s="79">
        <f>PROP_InOut!$G$4/2*((C7-PROP_InOut!$J$12/2)/(C7*SIN(PROP_Table!K7)))</f>
        <v>0.88509097441628137</v>
      </c>
      <c r="AD7" s="79">
        <f t="shared" si="12"/>
        <v>0.72918791450750398</v>
      </c>
      <c r="AE7" s="79">
        <f t="shared" si="13"/>
        <v>0.72907450553947439</v>
      </c>
      <c r="AF7" s="72">
        <f>0.5*PROP_InOut!$J$8*I7^2*E7*T7*PROP_InOut!$G$8</f>
        <v>0</v>
      </c>
      <c r="AG7" s="72">
        <f>0.5*PROP_InOut!$J$8*I7^2*E7*U7*PROP_InOut!$G$8</f>
        <v>0</v>
      </c>
      <c r="AH7" s="72">
        <f t="shared" si="0"/>
        <v>0</v>
      </c>
      <c r="AI7" s="72">
        <f t="shared" si="1"/>
        <v>0</v>
      </c>
      <c r="AJ7" s="72">
        <f t="shared" si="14"/>
        <v>0</v>
      </c>
      <c r="AK7" s="78"/>
      <c r="AL7" s="4" t="s">
        <v>60</v>
      </c>
      <c r="AM7" s="4" t="s">
        <v>61</v>
      </c>
      <c r="AN7" s="4" t="s">
        <v>62</v>
      </c>
      <c r="AO7" s="35"/>
    </row>
    <row r="8" spans="1:41" x14ac:dyDescent="0.25">
      <c r="A8" s="174"/>
      <c r="B8" s="70">
        <v>5</v>
      </c>
      <c r="C8" s="71">
        <v>4.8000000000000001E-2</v>
      </c>
      <c r="D8" s="72">
        <f>C8/PROP_InOut!$E$8</f>
        <v>0.1799775028121485</v>
      </c>
      <c r="E8" s="72"/>
      <c r="F8" s="73">
        <f>E8*PROP_InOut!$G$8</f>
        <v>0</v>
      </c>
      <c r="G8" s="74">
        <f>PROP_InOut!$C$4</f>
        <v>19.5</v>
      </c>
      <c r="H8" s="71">
        <f>PROP_InOut!$C$8*PROP_Table!C8</f>
        <v>25.132741228718345</v>
      </c>
      <c r="I8" s="75">
        <f t="shared" si="2"/>
        <v>31.810449252874736</v>
      </c>
      <c r="J8" s="76">
        <f>I8/PROP_InOut!$D$8</f>
        <v>9.1906754375707195E-2</v>
      </c>
      <c r="K8" s="71">
        <f t="shared" si="3"/>
        <v>0.65985983632625689</v>
      </c>
      <c r="L8" s="75">
        <f t="shared" si="4"/>
        <v>37.807183691687804</v>
      </c>
      <c r="M8" s="74">
        <v>0</v>
      </c>
      <c r="N8" s="74">
        <v>0</v>
      </c>
      <c r="O8" s="71">
        <f t="shared" si="5"/>
        <v>0.33072763439270314</v>
      </c>
      <c r="P8" s="75">
        <f>PROP_InOut!$K$12*(1-(B8-0.5)/PROP_InOut!$M$4)+PROP_InOut!$J$4*((B8-0.5)/PROP_InOut!$M$4)</f>
        <v>18.94929761904762</v>
      </c>
      <c r="Q8" s="71">
        <f t="shared" si="6"/>
        <v>-0.3291322019335538</v>
      </c>
      <c r="R8" s="76">
        <f t="shared" si="7"/>
        <v>-18.857886072640184</v>
      </c>
      <c r="S8" s="77">
        <f>PROP_InOut!$F$8*PROP_Table!I8*PROP_Table!E8</f>
        <v>0</v>
      </c>
      <c r="T8" s="71">
        <v>-0.39600000000000002</v>
      </c>
      <c r="U8" s="71">
        <v>0.14199999999999999</v>
      </c>
      <c r="V8" s="71">
        <f>0.5*PROP_InOut!$J$8*I8^2*E8*T8*PROP_InOut!$G$8</f>
        <v>0</v>
      </c>
      <c r="W8" s="71">
        <f>0.5*PROP_InOut!$J$8*I8^2*E8*U8*PROP_InOut!$G$8</f>
        <v>0</v>
      </c>
      <c r="X8" s="71">
        <f t="shared" si="8"/>
        <v>0</v>
      </c>
      <c r="Y8" s="71">
        <f t="shared" si="9"/>
        <v>0</v>
      </c>
      <c r="Z8" s="55">
        <f t="shared" si="10"/>
        <v>0</v>
      </c>
      <c r="AA8" s="79">
        <f>PROP_InOut!$G$4/2*((PROP_InOut!$E$8-PROP_Table!C8)/(PROP_Table!C8*SIN(PROP_Table!K8)))</f>
        <v>7.4326338158159242</v>
      </c>
      <c r="AB8" s="79">
        <f t="shared" si="11"/>
        <v>0.99962335839132044</v>
      </c>
      <c r="AC8" s="79">
        <f>PROP_InOut!$G$4/2*((C8-PROP_InOut!$J$12/2)/(C8*SIN(PROP_Table!K8)))</f>
        <v>1.091784916932266</v>
      </c>
      <c r="AD8" s="79">
        <f t="shared" si="12"/>
        <v>0.78211048545670692</v>
      </c>
      <c r="AE8" s="79">
        <f t="shared" si="13"/>
        <v>0.78181591010529938</v>
      </c>
      <c r="AF8" s="72">
        <f>0.5*PROP_InOut!$J$8*I8^2*E8*T8*PROP_InOut!$G$8</f>
        <v>0</v>
      </c>
      <c r="AG8" s="72">
        <f>0.5*PROP_InOut!$J$8*I8^2*E8*U8*PROP_InOut!$G$8</f>
        <v>0</v>
      </c>
      <c r="AH8" s="72">
        <f t="shared" si="0"/>
        <v>0</v>
      </c>
      <c r="AI8" s="72">
        <f t="shared" si="1"/>
        <v>0</v>
      </c>
      <c r="AJ8" s="72">
        <f t="shared" si="14"/>
        <v>0</v>
      </c>
      <c r="AK8" s="78"/>
      <c r="AL8" s="23" t="s">
        <v>26</v>
      </c>
      <c r="AM8" s="23" t="s">
        <v>27</v>
      </c>
      <c r="AN8" s="23" t="s">
        <v>28</v>
      </c>
      <c r="AO8" s="35"/>
    </row>
    <row r="9" spans="1:41" x14ac:dyDescent="0.25">
      <c r="A9" s="174"/>
      <c r="B9" s="70">
        <v>6</v>
      </c>
      <c r="C9" s="71">
        <v>6.275E-2</v>
      </c>
      <c r="D9" s="72">
        <f>C9/PROP_InOut!$E$8</f>
        <v>0.23528308961379829</v>
      </c>
      <c r="E9" s="72"/>
      <c r="F9" s="73">
        <f>E9*PROP_InOut!$G$8</f>
        <v>0</v>
      </c>
      <c r="G9" s="74">
        <f>PROP_InOut!$C$4</f>
        <v>19.5</v>
      </c>
      <c r="H9" s="71">
        <f>PROP_InOut!$C$8*PROP_Table!C9</f>
        <v>32.85582316879325</v>
      </c>
      <c r="I9" s="75">
        <f t="shared" si="2"/>
        <v>38.206741762403809</v>
      </c>
      <c r="J9" s="76">
        <f>I9/PROP_InOut!$D$8</f>
        <v>0.11038692357782365</v>
      </c>
      <c r="K9" s="71">
        <f t="shared" si="3"/>
        <v>0.5356279320262527</v>
      </c>
      <c r="L9" s="75">
        <f t="shared" si="4"/>
        <v>30.689219894424419</v>
      </c>
      <c r="M9" s="74">
        <v>0</v>
      </c>
      <c r="N9" s="74">
        <v>0</v>
      </c>
      <c r="O9" s="71">
        <f t="shared" si="5"/>
        <v>0.3258361413866972</v>
      </c>
      <c r="P9" s="75">
        <f>PROP_InOut!$K$12*(1-(B9-0.5)/PROP_InOut!$M$4)+PROP_InOut!$J$4*((B9-0.5)/PROP_InOut!$M$4)</f>
        <v>18.66903571428572</v>
      </c>
      <c r="Q9" s="71">
        <f t="shared" si="6"/>
        <v>-0.2097917906395555</v>
      </c>
      <c r="R9" s="76">
        <f t="shared" si="7"/>
        <v>-12.020184180138699</v>
      </c>
      <c r="S9" s="77">
        <f>PROP_InOut!$F$8*PROP_Table!I9*PROP_Table!E9</f>
        <v>0</v>
      </c>
      <c r="T9" s="71">
        <v>-0.376</v>
      </c>
      <c r="U9" s="71">
        <v>0.11</v>
      </c>
      <c r="V9" s="71">
        <f>0.5*PROP_InOut!$J$8*I9^2*E9*T9*PROP_InOut!$G$8</f>
        <v>0</v>
      </c>
      <c r="W9" s="71">
        <f>0.5*PROP_InOut!$J$8*I9^2*E9*U9*PROP_InOut!$G$8</f>
        <v>0</v>
      </c>
      <c r="X9" s="71">
        <f t="shared" si="8"/>
        <v>0</v>
      </c>
      <c r="Y9" s="71">
        <f t="shared" si="9"/>
        <v>0</v>
      </c>
      <c r="Z9" s="55">
        <f t="shared" si="10"/>
        <v>0</v>
      </c>
      <c r="AA9" s="79">
        <f>PROP_InOut!$G$4/2*((PROP_InOut!$E$8-PROP_Table!C9)/(PROP_Table!C9*SIN(PROP_Table!K9)))</f>
        <v>6.3681805965408156</v>
      </c>
      <c r="AB9" s="79">
        <f t="shared" si="11"/>
        <v>0.99890802010332491</v>
      </c>
      <c r="AC9" s="79">
        <f>PROP_InOut!$G$4/2*((C9-PROP_InOut!$J$12/2)/(C9*SIN(PROP_Table!K9)))</f>
        <v>1.4636355256820335</v>
      </c>
      <c r="AD9" s="79">
        <f t="shared" si="12"/>
        <v>0.85134303117200771</v>
      </c>
      <c r="AE9" s="79">
        <f t="shared" si="13"/>
        <v>0.85041338169679348</v>
      </c>
      <c r="AF9" s="72">
        <f>0.5*PROP_InOut!$J$8*I9^2*E9*T9*PROP_InOut!$G$8</f>
        <v>0</v>
      </c>
      <c r="AG9" s="72">
        <f>0.5*PROP_InOut!$J$8*I9^2*E9*U9*PROP_InOut!$G$8</f>
        <v>0</v>
      </c>
      <c r="AH9" s="72">
        <f t="shared" si="0"/>
        <v>0</v>
      </c>
      <c r="AI9" s="72">
        <f t="shared" si="1"/>
        <v>0</v>
      </c>
      <c r="AJ9" s="72">
        <f t="shared" si="14"/>
        <v>0</v>
      </c>
      <c r="AK9" s="78"/>
      <c r="AL9" s="37">
        <f>PROP_InOut!$G$4*SUM(AH$4:AH$41)</f>
        <v>45.095079290077983</v>
      </c>
      <c r="AM9" s="37">
        <f>PROP_InOut!$G$4*SUM(AI$4:AI$43)</f>
        <v>1.7659647368905249</v>
      </c>
      <c r="AN9" s="37">
        <f>PROP_InOut!$G$4*SUM(AJ$4:AJ$43)</f>
        <v>1057.2607256072465</v>
      </c>
      <c r="AO9" s="35"/>
    </row>
    <row r="10" spans="1:41" s="96" customFormat="1" x14ac:dyDescent="0.25">
      <c r="A10" s="174"/>
      <c r="B10" s="82">
        <v>7</v>
      </c>
      <c r="C10" s="87">
        <v>6.6040000000000001E-2</v>
      </c>
      <c r="D10" s="88">
        <f>C10/PROP_InOut!$E$8</f>
        <v>0.24761904761904763</v>
      </c>
      <c r="E10" s="88">
        <v>3.8569899999999997E-2</v>
      </c>
      <c r="F10" s="89">
        <f>E10*PROP_InOut!$G$8</f>
        <v>2.4185737918749995E-4</v>
      </c>
      <c r="G10" s="90">
        <f>PROP_InOut!$C$4</f>
        <v>19.5</v>
      </c>
      <c r="H10" s="91">
        <f>PROP_InOut!$C$8*PROP_Table!C10</f>
        <v>34.578463140511658</v>
      </c>
      <c r="I10" s="92">
        <f t="shared" si="2"/>
        <v>39.697860309590027</v>
      </c>
      <c r="J10" s="93">
        <f>I10/PROP_InOut!$D$8</f>
        <v>0.11469506349033748</v>
      </c>
      <c r="K10" s="91">
        <f t="shared" si="3"/>
        <v>0.51347875777632501</v>
      </c>
      <c r="L10" s="92">
        <f t="shared" si="4"/>
        <v>29.420165690203724</v>
      </c>
      <c r="M10" s="90">
        <v>0</v>
      </c>
      <c r="N10" s="90">
        <v>0</v>
      </c>
      <c r="O10" s="91">
        <f t="shared" si="5"/>
        <v>0.54926384224887548</v>
      </c>
      <c r="P10" s="87">
        <v>31.470500000000001</v>
      </c>
      <c r="Q10" s="91">
        <f t="shared" si="6"/>
        <v>3.5785084472550459E-2</v>
      </c>
      <c r="R10" s="93">
        <f t="shared" si="7"/>
        <v>2.050334309796277</v>
      </c>
      <c r="S10" s="94">
        <f>PROP_InOut!$F$8*PROP_Table!I10*PROP_Table!E10</f>
        <v>99147.207711361087</v>
      </c>
      <c r="T10" s="91">
        <v>1.286</v>
      </c>
      <c r="U10" s="91">
        <v>2.0459999999999999E-2</v>
      </c>
      <c r="V10" s="8">
        <f>0.5*PROP_InOut!$J$8*I10^2*E10*T10*(C10-C9)</f>
        <v>0.15296741469137781</v>
      </c>
      <c r="W10" s="8">
        <f>0.5*PROP_InOut!$J$8*I10^2*E10*U10*(C10-C9)</f>
        <v>2.4336806412018582E-3</v>
      </c>
      <c r="X10" s="91">
        <f t="shared" si="8"/>
        <v>0.1320454376437869</v>
      </c>
      <c r="Y10" s="91">
        <f t="shared" si="9"/>
        <v>5.1021852469647164E-3</v>
      </c>
      <c r="Z10" s="95">
        <f t="shared" si="10"/>
        <v>2.6714979481864294</v>
      </c>
      <c r="AA10" s="88">
        <f>PROP_InOut!$G$4/2*((PROP_InOut!$E$8-PROP_Table!C10)/(PROP_Table!C10*SIN(PROP_Table!K10)))</f>
        <v>6.1856626517901621</v>
      </c>
      <c r="AB10" s="88">
        <f t="shared" si="11"/>
        <v>0.99868936647353201</v>
      </c>
      <c r="AC10" s="88">
        <f>PROP_InOut!$G$4/2*((C10-PROP_InOut!$J$12/2)/(C10*SIN(PROP_Table!K10)))</f>
        <v>1.5464156629475405</v>
      </c>
      <c r="AD10" s="88">
        <f t="shared" si="12"/>
        <v>0.86334654669542166</v>
      </c>
      <c r="AE10" s="88">
        <f t="shared" si="13"/>
        <v>0.86221501576636228</v>
      </c>
      <c r="AF10" s="25">
        <f>0.5*PROP_InOut!$J$8*I10^2*E10*T10*(C10-C9)</f>
        <v>0.15296741469137781</v>
      </c>
      <c r="AG10" s="25">
        <f>0.5*PROP_InOut!$J$8*I10^2*E10*U10*(C10-C9)</f>
        <v>2.4336806412018582E-3</v>
      </c>
      <c r="AH10" s="88">
        <f t="shared" si="0"/>
        <v>0.11385155909991393</v>
      </c>
      <c r="AI10" s="88">
        <f t="shared" si="1"/>
        <v>4.3991807331545838E-3</v>
      </c>
      <c r="AJ10" s="88">
        <f t="shared" si="14"/>
        <v>2.6714979481864294</v>
      </c>
      <c r="AK10" s="90"/>
      <c r="AM10" s="96">
        <v>2.0762727459962518</v>
      </c>
    </row>
    <row r="11" spans="1:41" s="96" customFormat="1" x14ac:dyDescent="0.25">
      <c r="A11" s="174"/>
      <c r="B11" s="82">
        <v>8</v>
      </c>
      <c r="C11" s="87">
        <v>6.9342000000000001E-2</v>
      </c>
      <c r="D11" s="88">
        <f>C11/PROP_InOut!$E$8</f>
        <v>0.26</v>
      </c>
      <c r="E11" s="88">
        <v>3.926586E-2</v>
      </c>
      <c r="F11" s="89">
        <f>E11*PROP_InOut!$G$8</f>
        <v>2.4622148336249995E-4</v>
      </c>
      <c r="G11" s="90">
        <f>PROP_InOut!$C$4</f>
        <v>19.5</v>
      </c>
      <c r="H11" s="91">
        <f>PROP_InOut!$C$8*PROP_Table!C11</f>
        <v>36.307386297537242</v>
      </c>
      <c r="I11" s="92">
        <f t="shared" si="2"/>
        <v>41.212574534462114</v>
      </c>
      <c r="J11" s="93">
        <f>I11/PROP_InOut!$D$8</f>
        <v>0.11907137603808082</v>
      </c>
      <c r="K11" s="91">
        <f t="shared" si="3"/>
        <v>0.49287036136955742</v>
      </c>
      <c r="L11" s="92">
        <f t="shared" si="4"/>
        <v>28.239391553563369</v>
      </c>
      <c r="M11" s="90">
        <v>0</v>
      </c>
      <c r="N11" s="90">
        <v>0</v>
      </c>
      <c r="O11" s="91">
        <f t="shared" si="5"/>
        <v>0.52781549107111714</v>
      </c>
      <c r="P11" s="87">
        <v>30.241599999999998</v>
      </c>
      <c r="Q11" s="91">
        <f t="shared" si="6"/>
        <v>3.4945129701559711E-2</v>
      </c>
      <c r="R11" s="93">
        <f t="shared" si="7"/>
        <v>2.0022084464366294</v>
      </c>
      <c r="S11" s="94">
        <f>PROP_InOut!$F$8*PROP_Table!I11*PROP_Table!E11</f>
        <v>104787.56172359627</v>
      </c>
      <c r="T11" s="97">
        <v>1.2765500000000001</v>
      </c>
      <c r="U11" s="91">
        <v>1.9429999999999999E-2</v>
      </c>
      <c r="V11" s="8">
        <f>0.5*PROP_InOut!$J$8*I11^2*E11*T11*(C11-C10)</f>
        <v>0.16721254339706393</v>
      </c>
      <c r="W11" s="8">
        <f>0.5*PROP_InOut!$J$8*I11^2*E11*U11*(C11-C10)</f>
        <v>2.5450939784614408E-3</v>
      </c>
      <c r="X11" s="91">
        <f t="shared" si="8"/>
        <v>0.14610640423096538</v>
      </c>
      <c r="Y11" s="91">
        <f t="shared" si="9"/>
        <v>5.6416571150552843E-3</v>
      </c>
      <c r="Z11" s="95">
        <f t="shared" si="10"/>
        <v>2.9539647577883779</v>
      </c>
      <c r="AA11" s="88">
        <f>PROP_InOut!$G$4/2*((PROP_InOut!$E$8-PROP_Table!C11)/(PROP_Table!C11*SIN(PROP_Table!K11)))</f>
        <v>6.0152475651877637</v>
      </c>
      <c r="AB11" s="88">
        <f t="shared" si="11"/>
        <v>0.99844585430591892</v>
      </c>
      <c r="AC11" s="88">
        <f>PROP_InOut!$G$4/2*((C11-PROP_InOut!$J$12/2)/(C11*SIN(PROP_Table!K11)))</f>
        <v>1.6296134008648964</v>
      </c>
      <c r="AD11" s="88">
        <f t="shared" si="12"/>
        <v>0.87440601730366785</v>
      </c>
      <c r="AE11" s="88">
        <f t="shared" si="13"/>
        <v>0.87304706295699674</v>
      </c>
      <c r="AF11" s="25">
        <f>0.5*PROP_InOut!$J$8*I11^2*E11*T11*(C11-C10)</f>
        <v>0.16721254339706393</v>
      </c>
      <c r="AG11" s="25">
        <f>0.5*PROP_InOut!$J$8*I11^2*E11*U11*(C11-C10)</f>
        <v>2.5450939784614408E-3</v>
      </c>
      <c r="AH11" s="88">
        <f t="shared" si="0"/>
        <v>0.12755776709305205</v>
      </c>
      <c r="AI11" s="88">
        <f t="shared" si="1"/>
        <v>4.9254321745094594E-3</v>
      </c>
      <c r="AJ11" s="88">
        <f t="shared" si="14"/>
        <v>2.9539647577883779</v>
      </c>
      <c r="AK11" s="90"/>
    </row>
    <row r="12" spans="1:41" s="96" customFormat="1" x14ac:dyDescent="0.25">
      <c r="A12" s="174"/>
      <c r="B12" s="82">
        <v>9</v>
      </c>
      <c r="C12" s="87">
        <v>7.2644E-2</v>
      </c>
      <c r="D12" s="88">
        <f>C12/PROP_InOut!$E$8</f>
        <v>0.27238095238095239</v>
      </c>
      <c r="E12" s="88">
        <v>3.9883080000000001E-2</v>
      </c>
      <c r="F12" s="89">
        <f>E12*PROP_InOut!$G$8</f>
        <v>2.5009183852500001E-4</v>
      </c>
      <c r="G12" s="90">
        <f>PROP_InOut!$C$4</f>
        <v>19.5</v>
      </c>
      <c r="H12" s="91">
        <f>PROP_InOut!$C$8*PROP_Table!C12</f>
        <v>38.036309454562826</v>
      </c>
      <c r="I12" s="92">
        <f t="shared" si="2"/>
        <v>42.743547313287714</v>
      </c>
      <c r="J12" s="93">
        <f>I12/PROP_InOut!$D$8</f>
        <v>0.12349466280215261</v>
      </c>
      <c r="K12" s="91">
        <f t="shared" si="3"/>
        <v>0.47373060031984804</v>
      </c>
      <c r="L12" s="92">
        <f t="shared" si="4"/>
        <v>27.142764024526141</v>
      </c>
      <c r="M12" s="90">
        <v>0</v>
      </c>
      <c r="N12" s="90">
        <v>0</v>
      </c>
      <c r="O12" s="91">
        <f t="shared" si="5"/>
        <v>0.50780878185550615</v>
      </c>
      <c r="P12" s="87">
        <v>29.095300000000002</v>
      </c>
      <c r="Q12" s="91">
        <f t="shared" si="6"/>
        <v>3.4078181535658121E-2</v>
      </c>
      <c r="R12" s="93">
        <f t="shared" si="7"/>
        <v>1.9525359754738609</v>
      </c>
      <c r="S12" s="94">
        <f>PROP_InOut!$F$8*PROP_Table!I12*PROP_Table!E12</f>
        <v>110388.57495653958</v>
      </c>
      <c r="T12" s="91">
        <v>1.26905</v>
      </c>
      <c r="U12" s="91">
        <v>1.8540000000000001E-2</v>
      </c>
      <c r="V12" s="8">
        <f>0.5*PROP_InOut!$J$8*I12^2*E12*T12*(C12-C11)</f>
        <v>0.18162054072065478</v>
      </c>
      <c r="W12" s="8">
        <f>0.5*PROP_InOut!$J$8*I12^2*E12*U12*(C12-C11)</f>
        <v>2.6533586737803394E-3</v>
      </c>
      <c r="X12" s="91">
        <f t="shared" si="8"/>
        <v>0.16040864708216843</v>
      </c>
      <c r="Y12" s="91">
        <f t="shared" si="9"/>
        <v>6.1905847209255153E-3</v>
      </c>
      <c r="Z12" s="95">
        <f t="shared" si="10"/>
        <v>3.2413825801141365</v>
      </c>
      <c r="AA12" s="88">
        <f>PROP_InOut!$G$4/2*((PROP_InOut!$E$8-PROP_Table!C12)/(PROP_Table!C12*SIN(PROP_Table!K12)))</f>
        <v>5.8554904334502087</v>
      </c>
      <c r="AB12" s="88">
        <f t="shared" si="11"/>
        <v>0.99817663534209955</v>
      </c>
      <c r="AC12" s="88">
        <f>PROP_InOut!$G$4/2*((C12-PROP_InOut!$J$12/2)/(C12*SIN(PROP_Table!K12)))</f>
        <v>1.7129608794190072</v>
      </c>
      <c r="AD12" s="88">
        <f t="shared" si="12"/>
        <v>0.88456617924927772</v>
      </c>
      <c r="AE12" s="88">
        <f t="shared" si="13"/>
        <v>0.88295329254046051</v>
      </c>
      <c r="AF12" s="25">
        <f>0.5*PROP_InOut!$J$8*I12^2*E12*T12*(C12-C11)</f>
        <v>0.18162054072065478</v>
      </c>
      <c r="AG12" s="25">
        <f>0.5*PROP_InOut!$J$8*I12^2*E12*U12*(C12-C11)</f>
        <v>2.6533586737803394E-3</v>
      </c>
      <c r="AH12" s="88">
        <f t="shared" si="0"/>
        <v>0.14163334309316133</v>
      </c>
      <c r="AI12" s="88">
        <f t="shared" si="1"/>
        <v>5.4659971620918514E-3</v>
      </c>
      <c r="AJ12" s="88">
        <f t="shared" si="14"/>
        <v>3.2413825801141365</v>
      </c>
      <c r="AK12" s="90"/>
    </row>
    <row r="13" spans="1:41" s="96" customFormat="1" x14ac:dyDescent="0.25">
      <c r="A13" s="174"/>
      <c r="B13" s="82">
        <v>10</v>
      </c>
      <c r="C13" s="87">
        <v>7.5946E-2</v>
      </c>
      <c r="D13" s="88">
        <f>C13/PROP_InOut!$E$8</f>
        <v>0.28476190476190477</v>
      </c>
      <c r="E13" s="88">
        <v>4.0424099999999998E-2</v>
      </c>
      <c r="F13" s="89">
        <f>E13*PROP_InOut!$G$8</f>
        <v>2.5348437206249995E-4</v>
      </c>
      <c r="G13" s="90">
        <f>PROP_InOut!$C$4</f>
        <v>19.5</v>
      </c>
      <c r="H13" s="91">
        <f>PROP_InOut!$C$8*PROP_Table!C13</f>
        <v>39.765232611588402</v>
      </c>
      <c r="I13" s="92">
        <f t="shared" si="2"/>
        <v>44.28909261492872</v>
      </c>
      <c r="J13" s="93">
        <f>I13/PROP_InOut!$D$8</f>
        <v>0.12796005250115572</v>
      </c>
      <c r="K13" s="91">
        <f t="shared" si="3"/>
        <v>0.45592051835600728</v>
      </c>
      <c r="L13" s="92">
        <f t="shared" si="4"/>
        <v>26.122321495215996</v>
      </c>
      <c r="M13" s="90">
        <v>0</v>
      </c>
      <c r="N13" s="90">
        <v>0</v>
      </c>
      <c r="O13" s="91">
        <f t="shared" si="5"/>
        <v>0.4891459761639308</v>
      </c>
      <c r="P13" s="87">
        <v>28.026</v>
      </c>
      <c r="Q13" s="91">
        <f t="shared" si="6"/>
        <v>3.3225457807923499E-2</v>
      </c>
      <c r="R13" s="93">
        <f t="shared" si="7"/>
        <v>1.9036785047840041</v>
      </c>
      <c r="S13" s="94">
        <f>PROP_InOut!$F$8*PROP_Table!I13*PROP_Table!E13</f>
        <v>115931.650213666</v>
      </c>
      <c r="T13" s="91">
        <v>1.2624200000000001</v>
      </c>
      <c r="U13" s="91">
        <v>1.7760000000000001E-2</v>
      </c>
      <c r="V13" s="8">
        <f>0.5*PROP_InOut!$J$8*I13^2*E13*T13*(C13-C12)</f>
        <v>0.19660484178867935</v>
      </c>
      <c r="W13" s="8">
        <f>0.5*PROP_InOut!$J$8*I13^2*E13*U13*(C13-C12)</f>
        <v>2.7658798103380373E-3</v>
      </c>
      <c r="X13" s="91">
        <f t="shared" si="8"/>
        <v>0.17530507291026998</v>
      </c>
      <c r="Y13" s="91">
        <f t="shared" si="9"/>
        <v>6.7627110563541048E-3</v>
      </c>
      <c r="Z13" s="95">
        <f t="shared" si="10"/>
        <v>3.5409472288320871</v>
      </c>
      <c r="AA13" s="88">
        <f>PROP_InOut!$G$4/2*((PROP_InOut!$E$8-PROP_Table!C13)/(PROP_Table!C13*SIN(PROP_Table!K13)))</f>
        <v>5.7046751657338932</v>
      </c>
      <c r="AB13" s="88">
        <f t="shared" si="11"/>
        <v>0.99787982367686634</v>
      </c>
      <c r="AC13" s="88">
        <f>PROP_InOut!$G$4/2*((C13-PROP_InOut!$J$12/2)/(C13*SIN(PROP_Table!K13)))</f>
        <v>1.7964789303542821</v>
      </c>
      <c r="AD13" s="88">
        <f t="shared" si="12"/>
        <v>0.89390586496348978</v>
      </c>
      <c r="AE13" s="88">
        <f t="shared" si="13"/>
        <v>0.89201062691348387</v>
      </c>
      <c r="AF13" s="25">
        <f>0.5*PROP_InOut!$J$8*I13^2*E13*T13*(C13-C12)</f>
        <v>0.19660484178867935</v>
      </c>
      <c r="AG13" s="25">
        <f>0.5*PROP_InOut!$J$8*I13^2*E13*U13*(C13-C12)</f>
        <v>2.7658798103380373E-3</v>
      </c>
      <c r="AH13" s="88">
        <f t="shared" si="0"/>
        <v>0.15637398798780391</v>
      </c>
      <c r="AI13" s="88">
        <f t="shared" si="1"/>
        <v>6.0324101290131736E-3</v>
      </c>
      <c r="AJ13" s="88">
        <f t="shared" si="14"/>
        <v>3.5409472288320871</v>
      </c>
      <c r="AK13" s="90"/>
    </row>
    <row r="14" spans="1:41" s="96" customFormat="1" x14ac:dyDescent="0.25">
      <c r="A14" s="174"/>
      <c r="B14" s="82">
        <v>11</v>
      </c>
      <c r="C14" s="87">
        <v>7.9247999999999999E-2</v>
      </c>
      <c r="D14" s="88">
        <f>C14/PROP_InOut!$E$8</f>
        <v>0.29714285714285715</v>
      </c>
      <c r="E14" s="88">
        <v>4.0891460000000004E-2</v>
      </c>
      <c r="F14" s="89">
        <f>E14*PROP_InOut!$G$8</f>
        <v>2.5641501136249999E-4</v>
      </c>
      <c r="G14" s="90">
        <f>PROP_InOut!$C$4</f>
        <v>19.5</v>
      </c>
      <c r="H14" s="91">
        <f>PROP_InOut!$C$8*PROP_Table!C14</f>
        <v>41.494155768613986</v>
      </c>
      <c r="I14" s="92">
        <f t="shared" si="2"/>
        <v>45.847736726582276</v>
      </c>
      <c r="J14" s="93">
        <f>I14/PROP_InOut!$D$8</f>
        <v>0.13246328728385659</v>
      </c>
      <c r="K14" s="91">
        <f t="shared" si="3"/>
        <v>0.43931640941651601</v>
      </c>
      <c r="L14" s="92">
        <f t="shared" si="4"/>
        <v>25.170976130407706</v>
      </c>
      <c r="M14" s="90">
        <v>0</v>
      </c>
      <c r="N14" s="90">
        <v>0</v>
      </c>
      <c r="O14" s="91">
        <f t="shared" si="5"/>
        <v>0.4717049009487515</v>
      </c>
      <c r="P14" s="87">
        <v>27.026700000000002</v>
      </c>
      <c r="Q14" s="91">
        <f t="shared" si="6"/>
        <v>3.2388491532235449E-2</v>
      </c>
      <c r="R14" s="93">
        <f t="shared" si="7"/>
        <v>1.8557238695922962</v>
      </c>
      <c r="S14" s="94">
        <f>PROP_InOut!$F$8*PROP_Table!I14*PROP_Table!E14</f>
        <v>121399.07962238294</v>
      </c>
      <c r="T14" s="91">
        <v>1.2551300000000001</v>
      </c>
      <c r="U14" s="91">
        <v>1.7049999999999999E-2</v>
      </c>
      <c r="V14" s="8">
        <f>0.5*PROP_InOut!$J$8*I14^2*E14*T14*(C14-C13)</f>
        <v>0.21189150625180325</v>
      </c>
      <c r="W14" s="8">
        <f>0.5*PROP_InOut!$J$8*I14^2*E14*U14*(C14-C13)</f>
        <v>2.878387244025117E-3</v>
      </c>
      <c r="X14" s="91">
        <f t="shared" si="8"/>
        <v>0.19054660576374571</v>
      </c>
      <c r="Y14" s="91">
        <f t="shared" si="9"/>
        <v>7.3484250389197403E-3</v>
      </c>
      <c r="Z14" s="95">
        <f t="shared" si="10"/>
        <v>3.8476263529542578</v>
      </c>
      <c r="AA14" s="88">
        <f>PROP_InOut!$G$4/2*((PROP_InOut!$E$8-PROP_Table!C14)/(PROP_Table!C14*SIN(PROP_Table!K14)))</f>
        <v>5.5614118514493303</v>
      </c>
      <c r="AB14" s="88">
        <f t="shared" si="11"/>
        <v>0.99755324370984289</v>
      </c>
      <c r="AC14" s="88">
        <f>PROP_InOut!$G$4/2*((C14-PROP_InOut!$J$12/2)/(C14*SIN(PROP_Table!K14)))</f>
        <v>1.8801792099412031</v>
      </c>
      <c r="AD14" s="88">
        <f t="shared" si="12"/>
        <v>0.90249475860881645</v>
      </c>
      <c r="AE14" s="88">
        <f t="shared" si="13"/>
        <v>0.90028657388135647</v>
      </c>
      <c r="AF14" s="25">
        <f>0.5*PROP_InOut!$J$8*I14^2*E14*T14*(C14-C13)</f>
        <v>0.21189150625180325</v>
      </c>
      <c r="AG14" s="25">
        <f>0.5*PROP_InOut!$J$8*I14^2*E14*U14*(C14-C13)</f>
        <v>2.878387244025117E-3</v>
      </c>
      <c r="AH14" s="88">
        <f t="shared" si="0"/>
        <v>0.17154655086776416</v>
      </c>
      <c r="AI14" s="88">
        <f t="shared" si="1"/>
        <v>6.6156884017130263E-3</v>
      </c>
      <c r="AJ14" s="88">
        <f t="shared" si="14"/>
        <v>3.8476263529542578</v>
      </c>
      <c r="AK14" s="90"/>
    </row>
    <row r="15" spans="1:41" s="96" customFormat="1" x14ac:dyDescent="0.25">
      <c r="A15" s="174"/>
      <c r="B15" s="82">
        <v>12</v>
      </c>
      <c r="C15" s="87">
        <v>8.2549999999999998E-2</v>
      </c>
      <c r="D15" s="88">
        <f>C15/PROP_InOut!$E$8</f>
        <v>0.30952380952380953</v>
      </c>
      <c r="E15" s="88">
        <v>4.1282619999999999E-2</v>
      </c>
      <c r="F15" s="89">
        <f>E15*PROP_InOut!$G$8</f>
        <v>2.5886782903749997E-4</v>
      </c>
      <c r="G15" s="90">
        <f>PROP_InOut!$C$4</f>
        <v>19.5</v>
      </c>
      <c r="H15" s="91">
        <f>PROP_InOut!$C$8*PROP_Table!C15</f>
        <v>43.22307892563957</v>
      </c>
      <c r="I15" s="92">
        <f t="shared" si="2"/>
        <v>47.418187985329716</v>
      </c>
      <c r="J15" s="93">
        <f>I15/PROP_InOut!$D$8</f>
        <v>0.13700063527757211</v>
      </c>
      <c r="K15" s="91">
        <f t="shared" si="3"/>
        <v>0.42380808577557794</v>
      </c>
      <c r="L15" s="92">
        <f t="shared" si="4"/>
        <v>24.282414638458995</v>
      </c>
      <c r="M15" s="90">
        <v>0</v>
      </c>
      <c r="N15" s="90">
        <v>0</v>
      </c>
      <c r="O15" s="91">
        <f t="shared" si="5"/>
        <v>0.45537909112559649</v>
      </c>
      <c r="P15" s="87">
        <v>26.0913</v>
      </c>
      <c r="Q15" s="91">
        <f t="shared" si="6"/>
        <v>3.1571005350018548E-2</v>
      </c>
      <c r="R15" s="93">
        <f t="shared" si="7"/>
        <v>1.8088853615410052</v>
      </c>
      <c r="S15" s="94">
        <f>PROP_InOut!$F$8*PROP_Table!I15*PROP_Table!E15</f>
        <v>126758.49717025906</v>
      </c>
      <c r="T15" s="91">
        <v>1.24855</v>
      </c>
      <c r="U15" s="91">
        <v>1.6449999999999999E-2</v>
      </c>
      <c r="V15" s="8">
        <f>0.5*PROP_InOut!$J$8*I15^2*E15*T15*(C15-C14)</f>
        <v>0.22762476840140261</v>
      </c>
      <c r="W15" s="8">
        <f>0.5*PROP_InOut!$J$8*I15^2*E15*U15*(C15-C14)</f>
        <v>2.9990208163093767E-3</v>
      </c>
      <c r="X15" s="91">
        <f t="shared" si="8"/>
        <v>0.20625339853037014</v>
      </c>
      <c r="Y15" s="91">
        <f t="shared" si="9"/>
        <v>7.952939537384629E-3</v>
      </c>
      <c r="Z15" s="95">
        <f t="shared" si="10"/>
        <v>4.1641494041818925</v>
      </c>
      <c r="AA15" s="88">
        <f>PROP_InOut!$G$4/2*((PROP_InOut!$E$8-PROP_Table!C15)/(PROP_Table!C15*SIN(PROP_Table!K15)))</f>
        <v>5.4245658839233197</v>
      </c>
      <c r="AB15" s="88">
        <f t="shared" si="11"/>
        <v>0.99719442102267741</v>
      </c>
      <c r="AC15" s="88">
        <f>PROP_InOut!$G$4/2*((C15-PROP_InOut!$J$12/2)/(C15*SIN(PROP_Table!K15)))</f>
        <v>1.9640669579722367</v>
      </c>
      <c r="AD15" s="88">
        <f t="shared" si="12"/>
        <v>0.91039513585988563</v>
      </c>
      <c r="AE15" s="88">
        <f t="shared" si="13"/>
        <v>0.90784095040566037</v>
      </c>
      <c r="AF15" s="25">
        <f>0.5*PROP_InOut!$J$8*I15^2*E15*T15*(C15-C14)</f>
        <v>0.22762476840140261</v>
      </c>
      <c r="AG15" s="25">
        <f>0.5*PROP_InOut!$J$8*I15^2*E15*U15*(C15-C14)</f>
        <v>2.9990208163093767E-3</v>
      </c>
      <c r="AH15" s="88">
        <f t="shared" si="0"/>
        <v>0.18724528134620866</v>
      </c>
      <c r="AI15" s="88">
        <f t="shared" si="1"/>
        <v>7.2200041881380142E-3</v>
      </c>
      <c r="AJ15" s="88">
        <f t="shared" si="14"/>
        <v>4.1641494041818925</v>
      </c>
      <c r="AK15" s="90"/>
    </row>
    <row r="16" spans="1:41" s="96" customFormat="1" x14ac:dyDescent="0.25">
      <c r="A16" s="174"/>
      <c r="B16" s="82">
        <v>13</v>
      </c>
      <c r="C16" s="87">
        <v>8.6860380000000001E-2</v>
      </c>
      <c r="D16" s="88">
        <f>C16/PROP_InOut!$E$8</f>
        <v>0.3256857142857143</v>
      </c>
      <c r="E16" s="88">
        <v>4.1691559999999996E-2</v>
      </c>
      <c r="F16" s="89">
        <f>E16*PROP_InOut!$G$8</f>
        <v>2.6143213842499995E-4</v>
      </c>
      <c r="G16" s="90">
        <f>PROP_InOut!$C$4</f>
        <v>19.5</v>
      </c>
      <c r="H16" s="91">
        <f>PROP_InOut!$C$8*PROP_Table!C16</f>
        <v>45.47998861600297</v>
      </c>
      <c r="I16" s="92">
        <f t="shared" si="2"/>
        <v>49.484132451845205</v>
      </c>
      <c r="J16" s="93">
        <f>I16/PROP_InOut!$D$8</f>
        <v>0.14296956231561864</v>
      </c>
      <c r="K16" s="91">
        <f t="shared" si="3"/>
        <v>0.40505108725673772</v>
      </c>
      <c r="L16" s="92">
        <f t="shared" si="4"/>
        <v>23.207717786996312</v>
      </c>
      <c r="M16" s="90">
        <v>0</v>
      </c>
      <c r="N16" s="90">
        <v>0</v>
      </c>
      <c r="O16" s="91">
        <f t="shared" si="5"/>
        <v>0.43559054806648478</v>
      </c>
      <c r="P16" s="87">
        <v>24.9575</v>
      </c>
      <c r="Q16" s="91">
        <f t="shared" si="6"/>
        <v>3.0539460809747083E-2</v>
      </c>
      <c r="R16" s="93">
        <f t="shared" si="7"/>
        <v>1.7497822130036873</v>
      </c>
      <c r="S16" s="94">
        <f>PROP_InOut!$F$8*PROP_Table!I16*PROP_Table!E16</f>
        <v>133591.54790453118</v>
      </c>
      <c r="T16" s="91">
        <v>1.23939</v>
      </c>
      <c r="U16" s="91">
        <v>1.5709999999999998E-2</v>
      </c>
      <c r="V16" s="8">
        <f>0.5*PROP_InOut!$J$8*I16^2*E16*T16*(C16-C15)</f>
        <v>0.32440158141767728</v>
      </c>
      <c r="W16" s="8">
        <f>0.5*PROP_InOut!$J$8*I16^2*E16*U16*(C16-C15)</f>
        <v>4.1119815748648196E-3</v>
      </c>
      <c r="X16" s="91">
        <f t="shared" si="8"/>
        <v>0.29653134979094287</v>
      </c>
      <c r="Y16" s="91">
        <f t="shared" si="9"/>
        <v>1.1432110693868075E-2</v>
      </c>
      <c r="Z16" s="95">
        <f t="shared" si="10"/>
        <v>5.9858391618135434</v>
      </c>
      <c r="AA16" s="88">
        <f>PROP_InOut!$G$4/2*((PROP_InOut!$E$8-PROP_Table!C16)/(PROP_Table!C16*SIN(PROP_Table!K16)))</f>
        <v>5.2540596678341043</v>
      </c>
      <c r="AB16" s="88">
        <f t="shared" si="11"/>
        <v>0.99667284542011658</v>
      </c>
      <c r="AC16" s="88">
        <f>PROP_InOut!$G$4/2*((C16-PROP_InOut!$J$12/2)/(C16*SIN(PROP_Table!K16)))</f>
        <v>2.0738557057887341</v>
      </c>
      <c r="AD16" s="88">
        <f t="shared" si="12"/>
        <v>0.91976453038215733</v>
      </c>
      <c r="AE16" s="88">
        <f t="shared" si="13"/>
        <v>0.91670433161248199</v>
      </c>
      <c r="AF16" s="25">
        <f>0.5*PROP_InOut!$J$8*I16^2*E16*T16*(C16-C15)</f>
        <v>0.32440158141767728</v>
      </c>
      <c r="AG16" s="25">
        <f>0.5*PROP_InOut!$J$8*I16^2*E16*U16*(C16-C15)</f>
        <v>4.1119815748648196E-3</v>
      </c>
      <c r="AH16" s="88">
        <f t="shared" si="0"/>
        <v>0.2718315728122534</v>
      </c>
      <c r="AI16" s="88">
        <f t="shared" si="1"/>
        <v>1.0479865392542241E-2</v>
      </c>
      <c r="AJ16" s="88">
        <f t="shared" si="14"/>
        <v>5.9858391618135434</v>
      </c>
      <c r="AK16" s="90"/>
    </row>
    <row r="17" spans="1:37" s="96" customFormat="1" x14ac:dyDescent="0.25">
      <c r="A17" s="174"/>
      <c r="B17" s="82">
        <v>14</v>
      </c>
      <c r="C17" s="87">
        <v>9.3431359999999991E-2</v>
      </c>
      <c r="D17" s="88">
        <f>C17/PROP_InOut!$E$8</f>
        <v>0.35032380952380948</v>
      </c>
      <c r="E17" s="88">
        <v>4.2090339999999997E-2</v>
      </c>
      <c r="F17" s="89">
        <f>E17*PROP_InOut!$G$8</f>
        <v>2.6393273826249994E-4</v>
      </c>
      <c r="G17" s="90">
        <f>PROP_InOut!$C$4</f>
        <v>19.5</v>
      </c>
      <c r="H17" s="91">
        <f>PROP_InOut!$C$8*PROP_Table!C17</f>
        <v>48.92054569848387</v>
      </c>
      <c r="I17" s="92">
        <f t="shared" si="2"/>
        <v>52.663742664545296</v>
      </c>
      <c r="J17" s="93">
        <f>I17/PROP_InOut!$D$8</f>
        <v>0.15215609258138368</v>
      </c>
      <c r="K17" s="91">
        <f t="shared" si="3"/>
        <v>0.3793036692459163</v>
      </c>
      <c r="L17" s="92">
        <f t="shared" si="4"/>
        <v>21.732499401617126</v>
      </c>
      <c r="M17" s="90">
        <v>0</v>
      </c>
      <c r="N17" s="90">
        <v>0</v>
      </c>
      <c r="O17" s="91">
        <f t="shared" si="5"/>
        <v>0.40835468508911327</v>
      </c>
      <c r="P17" s="87">
        <v>23.396999999999998</v>
      </c>
      <c r="Q17" s="91">
        <f t="shared" si="6"/>
        <v>2.9051015843196928E-2</v>
      </c>
      <c r="R17" s="93">
        <f t="shared" si="7"/>
        <v>1.6645005983828725</v>
      </c>
      <c r="S17" s="94">
        <f>PROP_InOut!$F$8*PROP_Table!I17*PROP_Table!E17</f>
        <v>143535.40183934019</v>
      </c>
      <c r="T17" s="91">
        <v>1.2252099999999999</v>
      </c>
      <c r="U17" s="91">
        <v>1.481E-2</v>
      </c>
      <c r="V17" s="8">
        <f>0.5*PROP_InOut!$J$8*I17^2*E17*T17*(C17-C16)</f>
        <v>0.5590181400764761</v>
      </c>
      <c r="W17" s="8">
        <f>0.5*PROP_InOut!$J$8*I17^2*E17*U17*(C17-C16)</f>
        <v>6.7572568413028075E-3</v>
      </c>
      <c r="X17" s="91">
        <f t="shared" si="8"/>
        <v>0.516782601890725</v>
      </c>
      <c r="Y17" s="91">
        <f t="shared" si="9"/>
        <v>1.9925797497055194E-2</v>
      </c>
      <c r="Z17" s="95">
        <f t="shared" si="10"/>
        <v>10.433123172277746</v>
      </c>
      <c r="AA17" s="88">
        <f>PROP_InOut!$G$4/2*((PROP_InOut!$E$8-PROP_Table!C17)/(PROP_Table!C17*SIN(PROP_Table!K17)))</f>
        <v>5.0084622489218029</v>
      </c>
      <c r="AB17" s="88">
        <f t="shared" si="11"/>
        <v>0.99574660382186331</v>
      </c>
      <c r="AC17" s="88">
        <f>PROP_InOut!$G$4/2*((C17-PROP_InOut!$J$12/2)/(C17*SIN(PROP_Table!K17)))</f>
        <v>2.241825763876192</v>
      </c>
      <c r="AD17" s="88">
        <f t="shared" si="12"/>
        <v>0.93222206710459155</v>
      </c>
      <c r="AE17" s="88">
        <f t="shared" si="13"/>
        <v>0.92825695732719415</v>
      </c>
      <c r="AF17" s="25">
        <f>0.5*PROP_InOut!$J$8*I17^2*E17*T17*(C17-C16)</f>
        <v>0.5590181400764761</v>
      </c>
      <c r="AG17" s="25">
        <f>0.5*PROP_InOut!$J$8*I17^2*E17*U17*(C17-C16)</f>
        <v>6.7572568413028075E-3</v>
      </c>
      <c r="AH17" s="88">
        <f t="shared" si="0"/>
        <v>0.47970704563071509</v>
      </c>
      <c r="AI17" s="88">
        <f t="shared" si="1"/>
        <v>1.8496260156934275E-2</v>
      </c>
      <c r="AJ17" s="88">
        <f t="shared" si="14"/>
        <v>10.433123172277746</v>
      </c>
      <c r="AK17" s="90"/>
    </row>
    <row r="18" spans="1:37" s="96" customFormat="1" x14ac:dyDescent="0.25">
      <c r="A18" s="174"/>
      <c r="B18" s="82">
        <v>15</v>
      </c>
      <c r="C18" s="87">
        <v>0.10000487999999999</v>
      </c>
      <c r="D18" s="88">
        <f>C18/PROP_InOut!$E$8</f>
        <v>0.37497142857142857</v>
      </c>
      <c r="E18" s="88">
        <v>4.2237659999999996E-2</v>
      </c>
      <c r="F18" s="89">
        <f>E18*PROP_InOut!$G$8</f>
        <v>2.6485652673749997E-4</v>
      </c>
      <c r="G18" s="90">
        <f>PROP_InOut!$C$4</f>
        <v>19.5</v>
      </c>
      <c r="H18" s="91">
        <f>PROP_InOut!$C$8*PROP_Table!C18</f>
        <v>52.362432721854802</v>
      </c>
      <c r="I18" s="92">
        <f t="shared" si="2"/>
        <v>55.875525595297717</v>
      </c>
      <c r="J18" s="93">
        <f>I18/PROP_InOut!$D$8</f>
        <v>0.1614355762685899</v>
      </c>
      <c r="K18" s="91">
        <f t="shared" si="3"/>
        <v>0.3564931304478105</v>
      </c>
      <c r="L18" s="92">
        <f t="shared" si="4"/>
        <v>20.425551800066245</v>
      </c>
      <c r="M18" s="90">
        <v>0</v>
      </c>
      <c r="N18" s="90">
        <v>0</v>
      </c>
      <c r="O18" s="91">
        <f t="shared" si="5"/>
        <v>0.38415569501021191</v>
      </c>
      <c r="P18" s="87">
        <v>22.0105</v>
      </c>
      <c r="Q18" s="91">
        <f t="shared" si="6"/>
        <v>2.7662564562401407E-2</v>
      </c>
      <c r="R18" s="93">
        <f t="shared" si="7"/>
        <v>1.5849481999337556</v>
      </c>
      <c r="S18" s="94">
        <f>PROP_InOut!$F$8*PROP_Table!I18*PROP_Table!E18</f>
        <v>152822.16462691291</v>
      </c>
      <c r="T18" s="91">
        <v>1.20991</v>
      </c>
      <c r="U18" s="91">
        <v>1.409E-2</v>
      </c>
      <c r="V18" s="8">
        <f>0.5*PROP_InOut!$J$8*I18^2*E18*T18*(C18-C17)</f>
        <v>0.62384040018324627</v>
      </c>
      <c r="W18" s="8">
        <f>0.5*PROP_InOut!$J$8*I18^2*E18*U18*(C18-C17)</f>
        <v>7.2649298200543342E-3</v>
      </c>
      <c r="X18" s="91">
        <f t="shared" si="8"/>
        <v>0.58208194922136469</v>
      </c>
      <c r="Y18" s="91">
        <f t="shared" si="9"/>
        <v>2.2453317940805545E-2</v>
      </c>
      <c r="Z18" s="95">
        <f t="shared" si="10"/>
        <v>11.756529781925099</v>
      </c>
      <c r="AA18" s="88">
        <f>PROP_InOut!$G$4/2*((PROP_InOut!$E$8-PROP_Table!C18)/(PROP_Table!C18*SIN(PROP_Table!K18)))</f>
        <v>4.7762681715343698</v>
      </c>
      <c r="AB18" s="88">
        <f t="shared" si="11"/>
        <v>0.99463489343286959</v>
      </c>
      <c r="AC18" s="88">
        <f>PROP_InOut!$G$4/2*((C18-PROP_InOut!$J$12/2)/(C18*SIN(PROP_Table!K18)))</f>
        <v>2.4105496796727217</v>
      </c>
      <c r="AD18" s="88">
        <f t="shared" si="12"/>
        <v>0.94277620164727882</v>
      </c>
      <c r="AE18" s="88">
        <f t="shared" si="13"/>
        <v>0.93771810685648671</v>
      </c>
      <c r="AF18" s="25">
        <f>0.5*PROP_InOut!$J$8*I18^2*E18*T18*(C18-C17)</f>
        <v>0.62384040018324627</v>
      </c>
      <c r="AG18" s="25">
        <f>0.5*PROP_InOut!$J$8*I18^2*E18*U18*(C18-C17)</f>
        <v>7.2649298200543342E-3</v>
      </c>
      <c r="AH18" s="88">
        <f t="shared" si="0"/>
        <v>0.54582878345919172</v>
      </c>
      <c r="AI18" s="88">
        <f t="shared" si="1"/>
        <v>2.1054882792098963E-2</v>
      </c>
      <c r="AJ18" s="88">
        <f t="shared" si="14"/>
        <v>11.756529781925099</v>
      </c>
      <c r="AK18" s="90"/>
    </row>
    <row r="19" spans="1:37" s="96" customFormat="1" x14ac:dyDescent="0.25">
      <c r="A19" s="174"/>
      <c r="B19" s="82">
        <v>16</v>
      </c>
      <c r="C19" s="87">
        <v>0.10657585999999999</v>
      </c>
      <c r="D19" s="88">
        <f>C19/PROP_InOut!$E$8</f>
        <v>0.3996095238095238</v>
      </c>
      <c r="E19" s="88">
        <v>4.2146219999999998E-2</v>
      </c>
      <c r="F19" s="89">
        <f>E19*PROP_InOut!$G$8</f>
        <v>2.6428314078749996E-4</v>
      </c>
      <c r="G19" s="90">
        <f>PROP_InOut!$C$4</f>
        <v>19.5</v>
      </c>
      <c r="H19" s="91">
        <f>PROP_InOut!$C$8*PROP_Table!C19</f>
        <v>55.802989804335709</v>
      </c>
      <c r="I19" s="92">
        <f t="shared" si="2"/>
        <v>59.111958782489985</v>
      </c>
      <c r="J19" s="93">
        <f>I19/PROP_InOut!$D$8</f>
        <v>0.1707862794801073</v>
      </c>
      <c r="K19" s="91">
        <f t="shared" si="3"/>
        <v>0.33617909169258731</v>
      </c>
      <c r="L19" s="92">
        <f t="shared" si="4"/>
        <v>19.261643114526766</v>
      </c>
      <c r="M19" s="90">
        <v>0</v>
      </c>
      <c r="N19" s="90">
        <v>0</v>
      </c>
      <c r="O19" s="91">
        <f t="shared" si="5"/>
        <v>0.36254328288276616</v>
      </c>
      <c r="P19" s="87">
        <v>20.772200000000002</v>
      </c>
      <c r="Q19" s="91">
        <f t="shared" si="6"/>
        <v>2.6364191190178861E-2</v>
      </c>
      <c r="R19" s="93">
        <f t="shared" si="7"/>
        <v>1.5105568854732354</v>
      </c>
      <c r="S19" s="94">
        <f>PROP_InOut!$F$8*PROP_Table!I19*PROP_Table!E19</f>
        <v>161323.95334546312</v>
      </c>
      <c r="T19" s="91">
        <v>1.19432</v>
      </c>
      <c r="U19" s="91">
        <v>1.35E-2</v>
      </c>
      <c r="V19" s="8">
        <f>0.5*PROP_InOut!$J$8*I19^2*E19*T19*(C19-C18)</f>
        <v>0.68744748992059912</v>
      </c>
      <c r="W19" s="8">
        <f>0.5*PROP_InOut!$J$8*I19^2*E19*U19*(C19-C18)</f>
        <v>7.7705649356354135E-3</v>
      </c>
      <c r="X19" s="91">
        <f t="shared" si="8"/>
        <v>0.64640218395417126</v>
      </c>
      <c r="Y19" s="91">
        <f t="shared" si="9"/>
        <v>2.4950738065363662E-2</v>
      </c>
      <c r="Z19" s="95">
        <f t="shared" si="10"/>
        <v>13.064175901298281</v>
      </c>
      <c r="AA19" s="88">
        <f>PROP_InOut!$G$4/2*((PROP_InOut!$E$8-PROP_Table!C19)/(PROP_Table!C19*SIN(PROP_Table!K19)))</f>
        <v>4.5544789982491469</v>
      </c>
      <c r="AB19" s="88">
        <f t="shared" si="11"/>
        <v>0.99330264936094947</v>
      </c>
      <c r="AC19" s="88">
        <f>PROP_InOut!$G$4/2*((C19-PROP_InOut!$J$12/2)/(C19*SIN(PROP_Table!K19)))</f>
        <v>2.5798431266711948</v>
      </c>
      <c r="AD19" s="88">
        <f t="shared" si="12"/>
        <v>0.95170689873117287</v>
      </c>
      <c r="AE19" s="88">
        <f t="shared" si="13"/>
        <v>0.94533298392476683</v>
      </c>
      <c r="AF19" s="25">
        <f>0.5*PROP_InOut!$J$8*I19^2*E19*T19*(C19-C18)</f>
        <v>0.68744748992059912</v>
      </c>
      <c r="AG19" s="25">
        <f>0.5*PROP_InOut!$J$8*I19^2*E19*U19*(C19-C18)</f>
        <v>7.7705649356354135E-3</v>
      </c>
      <c r="AH19" s="88">
        <f t="shared" si="0"/>
        <v>0.61106530537288273</v>
      </c>
      <c r="AI19" s="88">
        <f t="shared" si="1"/>
        <v>2.3586755666455496E-2</v>
      </c>
      <c r="AJ19" s="88">
        <f t="shared" si="14"/>
        <v>13.064175901298281</v>
      </c>
      <c r="AK19" s="90"/>
    </row>
    <row r="20" spans="1:37" s="96" customFormat="1" x14ac:dyDescent="0.25">
      <c r="A20" s="174"/>
      <c r="B20" s="82">
        <v>17</v>
      </c>
      <c r="C20" s="87">
        <v>0.11314937999999999</v>
      </c>
      <c r="D20" s="88">
        <f>C20/PROP_InOut!$E$8</f>
        <v>0.42425714285714283</v>
      </c>
      <c r="E20" s="88">
        <v>4.1838879999999995E-2</v>
      </c>
      <c r="F20" s="89">
        <f>E20*PROP_InOut!$G$8</f>
        <v>2.6235592689999993E-4</v>
      </c>
      <c r="G20" s="90">
        <f>PROP_InOut!$C$4</f>
        <v>19.5</v>
      </c>
      <c r="H20" s="91">
        <f>PROP_InOut!$C$8*PROP_Table!C20</f>
        <v>59.244876827706641</v>
      </c>
      <c r="I20" s="92">
        <f t="shared" si="2"/>
        <v>62.371511368012648</v>
      </c>
      <c r="J20" s="93">
        <f>I20/PROP_InOut!$D$8</f>
        <v>0.18020377926047457</v>
      </c>
      <c r="K20" s="91">
        <f t="shared" si="3"/>
        <v>0.31797396970364322</v>
      </c>
      <c r="L20" s="92">
        <f t="shared" si="4"/>
        <v>18.218566459039462</v>
      </c>
      <c r="M20" s="90">
        <v>0</v>
      </c>
      <c r="N20" s="90">
        <v>0</v>
      </c>
      <c r="O20" s="91">
        <f t="shared" si="5"/>
        <v>0.34314220291759712</v>
      </c>
      <c r="P20" s="87">
        <v>19.660599999999999</v>
      </c>
      <c r="Q20" s="91">
        <f t="shared" si="6"/>
        <v>2.5168233213953888E-2</v>
      </c>
      <c r="R20" s="93">
        <f t="shared" si="7"/>
        <v>1.4420335409605372</v>
      </c>
      <c r="S20" s="94">
        <f>PROP_InOut!$F$8*PROP_Table!I20*PROP_Table!E20</f>
        <v>168978.40003492194</v>
      </c>
      <c r="T20" s="91">
        <v>1.17954</v>
      </c>
      <c r="U20" s="91">
        <v>1.3010000000000001E-2</v>
      </c>
      <c r="V20" s="8">
        <f>0.5*PROP_InOut!$J$8*I20^2*E20*T20*(C20-C19)</f>
        <v>0.75065882830078745</v>
      </c>
      <c r="W20" s="8">
        <f>0.5*PROP_InOut!$J$8*I20^2*E20*U20*(C20-C19)</f>
        <v>8.2795592825959646E-3</v>
      </c>
      <c r="X20" s="91">
        <f t="shared" si="8"/>
        <v>0.71044035080133106</v>
      </c>
      <c r="Y20" s="91">
        <f t="shared" si="9"/>
        <v>2.7444669728500438E-2</v>
      </c>
      <c r="Z20" s="95">
        <f t="shared" si="10"/>
        <v>14.369995466542527</v>
      </c>
      <c r="AA20" s="88">
        <f>PROP_InOut!$G$4/2*((PROP_InOut!$E$8-PROP_Table!C20)/(PROP_Table!C20*SIN(PROP_Table!K20)))</f>
        <v>4.3406128551411491</v>
      </c>
      <c r="AB20" s="88">
        <f t="shared" si="11"/>
        <v>0.99170553843460829</v>
      </c>
      <c r="AC20" s="88">
        <f>PROP_InOut!$G$4/2*((C20-PROP_InOut!$J$12/2)/(C20*SIN(PROP_Table!K20)))</f>
        <v>2.7497800028673609</v>
      </c>
      <c r="AD20" s="88">
        <f t="shared" si="12"/>
        <v>0.95926551532459592</v>
      </c>
      <c r="AE20" s="88">
        <f t="shared" si="13"/>
        <v>0.95130892437673042</v>
      </c>
      <c r="AF20" s="25">
        <f>0.5*PROP_InOut!$J$8*I20^2*E20*T20*(C20-C19)</f>
        <v>0.75065882830078745</v>
      </c>
      <c r="AG20" s="25">
        <f>0.5*PROP_InOut!$J$8*I20^2*E20*U20*(C20-C19)</f>
        <v>8.2795592825959646E-3</v>
      </c>
      <c r="AH20" s="88">
        <f t="shared" si="0"/>
        <v>0.67584824595464132</v>
      </c>
      <c r="AI20" s="88">
        <f t="shared" si="1"/>
        <v>2.6108359239294367E-2</v>
      </c>
      <c r="AJ20" s="88">
        <f t="shared" si="14"/>
        <v>14.369995466542527</v>
      </c>
      <c r="AK20" s="90"/>
    </row>
    <row r="21" spans="1:37" s="96" customFormat="1" x14ac:dyDescent="0.25">
      <c r="A21" s="174"/>
      <c r="B21" s="82">
        <v>18</v>
      </c>
      <c r="C21" s="87">
        <v>0.11972036</v>
      </c>
      <c r="D21" s="88">
        <f>C21/PROP_InOut!$E$8</f>
        <v>0.44889523809523812</v>
      </c>
      <c r="E21" s="88">
        <v>4.1325799999999996E-2</v>
      </c>
      <c r="F21" s="89">
        <f>E21*PROP_InOut!$G$8</f>
        <v>2.5913859462499997E-4</v>
      </c>
      <c r="G21" s="90">
        <f>PROP_InOut!$C$4</f>
        <v>19.5</v>
      </c>
      <c r="H21" s="91">
        <f>PROP_InOut!$C$8*PROP_Table!C21</f>
        <v>62.685433910187555</v>
      </c>
      <c r="I21" s="92">
        <f t="shared" si="2"/>
        <v>65.648409154437942</v>
      </c>
      <c r="J21" s="93">
        <f>I21/PROP_InOut!$D$8</f>
        <v>0.18967139279768583</v>
      </c>
      <c r="K21" s="91">
        <f t="shared" si="3"/>
        <v>0.30158799275279102</v>
      </c>
      <c r="L21" s="92">
        <f t="shared" si="4"/>
        <v>17.279719136556984</v>
      </c>
      <c r="M21" s="90">
        <v>0</v>
      </c>
      <c r="N21" s="90">
        <v>0</v>
      </c>
      <c r="O21" s="91">
        <f t="shared" si="5"/>
        <v>0.32564004117859807</v>
      </c>
      <c r="P21" s="87">
        <v>18.657800000000002</v>
      </c>
      <c r="Q21" s="91">
        <f t="shared" si="6"/>
        <v>2.4052048425807011E-2</v>
      </c>
      <c r="R21" s="93">
        <f t="shared" si="7"/>
        <v>1.3780808634430173</v>
      </c>
      <c r="S21" s="94">
        <f>PROP_InOut!$F$8*PROP_Table!I21*PROP_Table!E21</f>
        <v>175675.15748078117</v>
      </c>
      <c r="T21" s="91">
        <v>1.1664399999999999</v>
      </c>
      <c r="U21" s="91">
        <v>1.26E-2</v>
      </c>
      <c r="V21" s="8">
        <f>0.5*PROP_InOut!$J$8*I21^2*E21*T21*(C21-C20)</f>
        <v>0.81197298621123237</v>
      </c>
      <c r="W21" s="8">
        <f>0.5*PROP_InOut!$J$8*I21^2*E21*U21*(C21-C20)</f>
        <v>8.7710123334775285E-3</v>
      </c>
      <c r="X21" s="91">
        <f t="shared" si="8"/>
        <v>0.77272008380525603</v>
      </c>
      <c r="Y21" s="91">
        <f t="shared" si="9"/>
        <v>2.9877542442099007E-2</v>
      </c>
      <c r="Z21" s="95">
        <f t="shared" si="10"/>
        <v>15.643844640569249</v>
      </c>
      <c r="AA21" s="88">
        <f>PROP_InOut!$G$4/2*((PROP_InOut!$E$8-PROP_Table!C21)/(PROP_Table!C21*SIN(PROP_Table!K21)))</f>
        <v>4.1331270955048023</v>
      </c>
      <c r="AB21" s="88">
        <f t="shared" si="11"/>
        <v>0.98979285134558836</v>
      </c>
      <c r="AC21" s="88">
        <f>PROP_InOut!$G$4/2*((C21-PROP_InOut!$J$12/2)/(C21*SIN(PROP_Table!K21)))</f>
        <v>2.9201736455365559</v>
      </c>
      <c r="AD21" s="88">
        <f t="shared" si="12"/>
        <v>0.96565405080068312</v>
      </c>
      <c r="AE21" s="88">
        <f t="shared" si="13"/>
        <v>0.95579747635542578</v>
      </c>
      <c r="AF21" s="25">
        <f>0.5*PROP_InOut!$J$8*I21^2*E21*T21*(C21-C20)</f>
        <v>0.81197298621123237</v>
      </c>
      <c r="AG21" s="25">
        <f>0.5*PROP_InOut!$J$8*I21^2*E21*U21*(C21-C20)</f>
        <v>8.7710123334775285E-3</v>
      </c>
      <c r="AH21" s="88">
        <f t="shared" si="0"/>
        <v>0.73856390603021682</v>
      </c>
      <c r="AI21" s="88">
        <f t="shared" si="1"/>
        <v>2.8556879665860357E-2</v>
      </c>
      <c r="AJ21" s="88">
        <f t="shared" si="14"/>
        <v>15.643844640569249</v>
      </c>
      <c r="AK21" s="90"/>
    </row>
    <row r="22" spans="1:37" s="96" customFormat="1" x14ac:dyDescent="0.25">
      <c r="A22" s="174"/>
      <c r="B22" s="82">
        <v>19</v>
      </c>
      <c r="C22" s="87">
        <v>0.12629388</v>
      </c>
      <c r="D22" s="88">
        <f>C22/PROP_InOut!$E$8</f>
        <v>0.47354285714285715</v>
      </c>
      <c r="E22" s="88">
        <v>4.0624759999999996E-2</v>
      </c>
      <c r="F22" s="89">
        <f>E22*PROP_InOut!$G$8</f>
        <v>2.5474263567499996E-4</v>
      </c>
      <c r="G22" s="90">
        <f>PROP_InOut!$C$4</f>
        <v>19.5</v>
      </c>
      <c r="H22" s="91">
        <f>PROP_InOut!$C$8*PROP_Table!C22</f>
        <v>66.12732093355848</v>
      </c>
      <c r="I22" s="92">
        <f t="shared" si="2"/>
        <v>68.942530950421613</v>
      </c>
      <c r="J22" s="93">
        <f>I22/PROP_InOut!$D$8</f>
        <v>0.19918876994569246</v>
      </c>
      <c r="K22" s="91">
        <f t="shared" si="3"/>
        <v>0.28675817848477514</v>
      </c>
      <c r="L22" s="92">
        <f t="shared" si="4"/>
        <v>16.430033368036785</v>
      </c>
      <c r="M22" s="90">
        <v>0</v>
      </c>
      <c r="N22" s="90">
        <v>0</v>
      </c>
      <c r="O22" s="91">
        <f t="shared" si="5"/>
        <v>0.30978372492422956</v>
      </c>
      <c r="P22" s="87">
        <v>17.749300000000002</v>
      </c>
      <c r="Q22" s="91">
        <f t="shared" si="6"/>
        <v>2.3025546439454394E-2</v>
      </c>
      <c r="R22" s="93">
        <f t="shared" si="7"/>
        <v>1.3192666319632167</v>
      </c>
      <c r="S22" s="94">
        <f>PROP_InOut!$F$8*PROP_Table!I22*PROP_Table!E22</f>
        <v>181360.58444062067</v>
      </c>
      <c r="T22" s="91">
        <v>1.15448</v>
      </c>
      <c r="U22" s="91">
        <v>1.2239999999999999E-2</v>
      </c>
      <c r="V22" s="8">
        <f>0.5*PROP_InOut!$J$8*I22^2*E22*T22*(C22-C21)</f>
        <v>0.87162364896037259</v>
      </c>
      <c r="W22" s="8">
        <f>0.5*PROP_InOut!$J$8*I22^2*E22*U22*(C22-C21)</f>
        <v>9.2411072199388121E-3</v>
      </c>
      <c r="X22" s="91">
        <f t="shared" si="8"/>
        <v>0.83341783925241419</v>
      </c>
      <c r="Y22" s="91">
        <f t="shared" si="9"/>
        <v>3.2255142626433114E-2</v>
      </c>
      <c r="Z22" s="95">
        <f t="shared" si="10"/>
        <v>16.888753185948875</v>
      </c>
      <c r="AA22" s="88">
        <f>PROP_InOut!$G$4/2*((PROP_InOut!$E$8-PROP_Table!C22)/(PROP_Table!C22*SIN(PROP_Table!K22)))</f>
        <v>3.930577318482976</v>
      </c>
      <c r="AB22" s="88">
        <f t="shared" si="11"/>
        <v>0.98750086424413286</v>
      </c>
      <c r="AC22" s="88">
        <f>PROP_InOut!$G$4/2*((C22-PROP_InOut!$J$12/2)/(C22*SIN(PROP_Table!K22)))</f>
        <v>3.0911041859164938</v>
      </c>
      <c r="AD22" s="88">
        <f t="shared" si="12"/>
        <v>0.9710545518857997</v>
      </c>
      <c r="AE22" s="88">
        <f t="shared" si="13"/>
        <v>0.95891720921542634</v>
      </c>
      <c r="AF22" s="25">
        <f>0.5*PROP_InOut!$J$8*I22^2*E22*T22*(C22-C21)</f>
        <v>0.87162364896037259</v>
      </c>
      <c r="AG22" s="25">
        <f>0.5*PROP_InOut!$J$8*I22^2*E22*U22*(C22-C21)</f>
        <v>9.2411072199388121E-3</v>
      </c>
      <c r="AH22" s="88">
        <f t="shared" si="0"/>
        <v>0.79917870852627582</v>
      </c>
      <c r="AI22" s="88">
        <f t="shared" si="1"/>
        <v>3.0930011350184777E-2</v>
      </c>
      <c r="AJ22" s="88">
        <f t="shared" si="14"/>
        <v>16.888753185948875</v>
      </c>
      <c r="AK22" s="90"/>
    </row>
    <row r="23" spans="1:37" s="96" customFormat="1" x14ac:dyDescent="0.25">
      <c r="A23" s="175"/>
      <c r="B23" s="98">
        <v>20</v>
      </c>
      <c r="C23" s="87">
        <v>0.1328674</v>
      </c>
      <c r="D23" s="99">
        <f>C23/PROP_InOut!$E$8</f>
        <v>0.49819047619047618</v>
      </c>
      <c r="E23" s="88">
        <v>3.9756079999999999E-2</v>
      </c>
      <c r="F23" s="100">
        <f>E23*PROP_InOut!$G$8</f>
        <v>2.4929546914999995E-4</v>
      </c>
      <c r="G23" s="101">
        <f>PROP_InOut!$C$4</f>
        <v>19.5</v>
      </c>
      <c r="H23" s="102">
        <f>PROP_InOut!$C$8*PROP_Table!C23</f>
        <v>69.569207956929418</v>
      </c>
      <c r="I23" s="103">
        <f t="shared" si="2"/>
        <v>72.250430419164232</v>
      </c>
      <c r="J23" s="104">
        <f>I23/PROP_InOut!$D$8</f>
        <v>0.20874595354773748</v>
      </c>
      <c r="K23" s="102">
        <f t="shared" si="3"/>
        <v>0.27328355300319013</v>
      </c>
      <c r="L23" s="103">
        <f t="shared" si="4"/>
        <v>15.657994197422529</v>
      </c>
      <c r="M23" s="101">
        <v>0</v>
      </c>
      <c r="N23" s="101">
        <v>0</v>
      </c>
      <c r="O23" s="102">
        <f t="shared" si="5"/>
        <v>0.29535508799799237</v>
      </c>
      <c r="P23" s="87">
        <v>16.922599999999999</v>
      </c>
      <c r="Q23" s="102">
        <f>RADIANS(R23)</f>
        <v>2.2071534994802258E-2</v>
      </c>
      <c r="R23" s="104">
        <f t="shared" si="7"/>
        <v>1.2646058025774707</v>
      </c>
      <c r="S23" s="105">
        <f>PROP_InOut!$F$8*PROP_Table!I23*PROP_Table!E23</f>
        <v>185998.25514544276</v>
      </c>
      <c r="T23" s="102">
        <v>1.1435900000000001</v>
      </c>
      <c r="U23" s="102">
        <v>1.1939999999999999E-2</v>
      </c>
      <c r="V23" s="8">
        <f>0.5*PROP_InOut!$J$8*I23^2*E23*T23*(C23-C22)</f>
        <v>0.92796611863517875</v>
      </c>
      <c r="W23" s="8">
        <f>0.5*PROP_InOut!$J$8*I23^2*E23*U23*(C23-C22)</f>
        <v>9.6887131371418359E-3</v>
      </c>
      <c r="X23" s="102">
        <f t="shared" si="8"/>
        <v>0.89091424929514929</v>
      </c>
      <c r="Y23" s="102">
        <f t="shared" si="9"/>
        <v>3.4516584831525796E-2</v>
      </c>
      <c r="Z23" s="106">
        <f t="shared" si="10"/>
        <v>18.072841555621721</v>
      </c>
      <c r="AA23" s="99">
        <f>PROP_InOut!$G$4/2*((PROP_InOut!$E$8-PROP_Table!C23)/(PROP_Table!C23*SIN(PROP_Table!K23)))</f>
        <v>3.7320659174700754</v>
      </c>
      <c r="AB23" s="99">
        <f t="shared" si="11"/>
        <v>0.98475575242940239</v>
      </c>
      <c r="AC23" s="99">
        <f>PROP_InOut!$G$4/2*((C23-PROP_InOut!$J$12/2)/(C23*SIN(PROP_Table!K23)))</f>
        <v>3.2624588377049095</v>
      </c>
      <c r="AD23" s="99">
        <f t="shared" si="12"/>
        <v>0.97561524177625725</v>
      </c>
      <c r="AE23" s="99">
        <f t="shared" si="13"/>
        <v>0.96074272149697149</v>
      </c>
      <c r="AF23" s="25">
        <f>0.5*PROP_InOut!$J$8*I23^2*E23*T23*(C23-C22)</f>
        <v>0.92796611863517875</v>
      </c>
      <c r="AG23" s="25">
        <f>0.5*PROP_InOut!$J$8*I23^2*E23*U23*(C23-C22)</f>
        <v>9.6887131371418359E-3</v>
      </c>
      <c r="AH23" s="99">
        <f t="shared" si="0"/>
        <v>0.85593938048825302</v>
      </c>
      <c r="AI23" s="99">
        <f t="shared" si="1"/>
        <v>3.316155764782118E-2</v>
      </c>
      <c r="AJ23" s="99">
        <f t="shared" si="14"/>
        <v>18.072841555621721</v>
      </c>
      <c r="AK23" s="101"/>
    </row>
    <row r="24" spans="1:37" s="96" customFormat="1" x14ac:dyDescent="0.25">
      <c r="A24" s="176" t="s">
        <v>85</v>
      </c>
      <c r="B24" s="107">
        <v>21</v>
      </c>
      <c r="C24" s="87">
        <v>0.13943838</v>
      </c>
      <c r="D24" s="108">
        <f>C24/PROP_InOut!$E$8</f>
        <v>0.52282857142857142</v>
      </c>
      <c r="E24" s="88">
        <v>3.8732459999999996E-2</v>
      </c>
      <c r="F24" s="109">
        <f>E24*PROP_InOut!$G$8</f>
        <v>2.4287673198749996E-4</v>
      </c>
      <c r="G24" s="96">
        <f>PROP_InOut!$C$4</f>
        <v>19.5</v>
      </c>
      <c r="H24" s="110">
        <f>PROP_InOut!$C$8*PROP_Table!C24</f>
        <v>73.009765039410325</v>
      </c>
      <c r="I24" s="111">
        <f t="shared" ref="I24:I43" si="15">SQRT(G24^2+H24^2)</f>
        <v>75.569013432159494</v>
      </c>
      <c r="J24" s="112">
        <f>I24/PROP_InOut!$D$8</f>
        <v>0.2183340040473131</v>
      </c>
      <c r="K24" s="110">
        <f t="shared" ref="K24:K43" si="16">ATAN(G24/H24)</f>
        <v>0.26099530075591709</v>
      </c>
      <c r="L24" s="111">
        <f t="shared" ref="L24:L43" si="17">DEGREES(K24)</f>
        <v>14.953929206061634</v>
      </c>
      <c r="M24" s="96">
        <v>0</v>
      </c>
      <c r="N24" s="96">
        <v>0</v>
      </c>
      <c r="O24" s="110">
        <f t="shared" ref="O24:O43" si="18">RADIANS(P24)</f>
        <v>0.28217785214543523</v>
      </c>
      <c r="P24" s="87">
        <v>16.1676</v>
      </c>
      <c r="Q24" s="110">
        <f t="shared" ref="Q24:Q43" si="19">RADIANS(R24)</f>
        <v>2.1182551389518127E-2</v>
      </c>
      <c r="R24" s="112">
        <f t="shared" si="7"/>
        <v>1.2136707939383662</v>
      </c>
      <c r="S24" s="113">
        <f>PROP_InOut!$F$8*PROP_Table!I24*PROP_Table!E24</f>
        <v>189532.50783423195</v>
      </c>
      <c r="T24" s="110">
        <v>1.1336599999999999</v>
      </c>
      <c r="U24" s="110">
        <v>1.1690000000000001E-2</v>
      </c>
      <c r="V24" s="8">
        <f>0.5*PROP_InOut!$J$8*I24^2*E24*T24*(C24-C23)</f>
        <v>0.98006505309567438</v>
      </c>
      <c r="W24" s="8">
        <f>0.5*PROP_InOut!$J$8*I24^2*E24*U24*(C24-C23)</f>
        <v>1.0106169813425925E-2</v>
      </c>
      <c r="X24" s="110">
        <f t="shared" ref="X24:X42" si="20">(AF24*COS(K24+M24)-AG24*SIN(K24+M24))</f>
        <v>0.94426598545646057</v>
      </c>
      <c r="Y24" s="110">
        <f t="shared" ref="Y24:Y43" si="21">(C24*(AF24*SIN(K24+M24)+AG24*COS(K24+M24)))</f>
        <v>3.6625181135816524E-2</v>
      </c>
      <c r="Z24" s="95">
        <f t="shared" ref="Z24:Z43" si="22">(H24*(AF24*SIN(K24+M24)+AG24*COS(K24+M24)))</f>
        <v>19.176899998779447</v>
      </c>
      <c r="AA24" s="88">
        <f>PROP_InOut!$G$4/2*((PROP_InOut!$E$8-PROP_Table!C24)/(PROP_Table!C24*SIN(PROP_Table!K24)))</f>
        <v>3.5369120445995947</v>
      </c>
      <c r="AB24" s="88">
        <f t="shared" ref="AB24:AB43" si="23">2/PI()*ACOS(EXP(-AA24))</f>
        <v>0.98146980177768972</v>
      </c>
      <c r="AC24" s="88">
        <f>PROP_InOut!$G$4/2*((C24-PROP_InOut!$J$12/2)/(C24*SIN(PROP_Table!K24)))</f>
        <v>3.4341288991405001</v>
      </c>
      <c r="AD24" s="88">
        <f t="shared" ref="AD24:AD43" si="24">2/PI()*ACOS(EXP(-AC24))</f>
        <v>0.97946322622038984</v>
      </c>
      <c r="AE24" s="88">
        <f t="shared" ref="AE24:AE43" si="25">AD24*AB24</f>
        <v>0.96131357848706245</v>
      </c>
      <c r="AF24" s="25">
        <f>0.5*PROP_InOut!$J$8*I24^2*E24*T24*(C24-C23)</f>
        <v>0.98006505309567438</v>
      </c>
      <c r="AG24" s="25">
        <f>0.5*PROP_InOut!$J$8*I24^2*E24*U24*(C24-C23)</f>
        <v>1.0106169813425925E-2</v>
      </c>
      <c r="AH24" s="108">
        <f t="shared" ref="AH24:AH42" si="26">AE24*(AF24*COS(K24+M24)-AG24*SIN(K24+M24))</f>
        <v>0.90773571352276261</v>
      </c>
      <c r="AI24" s="108">
        <f t="shared" ref="AI24:AI42" si="27">AE24*(C24*(AF24*SIN(K24+M24)+AG24*COS(K24+M24)))</f>
        <v>3.520828394040864E-2</v>
      </c>
      <c r="AJ24" s="108">
        <f t="shared" ref="AJ24:AJ42" si="28">H24*(AF24*SIN(K24+M24)+AG24*COS(K24+M24))</f>
        <v>19.176899998779447</v>
      </c>
    </row>
    <row r="25" spans="1:37" s="96" customFormat="1" x14ac:dyDescent="0.25">
      <c r="A25" s="176"/>
      <c r="B25" s="107">
        <v>22</v>
      </c>
      <c r="C25" s="87">
        <v>0.1460119</v>
      </c>
      <c r="D25" s="108">
        <f>C25/PROP_InOut!$E$8</f>
        <v>0.54747619047619045</v>
      </c>
      <c r="E25" s="88">
        <v>3.7571680000000003E-2</v>
      </c>
      <c r="F25" s="109">
        <f>E25*PROP_InOut!$G$8</f>
        <v>2.3559791589999998E-4</v>
      </c>
      <c r="G25" s="96">
        <f>PROP_InOut!$C$4</f>
        <v>19.5</v>
      </c>
      <c r="H25" s="110">
        <f>PROP_InOut!$C$8*PROP_Table!C25</f>
        <v>76.45165206278125</v>
      </c>
      <c r="I25" s="111">
        <f t="shared" si="15"/>
        <v>78.899335251499835</v>
      </c>
      <c r="J25" s="112">
        <f>I25/PROP_InOut!$D$8</f>
        <v>0.22795597030780249</v>
      </c>
      <c r="K25" s="110">
        <f t="shared" si="16"/>
        <v>0.24973828437598836</v>
      </c>
      <c r="L25" s="111">
        <f t="shared" si="17"/>
        <v>14.308949677582081</v>
      </c>
      <c r="M25" s="96">
        <v>0</v>
      </c>
      <c r="N25" s="96">
        <v>0</v>
      </c>
      <c r="O25" s="110">
        <f t="shared" si="18"/>
        <v>0.2700966830631305</v>
      </c>
      <c r="P25" s="87">
        <v>15.4754</v>
      </c>
      <c r="Q25" s="110">
        <f t="shared" si="19"/>
        <v>2.0358398687142114E-2</v>
      </c>
      <c r="R25" s="112">
        <f t="shared" si="7"/>
        <v>1.1664503224179192</v>
      </c>
      <c r="S25" s="113">
        <f>PROP_InOut!$F$8*PROP_Table!I25*PROP_Table!E25</f>
        <v>191954.73725021476</v>
      </c>
      <c r="T25" s="110">
        <v>1.1247499999999999</v>
      </c>
      <c r="U25" s="110">
        <v>1.1480000000000001E-2</v>
      </c>
      <c r="V25" s="8">
        <f>0.5*PROP_InOut!$J$8*I25^2*E25*T25*(C25-C24)</f>
        <v>1.0285860796511248</v>
      </c>
      <c r="W25" s="8">
        <f>0.5*PROP_InOut!$J$8*I25^2*E25*U25*(C25-C24)</f>
        <v>1.0498482502240423E-2</v>
      </c>
      <c r="X25" s="110">
        <f t="shared" si="20"/>
        <v>0.99408169180770567</v>
      </c>
      <c r="Y25" s="110">
        <f t="shared" si="21"/>
        <v>3.8603826484754293E-2</v>
      </c>
      <c r="Z25" s="95">
        <f t="shared" si="22"/>
        <v>20.21291628082653</v>
      </c>
      <c r="AA25" s="88">
        <f>PROP_InOut!$G$4/2*((PROP_InOut!$E$8-PROP_Table!C25)/(PROP_Table!C25*SIN(PROP_Table!K25)))</f>
        <v>3.344374710437295</v>
      </c>
      <c r="AB25" s="88">
        <f t="shared" si="23"/>
        <v>0.9775339466230778</v>
      </c>
      <c r="AC25" s="88">
        <f>PROP_InOut!$G$4/2*((C25-PROP_InOut!$J$12/2)/(C25*SIN(PROP_Table!K25)))</f>
        <v>3.6062093715511905</v>
      </c>
      <c r="AD25" s="88">
        <f t="shared" si="24"/>
        <v>0.98271072908777224</v>
      </c>
      <c r="AE25" s="88">
        <f t="shared" si="25"/>
        <v>0.96063309739401226</v>
      </c>
      <c r="AF25" s="25">
        <f>0.5*PROP_InOut!$J$8*I25^2*E25*T25*(C25-C24)</f>
        <v>1.0285860796511248</v>
      </c>
      <c r="AG25" s="25">
        <f>0.5*PROP_InOut!$J$8*I25^2*E25*U25*(C25-C24)</f>
        <v>1.0498482502240423E-2</v>
      </c>
      <c r="AH25" s="108">
        <f t="shared" si="26"/>
        <v>0.95494777466391623</v>
      </c>
      <c r="AI25" s="108">
        <f t="shared" si="27"/>
        <v>3.7084113407310521E-2</v>
      </c>
      <c r="AJ25" s="108">
        <f t="shared" si="28"/>
        <v>20.21291628082653</v>
      </c>
    </row>
    <row r="26" spans="1:37" s="96" customFormat="1" x14ac:dyDescent="0.25">
      <c r="A26" s="176"/>
      <c r="B26" s="107">
        <v>23</v>
      </c>
      <c r="C26" s="87">
        <v>0.15258542</v>
      </c>
      <c r="D26" s="108">
        <f>C26/PROP_InOut!$E$8</f>
        <v>0.57212380952380959</v>
      </c>
      <c r="E26" s="88">
        <v>3.6288979999999998E-2</v>
      </c>
      <c r="F26" s="109">
        <f>E26*PROP_InOut!$G$8</f>
        <v>2.2755458521249997E-4</v>
      </c>
      <c r="G26" s="96">
        <f>PROP_InOut!$C$4</f>
        <v>19.5</v>
      </c>
      <c r="H26" s="110">
        <f>PROP_InOut!$C$8*PROP_Table!C26</f>
        <v>79.893539086152188</v>
      </c>
      <c r="I26" s="111">
        <f t="shared" si="15"/>
        <v>82.238844761526948</v>
      </c>
      <c r="J26" s="112">
        <f>I26/PROP_InOut!$D$8</f>
        <v>0.2376044816454933</v>
      </c>
      <c r="K26" s="110">
        <f t="shared" si="16"/>
        <v>0.23939428175440408</v>
      </c>
      <c r="L26" s="111">
        <f t="shared" si="17"/>
        <v>13.716281984093042</v>
      </c>
      <c r="M26" s="96">
        <v>0</v>
      </c>
      <c r="N26" s="96">
        <v>0</v>
      </c>
      <c r="O26" s="110">
        <f t="shared" si="18"/>
        <v>0.25898591704493457</v>
      </c>
      <c r="P26" s="87">
        <v>14.838800000000001</v>
      </c>
      <c r="Q26" s="110">
        <f t="shared" si="19"/>
        <v>1.9591635290530512E-2</v>
      </c>
      <c r="R26" s="112">
        <f t="shared" si="7"/>
        <v>1.1225180159069588</v>
      </c>
      <c r="S26" s="113">
        <f>PROP_InOut!$F$8*PROP_Table!I26*PROP_Table!E26</f>
        <v>193248.72531026448</v>
      </c>
      <c r="T26" s="110">
        <v>1.11677</v>
      </c>
      <c r="U26" s="110">
        <v>1.1310000000000001E-2</v>
      </c>
      <c r="V26" s="8">
        <f>0.5*PROP_InOut!$J$8*I26^2*E26*T26*(C26-C25)</f>
        <v>1.0716916323728802</v>
      </c>
      <c r="W26" s="8">
        <f>0.5*PROP_InOut!$J$8*I26^2*E26*U26*(C26-C25)</f>
        <v>1.0853472391036E-2</v>
      </c>
      <c r="X26" s="110">
        <f t="shared" si="20"/>
        <v>1.0385553792168072</v>
      </c>
      <c r="Y26" s="110">
        <f t="shared" si="21"/>
        <v>4.0382842571884667E-2</v>
      </c>
      <c r="Z26" s="95">
        <f t="shared" si="22"/>
        <v>21.14440692581767</v>
      </c>
      <c r="AA26" s="88">
        <f>PROP_InOut!$G$4/2*((PROP_InOut!$E$8-PROP_Table!C26)/(PROP_Table!C26*SIN(PROP_Table!K26)))</f>
        <v>3.154063904814203</v>
      </c>
      <c r="AB26" s="88">
        <f t="shared" si="23"/>
        <v>0.97282187436439882</v>
      </c>
      <c r="AC26" s="88">
        <f>PROP_InOut!$G$4/2*((C26-PROP_InOut!$J$12/2)/(C26*SIN(PROP_Table!K26)))</f>
        <v>3.7786004306723098</v>
      </c>
      <c r="AD26" s="88">
        <f t="shared" si="24"/>
        <v>0.98544900733658858</v>
      </c>
      <c r="AE26" s="88">
        <f t="shared" si="25"/>
        <v>0.95866635040771631</v>
      </c>
      <c r="AF26" s="25">
        <f>0.5*PROP_InOut!$J$8*I26^2*E26*T26*(C26-C25)</f>
        <v>1.0716916323728802</v>
      </c>
      <c r="AG26" s="25">
        <f>0.5*PROP_InOut!$J$8*I26^2*E26*U26*(C26-C25)</f>
        <v>1.0853472391036E-2</v>
      </c>
      <c r="AH26" s="108">
        <f t="shared" si="26"/>
        <v>0.99562809509007832</v>
      </c>
      <c r="AI26" s="108">
        <f t="shared" si="27"/>
        <v>3.8713672307478027E-2</v>
      </c>
      <c r="AJ26" s="108">
        <f t="shared" si="28"/>
        <v>21.14440692581767</v>
      </c>
    </row>
    <row r="27" spans="1:37" s="96" customFormat="1" x14ac:dyDescent="0.25">
      <c r="A27" s="176"/>
      <c r="B27" s="107">
        <v>24</v>
      </c>
      <c r="C27" s="87">
        <v>0.1591564</v>
      </c>
      <c r="D27" s="108">
        <f>C27/PROP_InOut!$E$8</f>
        <v>0.59676190476190483</v>
      </c>
      <c r="E27" s="88">
        <v>3.4902139999999998E-2</v>
      </c>
      <c r="F27" s="109">
        <f>E27*PROP_InOut!$G$8</f>
        <v>2.1885823163749998E-4</v>
      </c>
      <c r="G27" s="96">
        <f>PROP_InOut!$C$4</f>
        <v>19.5</v>
      </c>
      <c r="H27" s="110">
        <f>PROP_InOut!$C$8*PROP_Table!C27</f>
        <v>83.334096168633096</v>
      </c>
      <c r="I27" s="111">
        <f t="shared" si="15"/>
        <v>85.585171520789686</v>
      </c>
      <c r="J27" s="112">
        <f>I27/PROP_InOut!$D$8</f>
        <v>0.24727268938061742</v>
      </c>
      <c r="K27" s="110">
        <f t="shared" si="16"/>
        <v>0.22986205358018158</v>
      </c>
      <c r="L27" s="111">
        <f t="shared" si="17"/>
        <v>13.170125540354398</v>
      </c>
      <c r="M27" s="96">
        <v>0</v>
      </c>
      <c r="N27" s="96">
        <v>0</v>
      </c>
      <c r="O27" s="110">
        <f t="shared" si="18"/>
        <v>0.24873559834797188</v>
      </c>
      <c r="P27" s="87">
        <v>14.2515</v>
      </c>
      <c r="Q27" s="110">
        <f t="shared" si="19"/>
        <v>1.8873544767790306E-2</v>
      </c>
      <c r="R27" s="112">
        <f t="shared" si="7"/>
        <v>1.0813744596456019</v>
      </c>
      <c r="S27" s="113">
        <f>PROP_InOut!$F$8*PROP_Table!I27*PROP_Table!E27</f>
        <v>193426.27007286515</v>
      </c>
      <c r="T27" s="110">
        <v>1.10934</v>
      </c>
      <c r="U27" s="110">
        <v>1.119E-2</v>
      </c>
      <c r="V27" s="8">
        <f>0.5*PROP_InOut!$J$8*I27^2*E27*T27*(C27-C26)</f>
        <v>1.1084682908543699</v>
      </c>
      <c r="W27" s="8">
        <f>0.5*PROP_InOut!$J$8*I27^2*E27*U27*(C27-C26)</f>
        <v>1.1181207001154199E-2</v>
      </c>
      <c r="X27" s="110">
        <f t="shared" si="20"/>
        <v>1.0767656122653246</v>
      </c>
      <c r="Y27" s="110">
        <f t="shared" si="21"/>
        <v>4.1928812635383082E-2</v>
      </c>
      <c r="Z27" s="95">
        <f t="shared" si="22"/>
        <v>21.953874958177067</v>
      </c>
      <c r="AA27" s="88">
        <f>PROP_InOut!$G$4/2*((PROP_InOut!$E$8-PROP_Table!C27)/(PROP_Table!C27*SIN(PROP_Table!K27)))</f>
        <v>2.965680606112135</v>
      </c>
      <c r="AB27" s="88">
        <f t="shared" si="23"/>
        <v>0.96718338714801066</v>
      </c>
      <c r="AC27" s="88">
        <f>PROP_InOut!$G$4/2*((C27-PROP_InOut!$J$12/2)/(C27*SIN(PROP_Table!K27)))</f>
        <v>3.9512055500894085</v>
      </c>
      <c r="AD27" s="88">
        <f t="shared" si="24"/>
        <v>0.98775608996040987</v>
      </c>
      <c r="AE27" s="88">
        <f t="shared" si="25"/>
        <v>0.95534128076398439</v>
      </c>
      <c r="AF27" s="25">
        <f>0.5*PROP_InOut!$J$8*I27^2*E27*T27*(C27-C26)</f>
        <v>1.1084682908543699</v>
      </c>
      <c r="AG27" s="25">
        <f>0.5*PROP_InOut!$J$8*I27^2*E27*U27*(C27-C26)</f>
        <v>1.1181207001154199E-2</v>
      </c>
      <c r="AH27" s="108">
        <f t="shared" si="26"/>
        <v>1.0286786391041711</v>
      </c>
      <c r="AI27" s="108">
        <f t="shared" si="27"/>
        <v>4.0056325564000003E-2</v>
      </c>
      <c r="AJ27" s="108">
        <f t="shared" si="28"/>
        <v>21.953874958177067</v>
      </c>
    </row>
    <row r="28" spans="1:37" s="96" customFormat="1" x14ac:dyDescent="0.25">
      <c r="A28" s="176"/>
      <c r="B28" s="107">
        <v>25</v>
      </c>
      <c r="C28" s="87">
        <v>0.16572992</v>
      </c>
      <c r="D28" s="108">
        <f>C28/PROP_InOut!$E$8</f>
        <v>0.62140952380952386</v>
      </c>
      <c r="E28" s="88">
        <v>3.3426400000000002E-2</v>
      </c>
      <c r="F28" s="109">
        <f>E28*PROP_InOut!$G$8</f>
        <v>2.0960441949999998E-4</v>
      </c>
      <c r="G28" s="96">
        <f>PROP_InOut!$C$4</f>
        <v>19.5</v>
      </c>
      <c r="H28" s="110">
        <f>PROP_InOut!$C$8*PROP_Table!C28</f>
        <v>86.77598319200402</v>
      </c>
      <c r="I28" s="111">
        <f t="shared" si="15"/>
        <v>88.939986839098211</v>
      </c>
      <c r="J28" s="112">
        <f>I28/PROP_InOut!$D$8</f>
        <v>0.25696542226170926</v>
      </c>
      <c r="K28" s="110">
        <f t="shared" si="16"/>
        <v>0.22104463894907425</v>
      </c>
      <c r="L28" s="111">
        <f t="shared" si="17"/>
        <v>12.664924895775048</v>
      </c>
      <c r="M28" s="96">
        <v>0</v>
      </c>
      <c r="N28" s="96">
        <v>0</v>
      </c>
      <c r="O28" s="110">
        <f t="shared" si="18"/>
        <v>0.23925147919263468</v>
      </c>
      <c r="P28" s="87">
        <v>13.7081</v>
      </c>
      <c r="Q28" s="110">
        <f t="shared" si="19"/>
        <v>1.820684024356042E-2</v>
      </c>
      <c r="R28" s="112">
        <f t="shared" si="7"/>
        <v>1.043175104224952</v>
      </c>
      <c r="S28" s="113">
        <f>PROP_InOut!$F$8*PROP_Table!I28*PROP_Table!E28</f>
        <v>192509.22353619823</v>
      </c>
      <c r="T28" s="110">
        <v>1.1029899999999999</v>
      </c>
      <c r="U28" s="110">
        <v>1.1089999999999999E-2</v>
      </c>
      <c r="V28" s="8">
        <f>0.5*PROP_InOut!$J$8*I28^2*E28*T28*(C28-C27)</f>
        <v>1.14033548828183</v>
      </c>
      <c r="W28" s="8">
        <f>0.5*PROP_InOut!$J$8*I28^2*E28*U28*(C28-C27)</f>
        <v>1.146548977329395E-2</v>
      </c>
      <c r="X28" s="110">
        <f t="shared" si="20"/>
        <v>1.1100761268654533</v>
      </c>
      <c r="Y28" s="110">
        <f t="shared" si="21"/>
        <v>4.3289300968125798E-2</v>
      </c>
      <c r="Z28" s="95">
        <f t="shared" si="22"/>
        <v>22.666224983416921</v>
      </c>
      <c r="AA28" s="88">
        <f>PROP_InOut!$G$4/2*((PROP_InOut!$E$8-PROP_Table!C28)/(PROP_Table!C28*SIN(PROP_Table!K28)))</f>
        <v>2.7787804140005723</v>
      </c>
      <c r="AB28" s="88">
        <f t="shared" si="23"/>
        <v>0.96043139105155584</v>
      </c>
      <c r="AC28" s="88">
        <f>PROP_InOut!$G$4/2*((C28-PROP_InOut!$J$12/2)/(C28*SIN(PROP_Table!K28)))</f>
        <v>4.1241317887202102</v>
      </c>
      <c r="AD28" s="88">
        <f t="shared" si="24"/>
        <v>0.9897006127010588</v>
      </c>
      <c r="AE28" s="88">
        <f t="shared" si="25"/>
        <v>0.95053953618105502</v>
      </c>
      <c r="AF28" s="25">
        <f>0.5*PROP_InOut!$J$8*I28^2*E28*T28*(C28-C27)</f>
        <v>1.14033548828183</v>
      </c>
      <c r="AG28" s="25">
        <f>0.5*PROP_InOut!$J$8*I28^2*E28*U28*(C28-C27)</f>
        <v>1.146548977329395E-2</v>
      </c>
      <c r="AH28" s="108">
        <f t="shared" si="26"/>
        <v>1.0551712467563499</v>
      </c>
      <c r="AI28" s="108">
        <f t="shared" si="27"/>
        <v>4.1148192063844395E-2</v>
      </c>
      <c r="AJ28" s="108">
        <f t="shared" si="28"/>
        <v>22.666224983416921</v>
      </c>
    </row>
    <row r="29" spans="1:37" s="96" customFormat="1" x14ac:dyDescent="0.25">
      <c r="A29" s="176"/>
      <c r="B29" s="107">
        <v>26</v>
      </c>
      <c r="C29" s="87">
        <v>0.17230344</v>
      </c>
      <c r="D29" s="108">
        <f>C29/PROP_InOut!$E$8</f>
        <v>0.64605714285714289</v>
      </c>
      <c r="E29" s="88">
        <v>3.1879540000000005E-2</v>
      </c>
      <c r="F29" s="109">
        <f>E29*PROP_InOut!$G$8</f>
        <v>1.9990464051250002E-4</v>
      </c>
      <c r="G29" s="96">
        <f>PROP_InOut!$C$4</f>
        <v>19.5</v>
      </c>
      <c r="H29" s="110">
        <f>PROP_InOut!$C$8*PROP_Table!C29</f>
        <v>90.217870215374958</v>
      </c>
      <c r="I29" s="111">
        <f t="shared" si="15"/>
        <v>92.301214001757529</v>
      </c>
      <c r="J29" s="112">
        <f>I29/PROP_InOut!$D$8</f>
        <v>0.26667668024438512</v>
      </c>
      <c r="K29" s="110">
        <f t="shared" si="16"/>
        <v>0.21286881395628063</v>
      </c>
      <c r="L29" s="111">
        <f t="shared" si="17"/>
        <v>12.196484629650396</v>
      </c>
      <c r="M29" s="96">
        <v>0</v>
      </c>
      <c r="N29" s="96">
        <v>0</v>
      </c>
      <c r="O29" s="110">
        <f t="shared" si="18"/>
        <v>0.23044978377482728</v>
      </c>
      <c r="P29" s="87">
        <v>13.203799999999999</v>
      </c>
      <c r="Q29" s="110">
        <f t="shared" si="19"/>
        <v>1.7580969818546646E-2</v>
      </c>
      <c r="R29" s="112">
        <f t="shared" si="7"/>
        <v>1.0073153703496036</v>
      </c>
      <c r="S29" s="113">
        <f>PROP_InOut!$F$8*PROP_Table!I29*PROP_Table!E29</f>
        <v>190539.19890537619</v>
      </c>
      <c r="T29" s="110">
        <v>1.0972900000000001</v>
      </c>
      <c r="U29" s="110">
        <v>1.1010000000000001E-2</v>
      </c>
      <c r="V29" s="8">
        <f>0.5*PROP_InOut!$J$8*I29^2*E29*T29*(C29-C28)</f>
        <v>1.1652674933656606</v>
      </c>
      <c r="W29" s="8">
        <f>0.5*PROP_InOut!$J$8*I29^2*E29*U29*(C29-C28)</f>
        <v>1.1692073291432457E-2</v>
      </c>
      <c r="X29" s="110">
        <f t="shared" si="20"/>
        <v>1.1364959517377322</v>
      </c>
      <c r="Y29" s="110">
        <f t="shared" si="21"/>
        <v>4.4386779918127124E-2</v>
      </c>
      <c r="Z29" s="95">
        <f t="shared" si="22"/>
        <v>23.240863617882525</v>
      </c>
      <c r="AA29" s="88">
        <f>PROP_InOut!$G$4/2*((PROP_InOut!$E$8-PROP_Table!C29)/(PROP_Table!C29*SIN(PROP_Table!K29)))</f>
        <v>2.5931940813223111</v>
      </c>
      <c r="AB29" s="88">
        <f t="shared" si="23"/>
        <v>0.95234857965932151</v>
      </c>
      <c r="AC29" s="88">
        <f>PROP_InOut!$G$4/2*((C29-PROP_InOut!$J$12/2)/(C29*SIN(PROP_Table!K29)))</f>
        <v>4.2972890617887174</v>
      </c>
      <c r="AD29" s="88">
        <f t="shared" si="24"/>
        <v>0.99133827092300186</v>
      </c>
      <c r="AE29" s="88">
        <f t="shared" si="25"/>
        <v>0.94409959427544854</v>
      </c>
      <c r="AF29" s="25">
        <f>0.5*PROP_InOut!$J$8*I29^2*E29*T29*(C29-C28)</f>
        <v>1.1652674933656606</v>
      </c>
      <c r="AG29" s="25">
        <f>0.5*PROP_InOut!$J$8*I29^2*E29*U29*(C29-C28)</f>
        <v>1.1692073291432457E-2</v>
      </c>
      <c r="AH29" s="108">
        <f t="shared" si="26"/>
        <v>1.0729653669312826</v>
      </c>
      <c r="AI29" s="108">
        <f t="shared" si="27"/>
        <v>4.1905540911897445E-2</v>
      </c>
      <c r="AJ29" s="108">
        <f t="shared" si="28"/>
        <v>23.240863617882525</v>
      </c>
    </row>
    <row r="30" spans="1:37" s="96" customFormat="1" x14ac:dyDescent="0.25">
      <c r="A30" s="176"/>
      <c r="B30" s="107">
        <v>27</v>
      </c>
      <c r="C30" s="87">
        <v>0.17887442000000001</v>
      </c>
      <c r="D30" s="108">
        <f>C30/PROP_InOut!$E$8</f>
        <v>0.67069523809523812</v>
      </c>
      <c r="E30" s="88">
        <v>3.0279339999999998E-2</v>
      </c>
      <c r="F30" s="109">
        <f>E30*PROP_InOut!$G$8</f>
        <v>1.8987038638749998E-4</v>
      </c>
      <c r="G30" s="96">
        <f>PROP_InOut!$C$4</f>
        <v>19.5</v>
      </c>
      <c r="H30" s="110">
        <f>PROP_InOut!$C$8*PROP_Table!C30</f>
        <v>93.658427297855866</v>
      </c>
      <c r="I30" s="111">
        <f t="shared" si="15"/>
        <v>95.666875165376609</v>
      </c>
      <c r="J30" s="112">
        <f>I30/PROP_InOut!$D$8</f>
        <v>0.2764007489432464</v>
      </c>
      <c r="K30" s="110">
        <f t="shared" si="16"/>
        <v>0.20527082678544312</v>
      </c>
      <c r="L30" s="111">
        <f t="shared" si="17"/>
        <v>11.761152031966862</v>
      </c>
      <c r="M30" s="96">
        <v>0</v>
      </c>
      <c r="N30" s="96">
        <v>0</v>
      </c>
      <c r="O30" s="110">
        <f t="shared" si="18"/>
        <v>0.22226418958297386</v>
      </c>
      <c r="P30" s="87">
        <v>12.7348</v>
      </c>
      <c r="Q30" s="110">
        <f t="shared" si="19"/>
        <v>1.6993362797530751E-2</v>
      </c>
      <c r="R30" s="112">
        <f t="shared" si="7"/>
        <v>0.9736479680331378</v>
      </c>
      <c r="S30" s="113">
        <f>PROP_InOut!$F$8*PROP_Table!I30*PROP_Table!E30</f>
        <v>187574.09886772657</v>
      </c>
      <c r="T30" s="110">
        <v>1.0922099999999999</v>
      </c>
      <c r="U30" s="110">
        <v>1.098E-2</v>
      </c>
      <c r="V30" s="8">
        <f>0.5*PROP_InOut!$J$8*I30^2*E30*T30*(C30-C29)</f>
        <v>1.1830013069636143</v>
      </c>
      <c r="W30" s="8">
        <f>0.5*PROP_InOut!$J$8*I30^2*E30*U30*(C30-C29)</f>
        <v>1.189272607873988E-2</v>
      </c>
      <c r="X30" s="110">
        <f t="shared" si="20"/>
        <v>1.1557410394334735</v>
      </c>
      <c r="Y30" s="110">
        <f t="shared" si="21"/>
        <v>4.5215327677287392E-2</v>
      </c>
      <c r="Z30" s="95">
        <f t="shared" si="22"/>
        <v>23.674690210103556</v>
      </c>
      <c r="AA30" s="88">
        <f>PROP_InOut!$G$4/2*((PROP_InOut!$E$8-PROP_Table!C30)/(PROP_Table!C30*SIN(PROP_Table!K30)))</f>
        <v>2.4087945791262304</v>
      </c>
      <c r="AB30" s="88">
        <f t="shared" si="23"/>
        <v>0.94267540761597002</v>
      </c>
      <c r="AC30" s="88">
        <f>PROP_InOut!$G$4/2*((C30-PROP_InOut!$J$12/2)/(C30*SIN(PROP_Table!K30)))</f>
        <v>4.4705895400488069</v>
      </c>
      <c r="AD30" s="88">
        <f t="shared" si="24"/>
        <v>0.99271654855732139</v>
      </c>
      <c r="AE30" s="88">
        <f t="shared" si="25"/>
        <v>0.93580947705839179</v>
      </c>
      <c r="AF30" s="25">
        <f>0.5*PROP_InOut!$J$8*I30^2*E30*T30*(C30-C29)</f>
        <v>1.1830013069636143</v>
      </c>
      <c r="AG30" s="25">
        <f>0.5*PROP_InOut!$J$8*I30^2*E30*U30*(C30-C29)</f>
        <v>1.189272607873988E-2</v>
      </c>
      <c r="AH30" s="108">
        <f t="shared" si="26"/>
        <v>1.0815534177271611</v>
      </c>
      <c r="AI30" s="108">
        <f t="shared" si="27"/>
        <v>4.2312932148706142E-2</v>
      </c>
      <c r="AJ30" s="108">
        <f t="shared" si="28"/>
        <v>23.674690210103556</v>
      </c>
    </row>
    <row r="31" spans="1:37" s="96" customFormat="1" x14ac:dyDescent="0.25">
      <c r="A31" s="176"/>
      <c r="B31" s="107">
        <v>28</v>
      </c>
      <c r="C31" s="87">
        <v>0.18544793999999998</v>
      </c>
      <c r="D31" s="108">
        <f>C31/PROP_InOut!$E$8</f>
        <v>0.69534285714285704</v>
      </c>
      <c r="E31" s="88">
        <v>2.8638499999999997E-2</v>
      </c>
      <c r="F31" s="109">
        <f>E31*PROP_InOut!$G$8</f>
        <v>1.7958129406249996E-4</v>
      </c>
      <c r="G31" s="96">
        <f>PROP_InOut!$C$4</f>
        <v>19.5</v>
      </c>
      <c r="H31" s="110">
        <f>PROP_InOut!$C$8*PROP_Table!C31</f>
        <v>97.100314321226776</v>
      </c>
      <c r="I31" s="111">
        <f t="shared" si="15"/>
        <v>99.038987481097763</v>
      </c>
      <c r="J31" s="112">
        <f>I31/PROP_InOut!$D$8</f>
        <v>0.28614345631165222</v>
      </c>
      <c r="K31" s="110">
        <f t="shared" si="16"/>
        <v>0.19818701401119695</v>
      </c>
      <c r="L31" s="111">
        <f t="shared" si="17"/>
        <v>11.355279457141698</v>
      </c>
      <c r="M31" s="96">
        <v>0</v>
      </c>
      <c r="N31" s="96">
        <v>0</v>
      </c>
      <c r="O31" s="110">
        <f t="shared" si="18"/>
        <v>0.21463011943475069</v>
      </c>
      <c r="P31" s="87">
        <v>12.2974</v>
      </c>
      <c r="Q31" s="110">
        <f t="shared" si="19"/>
        <v>1.6443105423553709E-2</v>
      </c>
      <c r="R31" s="112">
        <f t="shared" si="7"/>
        <v>0.94212054285830149</v>
      </c>
      <c r="S31" s="113">
        <f>PROP_InOut!$F$8*PROP_Table!I31*PROP_Table!E31</f>
        <v>183662.85645009571</v>
      </c>
      <c r="T31" s="110">
        <v>1.0875900000000001</v>
      </c>
      <c r="U31" s="110">
        <v>1.098E-2</v>
      </c>
      <c r="V31" s="8">
        <f>0.5*PROP_InOut!$J$8*I31^2*E31*T31*(C31-C30)</f>
        <v>1.1945523689877968</v>
      </c>
      <c r="W31" s="8">
        <f>0.5*PROP_InOut!$J$8*I31^2*E31*U31*(C31-C30)</f>
        <v>1.2059861723154873E-2</v>
      </c>
      <c r="X31" s="110">
        <f t="shared" si="20"/>
        <v>1.1687946953251362</v>
      </c>
      <c r="Y31" s="110">
        <f t="shared" si="21"/>
        <v>4.5809681326423241E-2</v>
      </c>
      <c r="Z31" s="95">
        <f t="shared" si="22"/>
        <v>23.985893053063464</v>
      </c>
      <c r="AA31" s="88">
        <f>PROP_InOut!$G$4/2*((PROP_InOut!$E$8-PROP_Table!C31)/(PROP_Table!C31*SIN(PROP_Table!K31)))</f>
        <v>2.2252763250868322</v>
      </c>
      <c r="AB31" s="88">
        <f t="shared" si="23"/>
        <v>0.93108664570210631</v>
      </c>
      <c r="AC31" s="88">
        <f>PROP_InOut!$G$4/2*((C31-PROP_InOut!$J$12/2)/(C31*SIN(PROP_Table!K31)))</f>
        <v>4.6441486992129155</v>
      </c>
      <c r="AD31" s="88">
        <f t="shared" si="24"/>
        <v>0.99387707886836629</v>
      </c>
      <c r="AE31" s="88">
        <f t="shared" si="25"/>
        <v>0.92538567560375495</v>
      </c>
      <c r="AF31" s="25">
        <f>0.5*PROP_InOut!$J$8*I31^2*E31*T31*(C31-C30)</f>
        <v>1.1945523689877968</v>
      </c>
      <c r="AG31" s="25">
        <f>0.5*PROP_InOut!$J$8*I31^2*E31*U31*(C31-C30)</f>
        <v>1.2059861723154873E-2</v>
      </c>
      <c r="AH31" s="108">
        <f t="shared" si="26"/>
        <v>1.0815858687755362</v>
      </c>
      <c r="AI31" s="108">
        <f t="shared" si="27"/>
        <v>4.2391622903444885E-2</v>
      </c>
      <c r="AJ31" s="108">
        <f t="shared" si="28"/>
        <v>23.985893053063464</v>
      </c>
    </row>
    <row r="32" spans="1:37" s="96" customFormat="1" x14ac:dyDescent="0.25">
      <c r="A32" s="176"/>
      <c r="B32" s="107">
        <v>29</v>
      </c>
      <c r="C32" s="87">
        <v>0.19202145999999998</v>
      </c>
      <c r="D32" s="108">
        <f>C32/PROP_InOut!$E$8</f>
        <v>0.71999047619047607</v>
      </c>
      <c r="E32" s="88">
        <v>2.69748E-2</v>
      </c>
      <c r="F32" s="109">
        <f>E32*PROP_InOut!$G$8</f>
        <v>1.6914885524999998E-4</v>
      </c>
      <c r="G32" s="96">
        <f>PROP_InOut!$C$4</f>
        <v>19.5</v>
      </c>
      <c r="H32" s="110">
        <f>PROP_InOut!$C$8*PROP_Table!C32</f>
        <v>100.54220134459771</v>
      </c>
      <c r="I32" s="111">
        <f t="shared" si="15"/>
        <v>102.41574220410466</v>
      </c>
      <c r="J32" s="112">
        <f>I32/PROP_InOut!$D$8</f>
        <v>0.29589957652382926</v>
      </c>
      <c r="K32" s="110">
        <f t="shared" si="16"/>
        <v>0.19157000870118374</v>
      </c>
      <c r="L32" s="111">
        <f t="shared" si="17"/>
        <v>10.976152979862285</v>
      </c>
      <c r="M32" s="96">
        <v>0</v>
      </c>
      <c r="N32" s="96">
        <v>0</v>
      </c>
      <c r="O32" s="110">
        <f t="shared" si="18"/>
        <v>0.20749521345259786</v>
      </c>
      <c r="P32" s="87">
        <v>11.8886</v>
      </c>
      <c r="Q32" s="110">
        <f t="shared" si="19"/>
        <v>1.5925204751414145E-2</v>
      </c>
      <c r="R32" s="112">
        <f t="shared" si="7"/>
        <v>0.91244702013771573</v>
      </c>
      <c r="S32" s="113">
        <f>PROP_InOut!$F$8*PROP_Table!I32*PROP_Table!E32</f>
        <v>178891.54942872329</v>
      </c>
      <c r="T32" s="110">
        <v>1.0834900000000001</v>
      </c>
      <c r="U32" s="110">
        <v>1.1010000000000001E-2</v>
      </c>
      <c r="V32" s="8">
        <f>0.5*PROP_InOut!$J$8*I32^2*E32*T32*(C32-C31)</f>
        <v>1.1986542004756786</v>
      </c>
      <c r="W32" s="8">
        <f>0.5*PROP_InOut!$J$8*I32^2*E32*U32*(C32-C31)</f>
        <v>1.2180253391574653E-2</v>
      </c>
      <c r="X32" s="110">
        <f t="shared" si="20"/>
        <v>1.1744075123327788</v>
      </c>
      <c r="Y32" s="110">
        <f t="shared" si="21"/>
        <v>4.6120039440939876E-2</v>
      </c>
      <c r="Z32" s="95">
        <f t="shared" si="22"/>
        <v>24.148396181821376</v>
      </c>
      <c r="AA32" s="88">
        <f>PROP_InOut!$G$4/2*((PROP_InOut!$E$8-PROP_Table!C32)/(PROP_Table!C32*SIN(PROP_Table!K32)))</f>
        <v>2.0425756795337358</v>
      </c>
      <c r="AB32" s="88">
        <f t="shared" si="23"/>
        <v>0.91720085139711927</v>
      </c>
      <c r="AC32" s="88">
        <f>PROP_InOut!$G$4/2*((C32-PROP_InOut!$J$12/2)/(C32*SIN(PROP_Table!K32)))</f>
        <v>4.8178830924113116</v>
      </c>
      <c r="AD32" s="88">
        <f t="shared" si="24"/>
        <v>0.99485358491097986</v>
      </c>
      <c r="AE32" s="88">
        <f t="shared" si="25"/>
        <v>0.91248055509582704</v>
      </c>
      <c r="AF32" s="25">
        <f>0.5*PROP_InOut!$J$8*I32^2*E32*T32*(C32-C31)</f>
        <v>1.1986542004756786</v>
      </c>
      <c r="AG32" s="25">
        <f>0.5*PROP_InOut!$J$8*I32^2*E32*U32*(C32-C31)</f>
        <v>1.2180253391574653E-2</v>
      </c>
      <c r="AH32" s="108">
        <f t="shared" si="26"/>
        <v>1.0716240187621233</v>
      </c>
      <c r="AI32" s="108">
        <f t="shared" si="27"/>
        <v>4.2083639190110253E-2</v>
      </c>
      <c r="AJ32" s="108">
        <f t="shared" si="28"/>
        <v>24.148396181821376</v>
      </c>
    </row>
    <row r="33" spans="1:36" s="96" customFormat="1" x14ac:dyDescent="0.25">
      <c r="A33" s="176"/>
      <c r="B33" s="107">
        <v>30</v>
      </c>
      <c r="C33" s="87">
        <v>0.19859243999999998</v>
      </c>
      <c r="D33" s="108">
        <f>C33/PROP_InOut!$E$8</f>
        <v>0.74462857142857142</v>
      </c>
      <c r="E33" s="88">
        <v>2.5306019999999999E-2</v>
      </c>
      <c r="F33" s="109">
        <f>E33*PROP_InOut!$G$8</f>
        <v>1.5868456166249998E-4</v>
      </c>
      <c r="G33" s="96">
        <f>PROP_InOut!$C$4</f>
        <v>19.5</v>
      </c>
      <c r="H33" s="110">
        <f>PROP_InOut!$C$8*PROP_Table!C33</f>
        <v>103.98275842707862</v>
      </c>
      <c r="I33" s="111">
        <f t="shared" si="15"/>
        <v>105.79538765987952</v>
      </c>
      <c r="J33" s="112">
        <f>I33/PROP_InOut!$D$8</f>
        <v>0.30566404864151886</v>
      </c>
      <c r="K33" s="110">
        <f t="shared" si="16"/>
        <v>0.18537798367000138</v>
      </c>
      <c r="L33" s="111">
        <f t="shared" si="17"/>
        <v>10.621376078936175</v>
      </c>
      <c r="M33" s="96">
        <v>0</v>
      </c>
      <c r="N33" s="96">
        <v>0</v>
      </c>
      <c r="O33" s="110">
        <f t="shared" si="18"/>
        <v>0.20081409307596357</v>
      </c>
      <c r="P33" s="87">
        <v>11.505800000000001</v>
      </c>
      <c r="Q33" s="110">
        <f t="shared" si="19"/>
        <v>1.5436109405962194E-2</v>
      </c>
      <c r="R33" s="112">
        <f t="shared" si="7"/>
        <v>0.88442392106382606</v>
      </c>
      <c r="S33" s="113">
        <f>PROP_InOut!$F$8*PROP_Table!I33*PROP_Table!E33</f>
        <v>173362.61800895032</v>
      </c>
      <c r="T33" s="110">
        <v>1.07958</v>
      </c>
      <c r="U33" s="110">
        <v>1.107E-2</v>
      </c>
      <c r="V33" s="8">
        <f>0.5*PROP_InOut!$J$8*I33^2*E33*T33*(C33-C32)</f>
        <v>1.1951478652160978</v>
      </c>
      <c r="W33" s="8">
        <f>0.5*PROP_InOut!$J$8*I33^2*E33*U33*(C33-C32)</f>
        <v>1.225503146403435E-2</v>
      </c>
      <c r="X33" s="110">
        <f t="shared" si="20"/>
        <v>1.1724121569327477</v>
      </c>
      <c r="Y33" s="110">
        <f t="shared" si="21"/>
        <v>4.6139456374978967E-2</v>
      </c>
      <c r="Z33" s="95">
        <f t="shared" si="22"/>
        <v>24.158562864710113</v>
      </c>
      <c r="AA33" s="88">
        <f>PROP_InOut!$G$4/2*((PROP_InOut!$E$8-PROP_Table!C33)/(PROP_Table!C33*SIN(PROP_Table!K33)))</f>
        <v>1.8606501949080072</v>
      </c>
      <c r="AB33" s="88">
        <f t="shared" si="23"/>
        <v>0.90055622528030688</v>
      </c>
      <c r="AC33" s="88">
        <f>PROP_InOut!$G$4/2*((C33-PROP_InOut!$J$12/2)/(C33*SIN(PROP_Table!K33)))</f>
        <v>4.9917107638137681</v>
      </c>
      <c r="AD33" s="88">
        <f t="shared" si="24"/>
        <v>0.99567475189890653</v>
      </c>
      <c r="AE33" s="88">
        <f t="shared" si="25"/>
        <v>0.89666109617698531</v>
      </c>
      <c r="AF33" s="25">
        <f>0.5*PROP_InOut!$J$8*I33^2*E33*T33*(C33-C32)</f>
        <v>1.1951478652160978</v>
      </c>
      <c r="AG33" s="25">
        <f>0.5*PROP_InOut!$J$8*I33^2*E33*U33*(C33-C32)</f>
        <v>1.225503146403435E-2</v>
      </c>
      <c r="AH33" s="108">
        <f t="shared" si="26"/>
        <v>1.0512563698065414</v>
      </c>
      <c r="AI33" s="108">
        <f t="shared" si="27"/>
        <v>4.1371455530198831E-2</v>
      </c>
      <c r="AJ33" s="108">
        <f t="shared" si="28"/>
        <v>24.158562864710113</v>
      </c>
    </row>
    <row r="34" spans="1:36" s="96" customFormat="1" x14ac:dyDescent="0.25">
      <c r="A34" s="176"/>
      <c r="B34" s="107">
        <v>31</v>
      </c>
      <c r="C34" s="87">
        <v>0.20516596000000001</v>
      </c>
      <c r="D34" s="108">
        <f>C34/PROP_InOut!$E$8</f>
        <v>0.76927619047619056</v>
      </c>
      <c r="E34" s="88">
        <v>2.3649940000000001E-2</v>
      </c>
      <c r="F34" s="109">
        <f>E34*PROP_InOut!$G$8</f>
        <v>1.4829990501249998E-4</v>
      </c>
      <c r="G34" s="96">
        <f>PROP_InOut!$C$4</f>
        <v>19.5</v>
      </c>
      <c r="H34" s="110">
        <f>PROP_InOut!$C$8*PROP_Table!C34</f>
        <v>107.42464545044956</v>
      </c>
      <c r="I34" s="111">
        <f t="shared" si="15"/>
        <v>109.18014677657652</v>
      </c>
      <c r="J34" s="112">
        <f>I34/PROP_InOut!$D$8</f>
        <v>0.31544329514905112</v>
      </c>
      <c r="K34" s="110">
        <f t="shared" si="16"/>
        <v>0.17956735318723896</v>
      </c>
      <c r="L34" s="111">
        <f t="shared" si="17"/>
        <v>10.288451475963823</v>
      </c>
      <c r="M34" s="96">
        <v>0</v>
      </c>
      <c r="N34" s="96">
        <v>0</v>
      </c>
      <c r="O34" s="110">
        <f t="shared" si="18"/>
        <v>0.19454487040279991</v>
      </c>
      <c r="P34" s="87">
        <v>11.146599999999999</v>
      </c>
      <c r="Q34" s="110">
        <f t="shared" si="19"/>
        <v>1.4977517215560973E-2</v>
      </c>
      <c r="R34" s="112">
        <f t="shared" si="7"/>
        <v>0.85814852403617614</v>
      </c>
      <c r="S34" s="113">
        <f>PROP_InOut!$F$8*PROP_Table!I34*PROP_Table!E34</f>
        <v>167200.89301953182</v>
      </c>
      <c r="T34" s="110">
        <v>1.0766100000000001</v>
      </c>
      <c r="U34" s="110">
        <v>1.116E-2</v>
      </c>
      <c r="V34" s="8">
        <f>0.5*PROP_InOut!$J$8*I34^2*E34*T34*(C34-C33)</f>
        <v>1.1867333243719775</v>
      </c>
      <c r="W34" s="8">
        <f>0.5*PROP_InOut!$J$8*I34^2*E34*U34*(C34-C33)</f>
        <v>1.2301524135937124E-2</v>
      </c>
      <c r="X34" s="110">
        <f t="shared" si="20"/>
        <v>1.1654548070413591</v>
      </c>
      <c r="Y34" s="110">
        <f t="shared" si="21"/>
        <v>4.5969265150668771E-2</v>
      </c>
      <c r="Z34" s="95">
        <f t="shared" si="22"/>
        <v>24.069450948043716</v>
      </c>
      <c r="AA34" s="88">
        <f>PROP_InOut!$G$4/2*((PROP_InOut!$E$8-PROP_Table!C34)/(PROP_Table!C34*SIN(PROP_Table!K34)))</f>
        <v>1.6792648026556796</v>
      </c>
      <c r="AB34" s="88">
        <f t="shared" si="23"/>
        <v>0.88056397162048294</v>
      </c>
      <c r="AC34" s="88">
        <f>PROP_InOut!$G$4/2*((C34-PROP_InOut!$J$12/2)/(C34*SIN(PROP_Table!K34)))</f>
        <v>5.1657529164167384</v>
      </c>
      <c r="AD34" s="88">
        <f t="shared" si="24"/>
        <v>0.99636566885836086</v>
      </c>
      <c r="AE34" s="88">
        <f t="shared" si="25"/>
        <v>0.8773637105562172</v>
      </c>
      <c r="AF34" s="25">
        <f>0.5*PROP_InOut!$J$8*I34^2*E34*T34*(C34-C33)</f>
        <v>1.1867333243719775</v>
      </c>
      <c r="AG34" s="25">
        <f>0.5*PROP_InOut!$J$8*I34^2*E34*U34*(C34-C33)</f>
        <v>1.2301524135937124E-2</v>
      </c>
      <c r="AH34" s="108">
        <f t="shared" si="26"/>
        <v>1.0225277539913868</v>
      </c>
      <c r="AI34" s="108">
        <f t="shared" si="27"/>
        <v>4.0331765044133355E-2</v>
      </c>
      <c r="AJ34" s="108">
        <f t="shared" si="28"/>
        <v>24.069450948043716</v>
      </c>
    </row>
    <row r="35" spans="1:36" s="96" customFormat="1" x14ac:dyDescent="0.25">
      <c r="A35" s="176"/>
      <c r="B35" s="107">
        <v>32</v>
      </c>
      <c r="C35" s="87">
        <v>0.21173947999999998</v>
      </c>
      <c r="D35" s="108">
        <f>C35/PROP_InOut!$E$8</f>
        <v>0.79392380952380948</v>
      </c>
      <c r="E35" s="88">
        <v>2.2019259999999999E-2</v>
      </c>
      <c r="F35" s="109">
        <f>E35*PROP_InOut!$G$8</f>
        <v>1.3807452223749998E-4</v>
      </c>
      <c r="G35" s="96">
        <f>PROP_InOut!$C$4</f>
        <v>19.5</v>
      </c>
      <c r="H35" s="110">
        <f>PROP_InOut!$C$8*PROP_Table!C35</f>
        <v>110.86653247382048</v>
      </c>
      <c r="I35" s="111">
        <f t="shared" si="15"/>
        <v>112.56837043667591</v>
      </c>
      <c r="J35" s="112">
        <f>I35/PROP_InOut!$D$8</f>
        <v>0.3252325514158601</v>
      </c>
      <c r="K35" s="110">
        <f t="shared" si="16"/>
        <v>0.17410633870926201</v>
      </c>
      <c r="L35" s="111">
        <f t="shared" si="17"/>
        <v>9.9755583945159056</v>
      </c>
      <c r="M35" s="96">
        <v>0</v>
      </c>
      <c r="N35" s="96">
        <v>0</v>
      </c>
      <c r="O35" s="110">
        <f t="shared" si="18"/>
        <v>0.18865089351881509</v>
      </c>
      <c r="P35" s="87">
        <v>10.8089</v>
      </c>
      <c r="Q35" s="110">
        <f t="shared" si="19"/>
        <v>1.4544554809553072E-2</v>
      </c>
      <c r="R35" s="112">
        <f t="shared" si="7"/>
        <v>0.83334160548409386</v>
      </c>
      <c r="S35" s="113">
        <f>PROP_InOut!$F$8*PROP_Table!I35*PROP_Table!E35</f>
        <v>160503.3030641877</v>
      </c>
      <c r="T35" s="110">
        <v>1.0736699999999999</v>
      </c>
      <c r="U35" s="110">
        <v>1.129E-2</v>
      </c>
      <c r="V35" s="8">
        <f>0.5*PROP_InOut!$J$8*I35^2*E35*T35*(C35-C34)</f>
        <v>1.1713417793037504</v>
      </c>
      <c r="W35" s="8">
        <f>0.5*PROP_InOut!$J$8*I35^2*E35*U35*(C35-C34)</f>
        <v>1.2317051504036941E-2</v>
      </c>
      <c r="X35" s="110">
        <f t="shared" si="20"/>
        <v>1.1514994701083536</v>
      </c>
      <c r="Y35" s="110">
        <f t="shared" si="21"/>
        <v>4.5532478673703761E-2</v>
      </c>
      <c r="Z35" s="95">
        <f t="shared" si="22"/>
        <v>23.840750083506943</v>
      </c>
      <c r="AA35" s="88">
        <f>PROP_InOut!$G$4/2*((PROP_InOut!$E$8-PROP_Table!C35)/(PROP_Table!C35*SIN(PROP_Table!K35)))</f>
        <v>1.4984103311591854</v>
      </c>
      <c r="AB35" s="88">
        <f t="shared" si="23"/>
        <v>0.85651316402342037</v>
      </c>
      <c r="AC35" s="88">
        <f>PROP_InOut!$G$4/2*((C35-PROP_InOut!$J$12/2)/(C35*SIN(PROP_Table!K35)))</f>
        <v>5.3399305599568843</v>
      </c>
      <c r="AD35" s="88">
        <f t="shared" si="24"/>
        <v>0.99694663015566964</v>
      </c>
      <c r="AE35" s="88">
        <f t="shared" si="25"/>
        <v>0.85389791255711933</v>
      </c>
      <c r="AF35" s="25">
        <f>0.5*PROP_InOut!$J$8*I35^2*E35*T35*(C35-C34)</f>
        <v>1.1713417793037504</v>
      </c>
      <c r="AG35" s="25">
        <f>0.5*PROP_InOut!$J$8*I35^2*E35*U35*(C35-C34)</f>
        <v>1.2317051504036941E-2</v>
      </c>
      <c r="AH35" s="108">
        <f t="shared" si="26"/>
        <v>0.98326299383615223</v>
      </c>
      <c r="AI35" s="108">
        <f t="shared" si="27"/>
        <v>3.8880088493027196E-2</v>
      </c>
      <c r="AJ35" s="108">
        <f t="shared" si="28"/>
        <v>23.840750083506943</v>
      </c>
    </row>
    <row r="36" spans="1:36" s="96" customFormat="1" x14ac:dyDescent="0.25">
      <c r="A36" s="176"/>
      <c r="B36" s="107">
        <v>33</v>
      </c>
      <c r="C36" s="87">
        <v>0.21831046000000001</v>
      </c>
      <c r="D36" s="108">
        <f>C36/PROP_InOut!$E$8</f>
        <v>0.81856190476190482</v>
      </c>
      <c r="E36" s="88">
        <v>2.043176E-2</v>
      </c>
      <c r="F36" s="109">
        <f>E36*PROP_InOut!$G$8</f>
        <v>1.2811990504999998E-4</v>
      </c>
      <c r="G36" s="96">
        <f>PROP_InOut!$C$4</f>
        <v>19.5</v>
      </c>
      <c r="H36" s="110">
        <f>PROP_InOut!$C$8*PROP_Table!C36</f>
        <v>114.30708955630141</v>
      </c>
      <c r="I36" s="111">
        <f t="shared" si="15"/>
        <v>115.95844394796056</v>
      </c>
      <c r="J36" s="112">
        <f>I36/PROP_InOut!$D$8</f>
        <v>0.33502715227296914</v>
      </c>
      <c r="K36" s="110">
        <f t="shared" si="16"/>
        <v>0.16896653500458975</v>
      </c>
      <c r="L36" s="111">
        <f t="shared" si="17"/>
        <v>9.6810693347124808</v>
      </c>
      <c r="M36" s="96">
        <v>0</v>
      </c>
      <c r="N36" s="96">
        <v>0</v>
      </c>
      <c r="O36" s="110">
        <f t="shared" si="18"/>
        <v>0.18309900116822111</v>
      </c>
      <c r="P36" s="87">
        <v>10.4908</v>
      </c>
      <c r="Q36" s="110">
        <f t="shared" si="19"/>
        <v>1.413246616363137E-2</v>
      </c>
      <c r="R36" s="112">
        <f t="shared" si="7"/>
        <v>0.80973066528751936</v>
      </c>
      <c r="S36" s="113">
        <f>PROP_InOut!$F$8*PROP_Table!I36*PROP_Table!E36</f>
        <v>153416.83996759917</v>
      </c>
      <c r="T36" s="110">
        <v>1.0712200000000001</v>
      </c>
      <c r="U36" s="110">
        <v>1.145E-2</v>
      </c>
      <c r="V36" s="8">
        <f>0.5*PROP_InOut!$J$8*I36^2*E36*T36*(C36-C35)</f>
        <v>1.1502671128577269</v>
      </c>
      <c r="W36" s="8">
        <f>0.5*PROP_InOut!$J$8*I36^2*E36*U36*(C36-C35)</f>
        <v>1.2294914622786143E-2</v>
      </c>
      <c r="X36" s="110">
        <f t="shared" si="20"/>
        <v>1.1318186979712432</v>
      </c>
      <c r="Y36" s="110">
        <f t="shared" si="21"/>
        <v>4.4874367308674987E-2</v>
      </c>
      <c r="Z36" s="95">
        <f t="shared" si="22"/>
        <v>23.496163778570551</v>
      </c>
      <c r="AA36" s="88">
        <f>PROP_InOut!$G$4/2*((PROP_InOut!$E$8-PROP_Table!C36)/(PROP_Table!C36*SIN(PROP_Table!K36)))</f>
        <v>1.3180889416249502</v>
      </c>
      <c r="AB36" s="88">
        <f t="shared" si="23"/>
        <v>0.82750826732730098</v>
      </c>
      <c r="AC36" s="88">
        <f>PROP_InOut!$G$4/2*((C36-PROP_InOut!$J$12/2)/(C36*SIN(PROP_Table!K36)))</f>
        <v>5.5141656899148055</v>
      </c>
      <c r="AD36" s="88">
        <f t="shared" si="24"/>
        <v>0.99743486889685518</v>
      </c>
      <c r="AE36" s="88">
        <f t="shared" si="25"/>
        <v>0.82538560013267026</v>
      </c>
      <c r="AF36" s="25">
        <f>0.5*PROP_InOut!$J$8*I36^2*E36*T36*(C36-C35)</f>
        <v>1.1502671128577269</v>
      </c>
      <c r="AG36" s="25">
        <f>0.5*PROP_InOut!$J$8*I36^2*E36*U36*(C36-C35)</f>
        <v>1.2294914622786143E-2</v>
      </c>
      <c r="AH36" s="108">
        <f t="shared" si="26"/>
        <v>0.93418685526637202</v>
      </c>
      <c r="AI36" s="108">
        <f t="shared" si="27"/>
        <v>3.7038656591644584E-2</v>
      </c>
      <c r="AJ36" s="108">
        <f t="shared" si="28"/>
        <v>23.496163778570551</v>
      </c>
    </row>
    <row r="37" spans="1:36" s="96" customFormat="1" x14ac:dyDescent="0.25">
      <c r="A37" s="176"/>
      <c r="B37" s="107">
        <v>34</v>
      </c>
      <c r="C37" s="87">
        <v>0.22488397999999998</v>
      </c>
      <c r="D37" s="108">
        <f>C37/PROP_InOut!$E$8</f>
        <v>0.84320952380952374</v>
      </c>
      <c r="E37" s="88">
        <v>1.8905219999999997E-2</v>
      </c>
      <c r="F37" s="109">
        <f>E37*PROP_InOut!$G$8</f>
        <v>1.1854754516249997E-4</v>
      </c>
      <c r="G37" s="96">
        <f>PROP_InOut!$C$4</f>
        <v>19.5</v>
      </c>
      <c r="H37" s="110">
        <f>PROP_InOut!$C$8*PROP_Table!C37</f>
        <v>117.74897657967232</v>
      </c>
      <c r="I37" s="111">
        <f t="shared" si="15"/>
        <v>119.35271880254852</v>
      </c>
      <c r="J37" s="112">
        <f>I37/PROP_InOut!$D$8</f>
        <v>0.34483389165173045</v>
      </c>
      <c r="K37" s="110">
        <f t="shared" si="16"/>
        <v>0.16411702087348878</v>
      </c>
      <c r="L37" s="111">
        <f t="shared" si="17"/>
        <v>9.4032126423113418</v>
      </c>
      <c r="M37" s="96">
        <v>0</v>
      </c>
      <c r="N37" s="96">
        <v>0</v>
      </c>
      <c r="O37" s="110">
        <f t="shared" si="18"/>
        <v>0.17786126808298613</v>
      </c>
      <c r="P37" s="87">
        <v>10.1907</v>
      </c>
      <c r="Q37" s="110">
        <f t="shared" si="19"/>
        <v>1.3744247209497363E-2</v>
      </c>
      <c r="R37" s="112">
        <f t="shared" si="7"/>
        <v>0.78748735768865785</v>
      </c>
      <c r="S37" s="113">
        <f>PROP_InOut!$F$8*PROP_Table!I37*PROP_Table!E37</f>
        <v>146109.65917664955</v>
      </c>
      <c r="T37" s="110">
        <v>1.0688200000000001</v>
      </c>
      <c r="U37" s="110">
        <v>1.1650000000000001E-2</v>
      </c>
      <c r="V37" s="8">
        <f>0.5*PROP_InOut!$J$8*I37^2*E37*T37*(C37-C36)</f>
        <v>1.1254553706943027</v>
      </c>
      <c r="W37" s="8">
        <f>0.5*PROP_InOut!$J$8*I37^2*E37*U37*(C37-C36)</f>
        <v>1.22673182281288E-2</v>
      </c>
      <c r="X37" s="110">
        <f t="shared" si="20"/>
        <v>1.1083283791694969</v>
      </c>
      <c r="Y37" s="110">
        <f t="shared" si="21"/>
        <v>4.4072947172918105E-2</v>
      </c>
      <c r="Z37" s="95">
        <f t="shared" si="22"/>
        <v>23.076541176748428</v>
      </c>
      <c r="AA37" s="88">
        <f>PROP_InOut!$G$4/2*((PROP_InOut!$E$8-PROP_Table!C37)/(PROP_Table!C37*SIN(PROP_Table!K37)))</f>
        <v>1.1381038202173375</v>
      </c>
      <c r="AB37" s="88">
        <f t="shared" si="23"/>
        <v>0.79234787317867639</v>
      </c>
      <c r="AC37" s="88">
        <f>PROP_InOut!$G$4/2*((C37-PROP_InOut!$J$12/2)/(C37*SIN(PROP_Table!K37)))</f>
        <v>5.6885834328022851</v>
      </c>
      <c r="AD37" s="88">
        <f t="shared" si="24"/>
        <v>0.99784543025375572</v>
      </c>
      <c r="AE37" s="88">
        <f t="shared" si="25"/>
        <v>0.79064070442262457</v>
      </c>
      <c r="AF37" s="25">
        <f>0.5*PROP_InOut!$J$8*I37^2*E37*T37*(C37-C36)</f>
        <v>1.1254553706943027</v>
      </c>
      <c r="AG37" s="25">
        <f>0.5*PROP_InOut!$J$8*I37^2*E37*U37*(C37-C36)</f>
        <v>1.22673182281288E-2</v>
      </c>
      <c r="AH37" s="108">
        <f t="shared" si="26"/>
        <v>0.87628953043815672</v>
      </c>
      <c r="AI37" s="108">
        <f t="shared" si="27"/>
        <v>3.4845865998777092E-2</v>
      </c>
      <c r="AJ37" s="108">
        <f t="shared" si="28"/>
        <v>23.076541176748428</v>
      </c>
    </row>
    <row r="38" spans="1:36" s="96" customFormat="1" x14ac:dyDescent="0.25">
      <c r="A38" s="176"/>
      <c r="B38" s="107">
        <v>35</v>
      </c>
      <c r="C38" s="87">
        <v>0.23145750000000001</v>
      </c>
      <c r="D38" s="108">
        <f>C38/PROP_InOut!$E$8</f>
        <v>0.86785714285714288</v>
      </c>
      <c r="E38" s="88">
        <v>1.7454879999999999E-2</v>
      </c>
      <c r="F38" s="109">
        <f>E38*PROP_InOut!$G$8</f>
        <v>1.0945300689999998E-4</v>
      </c>
      <c r="G38" s="96">
        <f>PROP_InOut!$C$4</f>
        <v>19.5</v>
      </c>
      <c r="H38" s="110">
        <f>PROP_InOut!$C$8*PROP_Table!C38</f>
        <v>121.19086360304327</v>
      </c>
      <c r="I38" s="111">
        <f t="shared" si="15"/>
        <v>122.74964529827137</v>
      </c>
      <c r="J38" s="112">
        <f>I38/PROP_InOut!$D$8</f>
        <v>0.35464829215242499</v>
      </c>
      <c r="K38" s="110">
        <f t="shared" si="16"/>
        <v>0.15953581109459344</v>
      </c>
      <c r="L38" s="111">
        <f t="shared" si="17"/>
        <v>9.1407286569165791</v>
      </c>
      <c r="M38" s="96">
        <v>0</v>
      </c>
      <c r="N38" s="96">
        <v>0</v>
      </c>
      <c r="O38" s="110">
        <f t="shared" si="18"/>
        <v>0.17291151432433022</v>
      </c>
      <c r="P38" s="87">
        <v>9.9070999999999998</v>
      </c>
      <c r="Q38" s="110">
        <f t="shared" si="19"/>
        <v>1.3375703229736764E-2</v>
      </c>
      <c r="R38" s="112">
        <f t="shared" si="7"/>
        <v>0.7663713430834207</v>
      </c>
      <c r="S38" s="113">
        <f>PROP_InOut!$F$8*PROP_Table!I38*PROP_Table!E38</f>
        <v>138740.09542779392</v>
      </c>
      <c r="T38" s="110">
        <v>1.06612</v>
      </c>
      <c r="U38" s="110">
        <v>1.189E-2</v>
      </c>
      <c r="V38" s="8">
        <f>0.5*PROP_InOut!$J$8*I38^2*E38*T38*(C38-C37)</f>
        <v>1.0963287100109469</v>
      </c>
      <c r="W38" s="8">
        <f>0.5*PROP_InOut!$J$8*I38^2*E38*U38*(C38-C37)</f>
        <v>1.2226905378409711E-2</v>
      </c>
      <c r="X38" s="110">
        <f t="shared" si="20"/>
        <v>1.0804642097489283</v>
      </c>
      <c r="Y38" s="110">
        <f t="shared" si="21"/>
        <v>4.3105334542865477E-2</v>
      </c>
      <c r="Z38" s="95">
        <f t="shared" si="22"/>
        <v>22.569900388399422</v>
      </c>
      <c r="AA38" s="88">
        <f>PROP_InOut!$G$4/2*((PROP_InOut!$E$8-PROP_Table!C38)/(PROP_Table!C38*SIN(PROP_Table!K38)))</f>
        <v>0.95847565179614636</v>
      </c>
      <c r="AB38" s="88">
        <f t="shared" si="23"/>
        <v>0.74945308189549953</v>
      </c>
      <c r="AC38" s="88">
        <f>PROP_InOut!$G$4/2*((C38-PROP_InOut!$J$12/2)/(C38*SIN(PROP_Table!K38)))</f>
        <v>5.8631078159421959</v>
      </c>
      <c r="AD38" s="88">
        <f t="shared" si="24"/>
        <v>0.99819047187966492</v>
      </c>
      <c r="AE38" s="88">
        <f t="shared" si="25"/>
        <v>0.7480969254689378</v>
      </c>
      <c r="AF38" s="25">
        <f>0.5*PROP_InOut!$J$8*I38^2*E38*T38*(C38-C37)</f>
        <v>1.0963287100109469</v>
      </c>
      <c r="AG38" s="25">
        <f>0.5*PROP_InOut!$J$8*I38^2*E38*U38*(C38-C37)</f>
        <v>1.2226905378409711E-2</v>
      </c>
      <c r="AH38" s="108">
        <f t="shared" si="26"/>
        <v>0.80829195339239879</v>
      </c>
      <c r="AI38" s="108">
        <f t="shared" si="27"/>
        <v>3.2246968242827662E-2</v>
      </c>
      <c r="AJ38" s="108">
        <f t="shared" si="28"/>
        <v>22.569900388399422</v>
      </c>
    </row>
    <row r="39" spans="1:36" s="96" customFormat="1" x14ac:dyDescent="0.25">
      <c r="A39" s="176"/>
      <c r="B39" s="107">
        <v>36</v>
      </c>
      <c r="C39" s="87">
        <v>0.23802847999999999</v>
      </c>
      <c r="D39" s="108">
        <f>C39/PROP_InOut!$E$8</f>
        <v>0.89249523809523812</v>
      </c>
      <c r="E39" s="88">
        <v>1.6098520000000002E-2</v>
      </c>
      <c r="F39" s="109">
        <f>E39*PROP_InOut!$G$8</f>
        <v>1.0094778197499999E-4</v>
      </c>
      <c r="G39" s="96">
        <f>PROP_InOut!$C$4</f>
        <v>19.5</v>
      </c>
      <c r="H39" s="110">
        <f>PROP_InOut!$C$8*PROP_Table!C39</f>
        <v>124.63142068552416</v>
      </c>
      <c r="I39" s="111">
        <f t="shared" si="15"/>
        <v>126.14769527063147</v>
      </c>
      <c r="J39" s="112">
        <f>I39/PROP_InOut!$D$8</f>
        <v>0.36446593860197507</v>
      </c>
      <c r="K39" s="110">
        <f t="shared" si="16"/>
        <v>0.15520304572343743</v>
      </c>
      <c r="L39" s="111">
        <f t="shared" si="17"/>
        <v>8.8924794875289059</v>
      </c>
      <c r="M39" s="96">
        <v>0</v>
      </c>
      <c r="N39" s="96">
        <v>0</v>
      </c>
      <c r="O39" s="110">
        <f t="shared" si="18"/>
        <v>0.16822879594122944</v>
      </c>
      <c r="P39" s="87">
        <v>9.6387999999999998</v>
      </c>
      <c r="Q39" s="110">
        <f t="shared" si="19"/>
        <v>1.302575021779199E-2</v>
      </c>
      <c r="R39" s="112">
        <f t="shared" si="7"/>
        <v>0.74632051247109388</v>
      </c>
      <c r="S39" s="113">
        <f>PROP_InOut!$F$8*PROP_Table!I39*PROP_Table!E39</f>
        <v>131501.33063773581</v>
      </c>
      <c r="T39" s="110">
        <v>1.06382</v>
      </c>
      <c r="U39" s="110">
        <v>1.2160000000000001E-2</v>
      </c>
      <c r="V39" s="8">
        <f>0.5*PROP_InOut!$J$8*I39^2*E39*T39*(C39-C38)</f>
        <v>1.0651781208094664</v>
      </c>
      <c r="W39" s="8">
        <f>0.5*PROP_InOut!$J$8*I39^2*E39*U39*(C39-C38)</f>
        <v>1.2175524006921392E-2</v>
      </c>
      <c r="X39" s="110">
        <f t="shared" si="20"/>
        <v>1.0504927535710367</v>
      </c>
      <c r="Y39" s="110">
        <f t="shared" si="21"/>
        <v>4.2056100993854463E-2</v>
      </c>
      <c r="Z39" s="95">
        <f t="shared" si="22"/>
        <v>22.020522986820595</v>
      </c>
      <c r="AA39" s="88">
        <f>PROP_InOut!$G$4/2*((PROP_InOut!$E$8-PROP_Table!C39)/(PROP_Table!C39*SIN(PROP_Table!K39)))</f>
        <v>0.77923150482596348</v>
      </c>
      <c r="AB39" s="88">
        <f t="shared" si="23"/>
        <v>0.69658866436808753</v>
      </c>
      <c r="AC39" s="88">
        <f>PROP_InOut!$G$4/2*((C39-PROP_InOut!$J$12/2)/(C39*SIN(PROP_Table!K39)))</f>
        <v>6.0376635254330617</v>
      </c>
      <c r="AD39" s="88">
        <f t="shared" si="24"/>
        <v>0.99848030448153458</v>
      </c>
      <c r="AE39" s="88">
        <f t="shared" si="25"/>
        <v>0.69553006169663356</v>
      </c>
      <c r="AF39" s="25">
        <f>0.5*PROP_InOut!$J$8*I39^2*E39*T39*(C39-C38)</f>
        <v>1.0651781208094664</v>
      </c>
      <c r="AG39" s="25">
        <f>0.5*PROP_InOut!$J$8*I39^2*E39*U39*(C39-C38)</f>
        <v>1.2175524006921392E-2</v>
      </c>
      <c r="AH39" s="108">
        <f t="shared" si="26"/>
        <v>0.73064928970312959</v>
      </c>
      <c r="AI39" s="108">
        <f t="shared" si="27"/>
        <v>2.9251282518975446E-2</v>
      </c>
      <c r="AJ39" s="108">
        <f t="shared" si="28"/>
        <v>22.020522986820595</v>
      </c>
    </row>
    <row r="40" spans="1:36" s="96" customFormat="1" x14ac:dyDescent="0.25">
      <c r="A40" s="176"/>
      <c r="B40" s="107">
        <v>37</v>
      </c>
      <c r="C40" s="87">
        <v>0.24458929999999998</v>
      </c>
      <c r="D40" s="108">
        <f>C40/PROP_InOut!$E$8</f>
        <v>0.91709523809523807</v>
      </c>
      <c r="E40" s="88">
        <v>1.4792960000000001E-2</v>
      </c>
      <c r="F40" s="109">
        <f>E40*PROP_InOut!$G$8</f>
        <v>9.2761104799999992E-5</v>
      </c>
      <c r="G40" s="96">
        <f>PROP_InOut!$C$4</f>
        <v>19.5</v>
      </c>
      <c r="H40" s="110">
        <f>PROP_InOut!$C$8*PROP_Table!C40</f>
        <v>128.066658004445</v>
      </c>
      <c r="I40" s="111">
        <f t="shared" si="15"/>
        <v>129.5427299867788</v>
      </c>
      <c r="J40" s="112">
        <f>I40/PROP_InOut!$D$8</f>
        <v>0.37427487337285864</v>
      </c>
      <c r="K40" s="110">
        <f t="shared" si="16"/>
        <v>0.15110383534827906</v>
      </c>
      <c r="L40" s="111">
        <f t="shared" si="17"/>
        <v>8.6576120336960916</v>
      </c>
      <c r="M40" s="96">
        <v>0</v>
      </c>
      <c r="N40" s="96">
        <v>0</v>
      </c>
      <c r="O40" s="110">
        <f t="shared" si="18"/>
        <v>0.16379740497041584</v>
      </c>
      <c r="P40" s="87">
        <v>9.3849</v>
      </c>
      <c r="Q40" s="110">
        <f t="shared" si="19"/>
        <v>1.2693569622136778E-2</v>
      </c>
      <c r="R40" s="112">
        <f t="shared" si="7"/>
        <v>0.72728796630390846</v>
      </c>
      <c r="S40" s="113">
        <f>PROP_InOut!$F$8*PROP_Table!I40*PROP_Table!E40</f>
        <v>124088.91969691083</v>
      </c>
      <c r="T40" s="110">
        <v>1.0615699999999999</v>
      </c>
      <c r="U40" s="110">
        <v>1.2489999999999999E-2</v>
      </c>
      <c r="V40" s="8">
        <f>0.5*PROP_InOut!$J$8*I40^2*E40*T40*(C40-C39)</f>
        <v>1.0284123463132251</v>
      </c>
      <c r="W40" s="8">
        <f>0.5*PROP_InOut!$J$8*I40^2*E40*U40*(C40-C39)</f>
        <v>1.2099880559409349E-2</v>
      </c>
      <c r="X40" s="110">
        <f t="shared" si="20"/>
        <v>1.01487273415771</v>
      </c>
      <c r="Y40" s="110">
        <f t="shared" si="21"/>
        <v>4.0789762832907153E-2</v>
      </c>
      <c r="Z40" s="95">
        <f t="shared" si="22"/>
        <v>21.357469876255184</v>
      </c>
      <c r="AA40" s="88">
        <f>PROP_InOut!$G$4/2*((PROP_InOut!$E$8-PROP_Table!C40)/(PROP_Table!C40*SIN(PROP_Table!K40)))</f>
        <v>0.60054211858853068</v>
      </c>
      <c r="AB40" s="88">
        <f t="shared" si="23"/>
        <v>0.63038733125910162</v>
      </c>
      <c r="AC40" s="88">
        <f>PROP_InOut!$G$4/2*((C40-PROP_InOut!$J$12/2)/(C40*SIN(PROP_Table!K40)))</f>
        <v>6.212040789006803</v>
      </c>
      <c r="AD40" s="88">
        <f t="shared" si="24"/>
        <v>0.99872348660039933</v>
      </c>
      <c r="AE40" s="88">
        <f t="shared" si="25"/>
        <v>0.62958263338381093</v>
      </c>
      <c r="AF40" s="25">
        <f>0.5*PROP_InOut!$J$8*I40^2*E40*T40*(C40-C39)</f>
        <v>1.0284123463132251</v>
      </c>
      <c r="AG40" s="25">
        <f>0.5*PROP_InOut!$J$8*I40^2*E40*U40*(C40-C39)</f>
        <v>1.2099880559409349E-2</v>
      </c>
      <c r="AH40" s="108">
        <f t="shared" si="26"/>
        <v>0.63894624852043935</v>
      </c>
      <c r="AI40" s="108">
        <f t="shared" si="27"/>
        <v>2.5680526299442782E-2</v>
      </c>
      <c r="AJ40" s="108">
        <f t="shared" si="28"/>
        <v>21.357469876255184</v>
      </c>
    </row>
    <row r="41" spans="1:36" s="96" customFormat="1" x14ac:dyDescent="0.25">
      <c r="A41" s="176"/>
      <c r="B41" s="107">
        <v>38</v>
      </c>
      <c r="C41" s="87">
        <v>0.25095200000000001</v>
      </c>
      <c r="D41" s="108">
        <f>C41/PROP_InOut!$E$8</f>
        <v>0.94095238095238098</v>
      </c>
      <c r="E41" s="88">
        <v>1.004824E-2</v>
      </c>
      <c r="F41" s="109">
        <f>E41*PROP_InOut!$G$8</f>
        <v>6.3008744949999993E-5</v>
      </c>
      <c r="G41" s="96">
        <f>PROP_InOut!$C$4</f>
        <v>19.5</v>
      </c>
      <c r="H41" s="110">
        <f>PROP_InOut!$C$8*PROP_Table!C41</f>
        <v>131.3981599339443</v>
      </c>
      <c r="I41" s="111">
        <f t="shared" si="15"/>
        <v>132.83721780444819</v>
      </c>
      <c r="J41" s="112">
        <f>I41/PROP_InOut!$D$8</f>
        <v>0.38379330803077022</v>
      </c>
      <c r="K41" s="110">
        <f t="shared" si="16"/>
        <v>0.14732860986420634</v>
      </c>
      <c r="L41" s="111">
        <f t="shared" si="17"/>
        <v>8.4413075467484919</v>
      </c>
      <c r="M41" s="96">
        <v>0</v>
      </c>
      <c r="N41" s="96">
        <v>0</v>
      </c>
      <c r="O41" s="110">
        <f t="shared" si="18"/>
        <v>0.15971507985000111</v>
      </c>
      <c r="P41" s="87">
        <v>9.1509999999999998</v>
      </c>
      <c r="Q41" s="110">
        <f t="shared" si="19"/>
        <v>1.2386469985794749E-2</v>
      </c>
      <c r="R41" s="112">
        <f t="shared" si="7"/>
        <v>0.70969245325150787</v>
      </c>
      <c r="S41" s="113">
        <f>PROP_InOut!$F$8*PROP_Table!I41*PROP_Table!E41</f>
        <v>86432.0166406918</v>
      </c>
      <c r="T41" s="110">
        <v>1.0377000000000001</v>
      </c>
      <c r="U41" s="110">
        <v>1.495E-2</v>
      </c>
      <c r="V41" s="8">
        <f>0.5*PROP_InOut!$J$8*I41^2*E41*T41*(C41-C40)</f>
        <v>0.69634130010122941</v>
      </c>
      <c r="W41" s="8">
        <f>0.5*PROP_InOut!$J$8*I41^2*E41*U41*(C41-C40)</f>
        <v>1.0032092547473623E-2</v>
      </c>
      <c r="X41" s="110">
        <f t="shared" si="20"/>
        <v>0.68732499237558531</v>
      </c>
      <c r="Y41" s="110">
        <f t="shared" si="21"/>
        <v>2.8142679663926477E-2</v>
      </c>
      <c r="Z41" s="95">
        <f t="shared" si="22"/>
        <v>14.735472614087048</v>
      </c>
      <c r="AA41" s="88">
        <f>PROP_InOut!$G$4/2*((PROP_InOut!$E$8-PROP_Table!C41)/(PROP_Table!C41*SIN(PROP_Table!K41)))</f>
        <v>0.42748403944128405</v>
      </c>
      <c r="AB41" s="88">
        <f t="shared" si="23"/>
        <v>0.54773628885050096</v>
      </c>
      <c r="AC41" s="88">
        <f>PROP_InOut!$G$4/2*((C41-PROP_InOut!$J$12/2)/(C41*SIN(PROP_Table!K41)))</f>
        <v>6.3812335242404652</v>
      </c>
      <c r="AD41" s="88">
        <f t="shared" si="24"/>
        <v>0.9989221810298391</v>
      </c>
      <c r="AE41" s="88">
        <f t="shared" si="25"/>
        <v>0.54714592828773234</v>
      </c>
      <c r="AF41" s="25">
        <f>0.5*PROP_InOut!$J$8*I41^2*E41*T41*(C41-C40)</f>
        <v>0.69634130010122941</v>
      </c>
      <c r="AG41" s="25">
        <f>0.5*PROP_InOut!$J$8*I41^2*E41*U41*(C41-C40)</f>
        <v>1.0032092547473623E-2</v>
      </c>
      <c r="AH41" s="108">
        <f t="shared" si="26"/>
        <v>0.37606707098869818</v>
      </c>
      <c r="AI41" s="108">
        <f t="shared" si="27"/>
        <v>1.5398152589223339E-2</v>
      </c>
      <c r="AJ41" s="108">
        <f t="shared" si="28"/>
        <v>14.735472614087048</v>
      </c>
    </row>
    <row r="42" spans="1:36" x14ac:dyDescent="0.25">
      <c r="A42" s="176"/>
      <c r="B42" s="3">
        <v>39</v>
      </c>
      <c r="C42" s="114">
        <f>PROP_InOut!E8</f>
        <v>0.26669999999999999</v>
      </c>
      <c r="D42" s="25">
        <f>C42/PROP_InOut!$E$8</f>
        <v>1</v>
      </c>
      <c r="E42" s="72">
        <v>1E-3</v>
      </c>
      <c r="F42" s="26">
        <f>E42*PROP_InOut!$G$8</f>
        <v>6.2706249999999998E-6</v>
      </c>
      <c r="G42" s="2">
        <f>PROP_InOut!$C$4</f>
        <v>19.5</v>
      </c>
      <c r="H42" s="8">
        <f>PROP_InOut!$C$8*PROP_Table!C42</f>
        <v>139.64379345206629</v>
      </c>
      <c r="I42" s="27">
        <f t="shared" si="15"/>
        <v>140.99872002852845</v>
      </c>
      <c r="J42" s="68">
        <f>I42/PROP_InOut!$D$8</f>
        <v>0.40737352138401439</v>
      </c>
      <c r="K42" s="8">
        <f t="shared" si="16"/>
        <v>0.13874383257212369</v>
      </c>
      <c r="L42" s="27">
        <f t="shared" si="17"/>
        <v>7.9494360398524089</v>
      </c>
      <c r="M42" s="2">
        <v>0</v>
      </c>
      <c r="N42" s="2">
        <v>0</v>
      </c>
      <c r="O42" s="8">
        <f t="shared" si="18"/>
        <v>0.15707963267948966</v>
      </c>
      <c r="P42" s="27">
        <v>9</v>
      </c>
      <c r="Q42" s="8">
        <f t="shared" si="19"/>
        <v>1.8335800107365959E-2</v>
      </c>
      <c r="R42" s="68">
        <f t="shared" si="7"/>
        <v>1.0505639601475911</v>
      </c>
      <c r="S42" s="67">
        <f>PROP_InOut!$F$8*PROP_Table!I42*PROP_Table!E42</f>
        <v>9130.1948448327057</v>
      </c>
      <c r="T42" s="8">
        <v>0.28899000000000002</v>
      </c>
      <c r="U42" s="8">
        <v>5.5419999999999997E-2</v>
      </c>
      <c r="V42" s="8">
        <f>0.5*PROP_InOut!$J$8*I42^2*E42*T42*(C42-C41)</f>
        <v>5.3816804935481036E-2</v>
      </c>
      <c r="W42" s="8">
        <f>0.5*PROP_InOut!$J$8*I42^2*E42*U42*(C42-C41)</f>
        <v>1.0320520881429665E-2</v>
      </c>
      <c r="X42" s="8">
        <f t="shared" si="20"/>
        <v>5.1872333550210523E-2</v>
      </c>
      <c r="Y42" s="8">
        <f t="shared" si="21"/>
        <v>4.7110322894085904E-3</v>
      </c>
      <c r="Z42" s="55">
        <f t="shared" si="22"/>
        <v>2.4666907385383885</v>
      </c>
      <c r="AA42" s="79">
        <f>PROP_InOut!$G$4/2*((PROP_InOut!$E$8-PROP_Table!C42)/(PROP_Table!C42*SIN(PROP_Table!K42)))</f>
        <v>0</v>
      </c>
      <c r="AB42" s="79">
        <f t="shared" si="23"/>
        <v>0</v>
      </c>
      <c r="AC42" s="79">
        <f>PROP_InOut!$G$4/2*((C42-PROP_InOut!$J$12/2)/(C42*SIN(PROP_Table!K42)))</f>
        <v>6.8003045679204801</v>
      </c>
      <c r="AD42" s="79">
        <f t="shared" si="24"/>
        <v>0.99929116449383959</v>
      </c>
      <c r="AE42" s="79">
        <f t="shared" si="25"/>
        <v>0</v>
      </c>
      <c r="AF42" s="25">
        <f>0.5*PROP_InOut!$J$8*I42^2*E42*T42*(C42-C41)</f>
        <v>5.3816804935481036E-2</v>
      </c>
      <c r="AG42" s="25">
        <f>0.5*PROP_InOut!$J$8*I42^2*E42*U42*(C42-C41)</f>
        <v>1.0320520881429665E-2</v>
      </c>
      <c r="AH42" s="25">
        <f t="shared" si="26"/>
        <v>0</v>
      </c>
      <c r="AI42" s="25">
        <f t="shared" si="27"/>
        <v>0</v>
      </c>
      <c r="AJ42" s="25">
        <f t="shared" si="28"/>
        <v>2.4666907385383885</v>
      </c>
    </row>
    <row r="43" spans="1:36" x14ac:dyDescent="0.25">
      <c r="A43" s="176"/>
      <c r="B43" s="3">
        <v>40</v>
      </c>
      <c r="C43" s="8"/>
      <c r="D43" s="25">
        <f>C43/PROP_InOut!$E$8</f>
        <v>0</v>
      </c>
      <c r="E43" s="72"/>
      <c r="F43" s="26">
        <f>E43*PROP_InOut!$G$8</f>
        <v>0</v>
      </c>
      <c r="G43" s="2">
        <f>PROP_InOut!$C$4</f>
        <v>19.5</v>
      </c>
      <c r="H43" s="8">
        <f>PROP_InOut!$C$8*PROP_Table!C43</f>
        <v>0</v>
      </c>
      <c r="I43" s="27">
        <f t="shared" si="15"/>
        <v>19.5</v>
      </c>
      <c r="J43" s="68">
        <f>I43/PROP_InOut!$D$8</f>
        <v>5.6339402693733706E-2</v>
      </c>
      <c r="K43" s="8" t="e">
        <f t="shared" si="16"/>
        <v>#DIV/0!</v>
      </c>
      <c r="L43" s="27" t="e">
        <f t="shared" si="17"/>
        <v>#DIV/0!</v>
      </c>
      <c r="M43" s="2">
        <v>0</v>
      </c>
      <c r="N43" s="2">
        <v>0</v>
      </c>
      <c r="O43" s="8">
        <f t="shared" si="18"/>
        <v>0</v>
      </c>
      <c r="P43" s="27"/>
      <c r="Q43" s="8" t="e">
        <f t="shared" si="19"/>
        <v>#DIV/0!</v>
      </c>
      <c r="R43" s="68" t="e">
        <f t="shared" si="7"/>
        <v>#DIV/0!</v>
      </c>
      <c r="S43" s="67">
        <f>PROP_InOut!$F$8*PROP_Table!I43*PROP_Table!E43</f>
        <v>0</v>
      </c>
      <c r="T43" s="8">
        <v>0.81499999999999995</v>
      </c>
      <c r="U43" s="8">
        <v>1.4E-2</v>
      </c>
      <c r="V43" s="8">
        <f>0.5*PROP_InOut!$J$8*I43^2*E43*T43*PROP_InOut!$G$8</f>
        <v>0</v>
      </c>
      <c r="W43" s="8">
        <f>0.5*PROP_InOut!$J$8*I43^2*E43*U43*PROP_InOut!$G$8</f>
        <v>0</v>
      </c>
      <c r="X43" s="8"/>
      <c r="Y43" s="8" t="e">
        <f t="shared" si="21"/>
        <v>#DIV/0!</v>
      </c>
      <c r="Z43" s="55" t="e">
        <f t="shared" si="22"/>
        <v>#DIV/0!</v>
      </c>
      <c r="AA43" s="79" t="e">
        <f>PROP_InOut!$G$4/2*((PROP_InOut!$E$8-PROP_Table!C43)/(PROP_Table!C43*SIN(PROP_Table!K43)))</f>
        <v>#DIV/0!</v>
      </c>
      <c r="AB43" s="79" t="e">
        <f t="shared" si="23"/>
        <v>#DIV/0!</v>
      </c>
      <c r="AC43" s="79" t="e">
        <f>PROP_InOut!$G$4/2*((C43-PROP_InOut!$J$12/2)/(C43*SIN(PROP_Table!K43)))</f>
        <v>#DIV/0!</v>
      </c>
      <c r="AD43" s="79" t="e">
        <f t="shared" si="24"/>
        <v>#DIV/0!</v>
      </c>
      <c r="AE43" s="79" t="e">
        <f t="shared" si="25"/>
        <v>#DIV/0!</v>
      </c>
      <c r="AF43" s="25">
        <f>0.5*PROP_InOut!$J$8*I43^2*E43*T43*PROP_InOut!$G$8</f>
        <v>0</v>
      </c>
      <c r="AG43" s="25">
        <f>0.5*PROP_InOut!$J$8*I43^2*E43*U43*PROP_InOut!$G$8</f>
        <v>0</v>
      </c>
      <c r="AH43" s="25"/>
      <c r="AI43" s="25"/>
      <c r="AJ43" s="25"/>
    </row>
    <row r="44" spans="1:36" x14ac:dyDescent="0.25">
      <c r="C44" s="8"/>
      <c r="D44" s="25"/>
      <c r="E44" s="25"/>
      <c r="F44" s="26"/>
      <c r="G44" s="2"/>
      <c r="H44" s="8"/>
      <c r="I44" s="27"/>
      <c r="J44" s="68"/>
      <c r="K44" s="8"/>
      <c r="L44" s="27"/>
      <c r="M44" s="2"/>
      <c r="N44" s="2"/>
      <c r="O44" s="8"/>
      <c r="P44" s="27"/>
      <c r="Q44" s="8"/>
      <c r="R44" s="68"/>
      <c r="S44" s="67"/>
      <c r="T44" s="8"/>
      <c r="U44" s="8"/>
      <c r="V44" s="8"/>
      <c r="W44" s="8"/>
      <c r="X44" s="8"/>
      <c r="Y44" s="8"/>
      <c r="Z44" s="55"/>
      <c r="AA44" s="50"/>
      <c r="AB44" s="50"/>
      <c r="AC44" s="50"/>
      <c r="AD44" s="50"/>
      <c r="AE44" s="50"/>
      <c r="AF44" s="2"/>
      <c r="AG44" s="2"/>
      <c r="AH44" s="2"/>
      <c r="AI44" s="2"/>
      <c r="AJ44" s="2"/>
    </row>
  </sheetData>
  <mergeCells count="19">
    <mergeCell ref="A4:A23"/>
    <mergeCell ref="A24:A43"/>
    <mergeCell ref="B1:B2"/>
    <mergeCell ref="C1:F1"/>
    <mergeCell ref="G1:J1"/>
    <mergeCell ref="AA1:AE1"/>
    <mergeCell ref="V1:Z1"/>
    <mergeCell ref="AL6:AN6"/>
    <mergeCell ref="AL1:AN1"/>
    <mergeCell ref="AF1:AJ1"/>
    <mergeCell ref="S2:S3"/>
    <mergeCell ref="T2:T3"/>
    <mergeCell ref="U2:U3"/>
    <mergeCell ref="S1:U1"/>
    <mergeCell ref="Q2:R2"/>
    <mergeCell ref="K1:R1"/>
    <mergeCell ref="K2:L2"/>
    <mergeCell ref="M2:N2"/>
    <mergeCell ref="O2:P2"/>
  </mergeCells>
  <pageMargins left="0.7" right="0.7" top="0.75" bottom="0.75" header="0.3" footer="0.3"/>
  <pageSetup paperSize="9" orientation="portrait" r:id="rId1"/>
  <ignoredErrors>
    <ignoredError sqref="AC4:AC5 AC6:AC23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B8E9-CC12-49B2-A6D8-7524C79B6CFA}">
  <dimension ref="B1:F21"/>
  <sheetViews>
    <sheetView zoomScale="145" zoomScaleNormal="145" workbookViewId="0">
      <selection activeCell="C7" sqref="C7"/>
    </sheetView>
  </sheetViews>
  <sheetFormatPr defaultColWidth="9.140625" defaultRowHeight="15" x14ac:dyDescent="0.25"/>
  <cols>
    <col min="1" max="1" width="9.140625" style="12"/>
    <col min="2" max="2" width="9.140625" style="10"/>
    <col min="3" max="3" width="9.140625" style="11"/>
    <col min="4" max="4" width="9.140625" style="12"/>
    <col min="5" max="5" width="20.140625" style="12" customWidth="1"/>
    <col min="6" max="16384" width="9.140625" style="12"/>
  </cols>
  <sheetData>
    <row r="1" spans="2:6" ht="16.5" thickBot="1" x14ac:dyDescent="0.3">
      <c r="B1" s="17" t="s">
        <v>34</v>
      </c>
      <c r="C1" s="18" t="s">
        <v>43</v>
      </c>
      <c r="E1" s="44" t="s">
        <v>41</v>
      </c>
      <c r="F1" s="45"/>
    </row>
    <row r="2" spans="2:6" x14ac:dyDescent="0.25">
      <c r="B2" s="19" t="s">
        <v>42</v>
      </c>
      <c r="C2" s="20" t="s">
        <v>2</v>
      </c>
      <c r="E2" s="43">
        <f>974.16*2</f>
        <v>1948.32</v>
      </c>
      <c r="F2" s="46"/>
    </row>
    <row r="3" spans="2:6" ht="15.75" thickBot="1" x14ac:dyDescent="0.3">
      <c r="B3" s="21"/>
      <c r="C3" s="22">
        <f>B3*0.3048</f>
        <v>0</v>
      </c>
    </row>
    <row r="4" spans="2:6" x14ac:dyDescent="0.25">
      <c r="B4" s="19" t="s">
        <v>2</v>
      </c>
      <c r="C4" s="20" t="s">
        <v>42</v>
      </c>
    </row>
    <row r="5" spans="2:6" ht="15.75" thickBot="1" x14ac:dyDescent="0.3">
      <c r="B5" s="21"/>
      <c r="C5" s="22">
        <f>B5*3.28</f>
        <v>0</v>
      </c>
    </row>
    <row r="6" spans="2:6" x14ac:dyDescent="0.25">
      <c r="B6" s="19" t="s">
        <v>34</v>
      </c>
      <c r="C6" s="20" t="s">
        <v>2</v>
      </c>
    </row>
    <row r="7" spans="2:6" ht="15.75" thickBot="1" x14ac:dyDescent="0.3">
      <c r="B7" s="21"/>
      <c r="C7" s="22">
        <f>B7*0.0254</f>
        <v>0</v>
      </c>
    </row>
    <row r="8" spans="2:6" x14ac:dyDescent="0.25">
      <c r="B8" s="19" t="s">
        <v>2</v>
      </c>
      <c r="C8" s="20" t="s">
        <v>34</v>
      </c>
    </row>
    <row r="9" spans="2:6" ht="15.75" thickBot="1" x14ac:dyDescent="0.3">
      <c r="B9" s="21"/>
      <c r="C9" s="22">
        <f>B9*39.3700787</f>
        <v>0</v>
      </c>
    </row>
    <row r="10" spans="2:6" x14ac:dyDescent="0.25">
      <c r="B10" s="19" t="s">
        <v>9</v>
      </c>
      <c r="C10" s="20" t="s">
        <v>45</v>
      </c>
    </row>
    <row r="11" spans="2:6" ht="15.75" thickBot="1" x14ac:dyDescent="0.3">
      <c r="B11" s="21"/>
      <c r="C11" s="22">
        <f>B11*1.94384449</f>
        <v>0</v>
      </c>
    </row>
    <row r="12" spans="2:6" x14ac:dyDescent="0.25">
      <c r="B12" s="19" t="s">
        <v>45</v>
      </c>
      <c r="C12" s="20" t="s">
        <v>9</v>
      </c>
    </row>
    <row r="13" spans="2:6" ht="15.75" thickBot="1" x14ac:dyDescent="0.3">
      <c r="B13" s="21">
        <v>160</v>
      </c>
      <c r="C13" s="22">
        <f>B13*0.514444444</f>
        <v>82.31111104</v>
      </c>
    </row>
    <row r="14" spans="2:6" x14ac:dyDescent="0.25">
      <c r="B14" s="19" t="s">
        <v>9</v>
      </c>
      <c r="C14" s="20" t="s">
        <v>44</v>
      </c>
    </row>
    <row r="15" spans="2:6" ht="15.75" thickBot="1" x14ac:dyDescent="0.3">
      <c r="B15" s="21"/>
      <c r="C15" s="22">
        <f>B15*3.6</f>
        <v>0</v>
      </c>
    </row>
    <row r="16" spans="2:6" x14ac:dyDescent="0.25">
      <c r="B16" s="19" t="s">
        <v>44</v>
      </c>
      <c r="C16" s="20" t="s">
        <v>9</v>
      </c>
    </row>
    <row r="17" spans="2:3" x14ac:dyDescent="0.25">
      <c r="B17" s="31"/>
      <c r="C17" s="32">
        <f>B17/3.6</f>
        <v>0</v>
      </c>
    </row>
    <row r="18" spans="2:3" x14ac:dyDescent="0.25">
      <c r="B18" s="13" t="s">
        <v>56</v>
      </c>
      <c r="C18" s="14" t="s">
        <v>26</v>
      </c>
    </row>
    <row r="19" spans="2:3" x14ac:dyDescent="0.25">
      <c r="B19" s="15">
        <v>219</v>
      </c>
      <c r="C19" s="16">
        <f>B19*4.4482216</f>
        <v>974.16053039999997</v>
      </c>
    </row>
    <row r="20" spans="2:3" x14ac:dyDescent="0.25">
      <c r="B20" s="33" t="s">
        <v>26</v>
      </c>
      <c r="C20" s="14" t="s">
        <v>56</v>
      </c>
    </row>
    <row r="21" spans="2:3" x14ac:dyDescent="0.25">
      <c r="B21" s="15">
        <v>101</v>
      </c>
      <c r="C21" s="16">
        <f>B21*0.224808943870961</f>
        <v>22.705703330967062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88B-41FD-4D47-99C8-6267545EC7E9}">
  <dimension ref="A1:BJ44"/>
  <sheetViews>
    <sheetView topLeftCell="B1" zoomScale="85" zoomScaleNormal="85" workbookViewId="0">
      <pane xSplit="1" topLeftCell="AN1" activePane="topRight" state="frozen"/>
      <selection activeCell="B1" sqref="B1"/>
      <selection pane="topRight" activeCell="BJ11" sqref="BJ11"/>
    </sheetView>
  </sheetViews>
  <sheetFormatPr defaultColWidth="9.140625" defaultRowHeight="15" x14ac:dyDescent="0.25"/>
  <cols>
    <col min="1" max="1" width="4" style="65" hidden="1" customWidth="1"/>
    <col min="2" max="2" width="3.28515625" style="65" bestFit="1" customWidth="1"/>
    <col min="3" max="3" width="19.7109375" style="65" customWidth="1"/>
    <col min="4" max="4" width="7.140625" style="65" bestFit="1" customWidth="1"/>
    <col min="5" max="5" width="9.85546875" style="65" customWidth="1"/>
    <col min="6" max="6" width="8.28515625" style="65" bestFit="1" customWidth="1"/>
    <col min="7" max="7" width="5.140625" style="65" bestFit="1" customWidth="1"/>
    <col min="8" max="8" width="8.28515625" style="65" bestFit="1" customWidth="1"/>
    <col min="9" max="9" width="6.140625" style="65" bestFit="1" customWidth="1"/>
    <col min="10" max="10" width="9.28515625" style="3" customWidth="1"/>
    <col min="11" max="11" width="6.140625" style="65" bestFit="1" customWidth="1"/>
    <col min="12" max="12" width="10.5703125" style="65" customWidth="1"/>
    <col min="13" max="14" width="12.28515625" style="65" bestFit="1" customWidth="1"/>
    <col min="15" max="15" width="8.85546875" style="65" customWidth="1"/>
    <col min="16" max="16" width="10.85546875" style="65" customWidth="1"/>
    <col min="17" max="17" width="6.7109375" style="65" bestFit="1" customWidth="1"/>
    <col min="18" max="18" width="7.85546875" style="3" bestFit="1" customWidth="1"/>
    <col min="19" max="20" width="9.140625" style="125"/>
    <col min="22" max="22" width="10.28515625" bestFit="1" customWidth="1"/>
    <col min="23" max="23" width="11.85546875" customWidth="1"/>
    <col min="24" max="24" width="9.85546875" customWidth="1"/>
    <col min="25" max="25" width="10.28515625" style="125" bestFit="1" customWidth="1"/>
    <col min="26" max="26" width="9.140625" style="125"/>
    <col min="30" max="30" width="12.28515625" style="137" bestFit="1" customWidth="1"/>
    <col min="31" max="31" width="12.28515625" bestFit="1" customWidth="1"/>
    <col min="32" max="32" width="10.7109375" customWidth="1"/>
    <col min="33" max="33" width="10.5703125" customWidth="1"/>
    <col min="40" max="40" width="15.140625" bestFit="1" customWidth="1"/>
    <col min="41" max="41" width="11.7109375" style="3" customWidth="1"/>
    <col min="42" max="42" width="6.7109375" style="65" bestFit="1" customWidth="1"/>
    <col min="43" max="43" width="9.28515625" style="65" customWidth="1"/>
    <col min="44" max="44" width="10.42578125" style="65" customWidth="1"/>
    <col min="45" max="45" width="13.7109375" style="65" customWidth="1"/>
    <col min="46" max="46" width="7.7109375" style="65" customWidth="1"/>
    <col min="47" max="47" width="9.5703125" style="65" customWidth="1"/>
    <col min="48" max="48" width="6.7109375" style="65" customWidth="1"/>
    <col min="49" max="49" width="7.7109375" style="65" bestFit="1" customWidth="1"/>
    <col min="50" max="53" width="7" style="65" bestFit="1" customWidth="1"/>
    <col min="54" max="54" width="10.42578125" style="65" customWidth="1"/>
    <col min="55" max="55" width="10.28515625" style="65" customWidth="1"/>
    <col min="56" max="56" width="9.85546875" style="65" customWidth="1"/>
    <col min="57" max="57" width="9" style="65" customWidth="1"/>
    <col min="58" max="58" width="7.5703125" style="65" customWidth="1"/>
    <col min="59" max="59" width="12.28515625" style="65" customWidth="1"/>
    <col min="60" max="61" width="10.85546875" style="65" customWidth="1"/>
    <col min="62" max="62" width="7.85546875" style="65" bestFit="1" customWidth="1"/>
    <col min="63" max="16384" width="9.140625" style="65"/>
  </cols>
  <sheetData>
    <row r="1" spans="1:62" x14ac:dyDescent="0.25">
      <c r="B1" s="177"/>
      <c r="C1" s="171" t="s">
        <v>7</v>
      </c>
      <c r="D1" s="172"/>
      <c r="E1" s="172"/>
      <c r="F1" s="173"/>
      <c r="G1" s="171" t="s">
        <v>12</v>
      </c>
      <c r="H1" s="172"/>
      <c r="I1" s="172"/>
      <c r="J1" s="172"/>
      <c r="K1" s="167" t="s">
        <v>15</v>
      </c>
      <c r="L1" s="167"/>
      <c r="M1" s="167"/>
      <c r="N1" s="167"/>
      <c r="O1" s="167"/>
      <c r="P1" s="167"/>
      <c r="Q1" s="167"/>
      <c r="R1" s="167"/>
      <c r="AO1" s="115" t="s">
        <v>29</v>
      </c>
      <c r="AP1" s="115"/>
      <c r="AQ1" s="115"/>
      <c r="AR1" s="116" t="s">
        <v>30</v>
      </c>
      <c r="AS1" s="118"/>
      <c r="AT1" s="117"/>
      <c r="AU1" s="115"/>
      <c r="AV1" s="119"/>
      <c r="AW1" s="120" t="s">
        <v>75</v>
      </c>
      <c r="AX1" s="120"/>
      <c r="AY1" s="120"/>
      <c r="AZ1" s="120"/>
      <c r="BA1" s="82"/>
      <c r="BB1" s="115" t="s">
        <v>90</v>
      </c>
      <c r="BC1" s="115"/>
      <c r="BD1" s="115"/>
      <c r="BE1" s="81"/>
      <c r="BF1" s="81"/>
      <c r="BG1" s="35"/>
      <c r="BH1" s="83" t="s">
        <v>59</v>
      </c>
      <c r="BI1" s="84"/>
      <c r="BJ1" s="85"/>
    </row>
    <row r="2" spans="1:62" ht="18" x14ac:dyDescent="0.25">
      <c r="B2" s="178"/>
      <c r="C2" s="4" t="s">
        <v>3</v>
      </c>
      <c r="D2" s="4" t="s">
        <v>4</v>
      </c>
      <c r="E2" s="4" t="s">
        <v>88</v>
      </c>
      <c r="F2" s="5" t="s">
        <v>5</v>
      </c>
      <c r="G2" s="6" t="s">
        <v>8</v>
      </c>
      <c r="H2" s="6" t="s">
        <v>10</v>
      </c>
      <c r="I2" s="6" t="s">
        <v>31</v>
      </c>
      <c r="J2" s="6" t="s">
        <v>11</v>
      </c>
      <c r="K2" s="168" t="s">
        <v>16</v>
      </c>
      <c r="L2" s="167"/>
      <c r="M2" s="168" t="s">
        <v>57</v>
      </c>
      <c r="N2" s="167"/>
      <c r="O2" s="168" t="s">
        <v>17</v>
      </c>
      <c r="P2" s="167"/>
      <c r="Q2" s="168" t="s">
        <v>87</v>
      </c>
      <c r="R2" s="167"/>
      <c r="S2" s="125" t="s">
        <v>92</v>
      </c>
      <c r="T2" s="125" t="s">
        <v>93</v>
      </c>
      <c r="U2" s="136" t="s">
        <v>101</v>
      </c>
      <c r="V2" s="136" t="s">
        <v>98</v>
      </c>
      <c r="W2" s="136" t="s">
        <v>99</v>
      </c>
      <c r="X2" s="136" t="s">
        <v>93</v>
      </c>
      <c r="Y2" s="135" t="s">
        <v>19</v>
      </c>
      <c r="Z2" s="135" t="s">
        <v>20</v>
      </c>
      <c r="AA2" s="134" t="s">
        <v>94</v>
      </c>
      <c r="AB2" s="134" t="s">
        <v>95</v>
      </c>
      <c r="AC2" s="136" t="s">
        <v>100</v>
      </c>
      <c r="AD2" s="137" t="s">
        <v>96</v>
      </c>
      <c r="AE2" s="136" t="s">
        <v>102</v>
      </c>
      <c r="AF2" s="134"/>
      <c r="AG2" s="180" t="s">
        <v>91</v>
      </c>
      <c r="AH2" s="181"/>
      <c r="AI2" s="181"/>
      <c r="AJ2" s="181"/>
      <c r="AK2" s="181"/>
      <c r="AL2" s="181"/>
      <c r="AM2" s="181"/>
      <c r="AN2" s="182"/>
      <c r="AO2" s="167" t="s">
        <v>18</v>
      </c>
      <c r="AP2" s="167" t="s">
        <v>19</v>
      </c>
      <c r="AQ2" s="167" t="s">
        <v>20</v>
      </c>
      <c r="AR2" s="4" t="s">
        <v>21</v>
      </c>
      <c r="AS2" s="4" t="s">
        <v>22</v>
      </c>
      <c r="AT2" s="4" t="s">
        <v>23</v>
      </c>
      <c r="AU2" s="4" t="s">
        <v>24</v>
      </c>
      <c r="AV2" s="53" t="s">
        <v>25</v>
      </c>
      <c r="AW2" s="51" t="s">
        <v>76</v>
      </c>
      <c r="AX2" s="4" t="s">
        <v>77</v>
      </c>
      <c r="AY2" s="4" t="s">
        <v>78</v>
      </c>
      <c r="AZ2" s="4" t="s">
        <v>79</v>
      </c>
      <c r="BA2" s="4" t="s">
        <v>80</v>
      </c>
      <c r="BB2" s="4" t="s">
        <v>21</v>
      </c>
      <c r="BC2" s="4" t="s">
        <v>22</v>
      </c>
      <c r="BD2" s="4" t="s">
        <v>23</v>
      </c>
      <c r="BE2" s="4" t="s">
        <v>24</v>
      </c>
      <c r="BF2" s="4" t="s">
        <v>25</v>
      </c>
      <c r="BG2" s="35"/>
      <c r="BH2" s="4" t="s">
        <v>60</v>
      </c>
      <c r="BI2" s="4" t="s">
        <v>61</v>
      </c>
      <c r="BJ2" s="4" t="s">
        <v>62</v>
      </c>
    </row>
    <row r="3" spans="1:62" ht="17.25" x14ac:dyDescent="0.25">
      <c r="B3" s="81" t="s">
        <v>89</v>
      </c>
      <c r="C3" s="23" t="s">
        <v>2</v>
      </c>
      <c r="D3" s="23"/>
      <c r="E3" s="23" t="s">
        <v>2</v>
      </c>
      <c r="F3" s="23" t="s">
        <v>6</v>
      </c>
      <c r="G3" s="23" t="s">
        <v>9</v>
      </c>
      <c r="H3" s="23" t="s">
        <v>9</v>
      </c>
      <c r="I3" s="23" t="s">
        <v>9</v>
      </c>
      <c r="J3" s="69"/>
      <c r="K3" s="24" t="s">
        <v>13</v>
      </c>
      <c r="L3" s="24" t="s">
        <v>14</v>
      </c>
      <c r="M3" s="24" t="s">
        <v>13</v>
      </c>
      <c r="N3" s="24" t="s">
        <v>14</v>
      </c>
      <c r="O3" s="24" t="s">
        <v>13</v>
      </c>
      <c r="P3" s="24" t="s">
        <v>14</v>
      </c>
      <c r="Q3" s="24" t="s">
        <v>13</v>
      </c>
      <c r="R3" s="81" t="s">
        <v>14</v>
      </c>
      <c r="S3" s="126" t="s">
        <v>9</v>
      </c>
      <c r="T3" s="126" t="s">
        <v>9</v>
      </c>
      <c r="U3" s="121" t="s">
        <v>9</v>
      </c>
      <c r="V3" s="121" t="s">
        <v>14</v>
      </c>
      <c r="W3" s="121" t="s">
        <v>14</v>
      </c>
      <c r="X3" s="121" t="s">
        <v>9</v>
      </c>
      <c r="AC3" s="124"/>
      <c r="AO3" s="167"/>
      <c r="AP3" s="167"/>
      <c r="AQ3" s="167"/>
      <c r="AR3" s="23" t="s">
        <v>26</v>
      </c>
      <c r="AS3" s="23" t="s">
        <v>26</v>
      </c>
      <c r="AT3" s="23" t="s">
        <v>26</v>
      </c>
      <c r="AU3" s="23" t="s">
        <v>27</v>
      </c>
      <c r="AV3" s="54" t="s">
        <v>28</v>
      </c>
      <c r="AW3" s="52"/>
      <c r="AX3" s="23"/>
      <c r="AY3" s="23"/>
      <c r="AZ3" s="23"/>
      <c r="BA3" s="23"/>
      <c r="BB3" s="23" t="s">
        <v>26</v>
      </c>
      <c r="BC3" s="23" t="s">
        <v>26</v>
      </c>
      <c r="BD3" s="23" t="s">
        <v>26</v>
      </c>
      <c r="BE3" s="23" t="s">
        <v>27</v>
      </c>
      <c r="BF3" s="23" t="s">
        <v>28</v>
      </c>
      <c r="BG3" s="35"/>
      <c r="BH3" s="23" t="s">
        <v>26</v>
      </c>
      <c r="BI3" s="23" t="s">
        <v>27</v>
      </c>
      <c r="BJ3" s="23" t="s">
        <v>28</v>
      </c>
    </row>
    <row r="4" spans="1:62" x14ac:dyDescent="0.25">
      <c r="A4" s="174" t="s">
        <v>86</v>
      </c>
      <c r="B4" s="70">
        <v>1</v>
      </c>
      <c r="C4" s="71">
        <v>1.6E-2</v>
      </c>
      <c r="D4" s="72">
        <f>C4/PROP_InOut!$E$8</f>
        <v>5.9992500937382828E-2</v>
      </c>
      <c r="E4" s="72"/>
      <c r="F4" s="73">
        <f>E4*PROP_InOut!$G$8</f>
        <v>0</v>
      </c>
      <c r="G4" s="74">
        <f>PROP_InOut!$C$4</f>
        <v>19.5</v>
      </c>
      <c r="H4" s="71">
        <f>PROP_InOut!$C$8*'PROP_Table (2)'!C4</f>
        <v>8.3775804095727811</v>
      </c>
      <c r="I4" s="75">
        <f>SQRT(G4^2+H4^2)</f>
        <v>21.223426997515215</v>
      </c>
      <c r="J4" s="76">
        <f>I4/PROP_InOut!$D$8</f>
        <v>6.1318728213029201E-2</v>
      </c>
      <c r="K4" s="71">
        <f>ATAN(G4/H4)</f>
        <v>1.1650194300516075</v>
      </c>
      <c r="L4" s="75">
        <f>DEGREES(K4)</f>
        <v>66.75069639269374</v>
      </c>
      <c r="M4" s="74">
        <v>0</v>
      </c>
      <c r="N4" s="74">
        <v>0</v>
      </c>
      <c r="O4" s="71">
        <f>RADIANS(P4)</f>
        <v>0.35029360641672724</v>
      </c>
      <c r="P4" s="75">
        <f>PROP_InOut!$K$12*(1-(B4-0.5)/PROP_InOut!$M$4)+PROP_InOut!$J$4*((B4-0.5)/PROP_InOut!$M$4)</f>
        <v>20.070345238095243</v>
      </c>
      <c r="Q4" s="71">
        <f>RADIANS(R4)</f>
        <v>-0.81472582363488033</v>
      </c>
      <c r="R4" s="76">
        <f>P4-L4-N4</f>
        <v>-46.680351154598497</v>
      </c>
      <c r="AO4" s="77">
        <f>PROP_InOut!$F$8*'PROP_Table (2)'!I4*'PROP_Table (2)'!E4</f>
        <v>0</v>
      </c>
      <c r="AP4" s="80"/>
      <c r="AQ4" s="80"/>
      <c r="AR4" s="71">
        <f>0.5*PROP_InOut!$J$8*I4^2*E4*AP4*PROP_InOut!$G$8</f>
        <v>0</v>
      </c>
      <c r="AS4" s="71">
        <f>0.5*PROP_InOut!$J$8*I4^2*E4*AQ4*PROP_InOut!$G$8</f>
        <v>0</v>
      </c>
      <c r="AT4" s="71">
        <f t="shared" ref="AT4:AT41" si="0">(BB4*COS(K4+M4)-BC4*SIN(K4+M4))</f>
        <v>0</v>
      </c>
      <c r="AU4" s="71">
        <f t="shared" ref="AU4:AU41" si="1">(C4*(BB4*SIN(K4+M4)+BC4*COS(K4+M4)))</f>
        <v>0</v>
      </c>
      <c r="AV4" s="55">
        <f t="shared" ref="AV4:AV41" si="2">(H4*(BB4*SIN(K4+M4)+BC4*COS(K4+M4)))</f>
        <v>0</v>
      </c>
      <c r="AW4" s="79">
        <f>PROP_InOut!$G$4/2*((PROP_InOut!$E$8-'PROP_Table (2)'!C4)/('PROP_Table (2)'!C4*SIN('PROP_Table (2)'!K4)))</f>
        <v>17.053567782939307</v>
      </c>
      <c r="AX4" s="79">
        <f>2/PI()*ACOS(EXP(-AW4))</f>
        <v>0.99999997501900473</v>
      </c>
      <c r="AY4" s="79">
        <f>PROP_InOut!$G$4/2*((C4-PROP_InOut!$J$12/2)/(C4*SIN('PROP_Table (2)'!K4)))</f>
        <v>8.5029755599019367E-3</v>
      </c>
      <c r="AZ4" s="79">
        <f>2/PI()*ACOS(EXP(-AY4))</f>
        <v>8.2901988286477546E-2</v>
      </c>
      <c r="BA4" s="79">
        <f>AZ4*AX4</f>
        <v>8.2901986215503362E-2</v>
      </c>
      <c r="BB4" s="72">
        <f>0.5*PROP_InOut!$J$8*I4^2*E4*AP4*PROP_InOut!$G$8</f>
        <v>0</v>
      </c>
      <c r="BC4" s="72">
        <f>0.5*PROP_InOut!$J$8*I4^2*E4*AQ4*PROP_InOut!$G$8</f>
        <v>0</v>
      </c>
      <c r="BD4" s="72">
        <f t="shared" ref="BD4:BD41" si="3">BA4*(BB4*COS(K4+M4)-BC4*SIN(K4+M4))</f>
        <v>0</v>
      </c>
      <c r="BE4" s="72">
        <f t="shared" ref="BE4:BE41" si="4">BA4*(C4*(BB4*SIN(K4+M4)+BC4*COS(K4+M4)))</f>
        <v>0</v>
      </c>
      <c r="BF4" s="72">
        <f>BA4*(H4*(BB4*SIN(K4+M4)+BC4*COS(K4+M4)))</f>
        <v>0</v>
      </c>
      <c r="BG4" s="78"/>
      <c r="BH4" s="37">
        <f>PROP_InOut!$G$4*SUM(AT$4:AT$42)</f>
        <v>53.042629635006193</v>
      </c>
      <c r="BI4" s="37">
        <f>PROP_InOut!$G$4*SUM(AU:AU)</f>
        <v>2.5902579033471294</v>
      </c>
      <c r="BJ4" s="37">
        <f>PROP_InOut!$G$4*SUM(AV:AV)</f>
        <v>1356.2558666763737</v>
      </c>
    </row>
    <row r="5" spans="1:62" x14ac:dyDescent="0.25">
      <c r="A5" s="174"/>
      <c r="B5" s="70">
        <v>2</v>
      </c>
      <c r="C5" s="71">
        <v>2.4E-2</v>
      </c>
      <c r="D5" s="72">
        <f>C5/PROP_InOut!$E$8</f>
        <v>8.9988751406074249E-2</v>
      </c>
      <c r="E5" s="72"/>
      <c r="F5" s="73">
        <f>E5*PROP_InOut!$G$8</f>
        <v>0</v>
      </c>
      <c r="G5" s="74">
        <f>PROP_InOut!$C$4</f>
        <v>19.5</v>
      </c>
      <c r="H5" s="71">
        <f>PROP_InOut!$C$8*'PROP_Table (2)'!C5</f>
        <v>12.566370614359172</v>
      </c>
      <c r="I5" s="75">
        <f t="shared" ref="I5:I41" si="5">SQRT(G5^2+H5^2)</f>
        <v>23.198354907566824</v>
      </c>
      <c r="J5" s="76">
        <f>I5/PROP_InOut!$D$8</f>
        <v>6.7024690203567217E-2</v>
      </c>
      <c r="K5" s="71">
        <f t="shared" ref="K5:K41" si="6">ATAN(G5/H5)</f>
        <v>0.99834724015968013</v>
      </c>
      <c r="L5" s="75">
        <f t="shared" ref="L5:L41" si="7">DEGREES(K5)</f>
        <v>57.20108334968328</v>
      </c>
      <c r="M5" s="74">
        <v>0</v>
      </c>
      <c r="N5" s="74">
        <v>0</v>
      </c>
      <c r="O5" s="71">
        <f t="shared" ref="O5:O41" si="8">RADIANS(P5)</f>
        <v>0.34540211341072119</v>
      </c>
      <c r="P5" s="75">
        <f>PROP_InOut!$K$12*(1-(B5-0.5)/PROP_InOut!$M$4)+PROP_InOut!$J$4*((B5-0.5)/PROP_InOut!$M$4)</f>
        <v>19.790083333333335</v>
      </c>
      <c r="Q5" s="71">
        <f t="shared" ref="Q5:Q22" si="9">RADIANS(R5)</f>
        <v>-0.65294512674895899</v>
      </c>
      <c r="R5" s="76">
        <f t="shared" ref="R5:R41" si="10">P5-L5-N5</f>
        <v>-37.411000016349945</v>
      </c>
      <c r="AO5" s="77">
        <f>PROP_InOut!$F$8*'PROP_Table (2)'!I5*'PROP_Table (2)'!E5</f>
        <v>0</v>
      </c>
      <c r="AP5" s="71"/>
      <c r="AQ5" s="71"/>
      <c r="AR5" s="71">
        <f>0.5*PROP_InOut!$J$8*I5^2*E5*AP5*PROP_InOut!$G$8</f>
        <v>0</v>
      </c>
      <c r="AS5" s="71">
        <f>0.5*PROP_InOut!$J$8*I5^2*E5*AQ5*PROP_InOut!$G$8</f>
        <v>0</v>
      </c>
      <c r="AT5" s="71">
        <f t="shared" si="0"/>
        <v>0</v>
      </c>
      <c r="AU5" s="71">
        <f t="shared" si="1"/>
        <v>0</v>
      </c>
      <c r="AV5" s="55">
        <f t="shared" si="2"/>
        <v>0</v>
      </c>
      <c r="AW5" s="79">
        <f>PROP_InOut!$G$4/2*((PROP_InOut!$E$8-'PROP_Table (2)'!C5)/('PROP_Table (2)'!C5*SIN('PROP_Table (2)'!K5)))</f>
        <v>12.030428923218947</v>
      </c>
      <c r="AX5" s="79">
        <f t="shared" ref="AX5:AX41" si="11">2/PI()*ACOS(EXP(-AW5))</f>
        <v>0.99999620570383652</v>
      </c>
      <c r="AY5" s="79">
        <f>PROP_InOut!$G$4/2*((C5-PROP_InOut!$J$12/2)/(C5*SIN('PROP_Table (2)'!K5)))</f>
        <v>0.40274921714525735</v>
      </c>
      <c r="AZ5" s="79">
        <f t="shared" ref="AZ5:AZ41" si="12">2/PI()*ACOS(EXP(-AY5))</f>
        <v>0.5338906983486652</v>
      </c>
      <c r="BA5" s="79">
        <f t="shared" ref="BA5:BA41" si="13">AZ5*AX5</f>
        <v>0.53388867260923678</v>
      </c>
      <c r="BB5" s="72">
        <f>0.5*PROP_InOut!$J$8*I5^2*E5*AP5*PROP_InOut!$G$8</f>
        <v>0</v>
      </c>
      <c r="BC5" s="72">
        <f>0.5*PROP_InOut!$J$8*I5^2*E5*AQ5*PROP_InOut!$G$8</f>
        <v>0</v>
      </c>
      <c r="BD5" s="72">
        <f t="shared" si="3"/>
        <v>0</v>
      </c>
      <c r="BE5" s="72">
        <f t="shared" si="4"/>
        <v>0</v>
      </c>
      <c r="BF5" s="72">
        <f t="shared" ref="BF5:BF9" si="14">H5*(BB5*SIN(K5+M5)+BC5*COS(K5+M5))</f>
        <v>0</v>
      </c>
      <c r="BG5" s="78"/>
      <c r="BH5" s="35"/>
      <c r="BI5" s="35"/>
      <c r="BJ5" s="35"/>
    </row>
    <row r="6" spans="1:62" x14ac:dyDescent="0.25">
      <c r="A6" s="174"/>
      <c r="B6" s="70">
        <v>3</v>
      </c>
      <c r="C6" s="71">
        <v>3.2000000000000001E-2</v>
      </c>
      <c r="D6" s="72">
        <f>C6/PROP_InOut!$E$8</f>
        <v>0.11998500187476566</v>
      </c>
      <c r="E6" s="72"/>
      <c r="F6" s="73">
        <f>E6*PROP_InOut!$G$8</f>
        <v>0</v>
      </c>
      <c r="G6" s="74">
        <f>PROP_InOut!$C$4</f>
        <v>19.5</v>
      </c>
      <c r="H6" s="71">
        <f>PROP_InOut!$C$8*'PROP_Table (2)'!C6</f>
        <v>16.755160819145562</v>
      </c>
      <c r="I6" s="75">
        <f t="shared" si="5"/>
        <v>25.709636599443225</v>
      </c>
      <c r="J6" s="76">
        <f>I6/PROP_InOut!$D$8</f>
        <v>7.4280285614645447E-2</v>
      </c>
      <c r="K6" s="71">
        <f t="shared" si="6"/>
        <v>0.86096293139054403</v>
      </c>
      <c r="L6" s="75">
        <f t="shared" si="7"/>
        <v>49.329542285889637</v>
      </c>
      <c r="M6" s="74">
        <v>0</v>
      </c>
      <c r="N6" s="74">
        <v>0</v>
      </c>
      <c r="O6" s="71">
        <f t="shared" si="8"/>
        <v>0.34051062040471519</v>
      </c>
      <c r="P6" s="75">
        <f>PROP_InOut!$K$12*(1-(B6-0.5)/PROP_InOut!$M$4)+PROP_InOut!$J$4*((B6-0.5)/PROP_InOut!$M$4)</f>
        <v>19.509821428571431</v>
      </c>
      <c r="Q6" s="71">
        <f t="shared" si="9"/>
        <v>-0.52045231098582889</v>
      </c>
      <c r="R6" s="76">
        <f t="shared" si="10"/>
        <v>-29.819720857318206</v>
      </c>
      <c r="Y6" s="125">
        <v>0.31037999999999999</v>
      </c>
      <c r="Z6" s="125">
        <v>2.4029999999999999E-2</v>
      </c>
      <c r="AI6">
        <v>1.2260974984208941</v>
      </c>
      <c r="AJ6">
        <v>1.2265743583411572</v>
      </c>
      <c r="AK6">
        <v>1.2040976360406923</v>
      </c>
      <c r="AO6" s="77">
        <f>PROP_InOut!$F$8*'PROP_Table (2)'!I6*'PROP_Table (2)'!E6</f>
        <v>0</v>
      </c>
      <c r="AP6" s="71"/>
      <c r="AQ6" s="71"/>
      <c r="AR6" s="71">
        <f>0.5*PROP_InOut!$J$8*I6^2*E6*AP6*PROP_InOut!$G$8</f>
        <v>0</v>
      </c>
      <c r="AS6" s="71">
        <f>0.5*PROP_InOut!$J$8*I6^2*E6*AQ6*PROP_InOut!$G$8</f>
        <v>0</v>
      </c>
      <c r="AT6" s="71">
        <f t="shared" si="0"/>
        <v>0</v>
      </c>
      <c r="AU6" s="71">
        <f t="shared" si="1"/>
        <v>0</v>
      </c>
      <c r="AV6" s="55">
        <f t="shared" si="2"/>
        <v>0</v>
      </c>
      <c r="AW6" s="79">
        <f>PROP_InOut!$G$4/2*((PROP_InOut!$E$8-'PROP_Table (2)'!C6)/('PROP_Table (2)'!C6*SIN('PROP_Table (2)'!K6)))</f>
        <v>9.6699546632841749</v>
      </c>
      <c r="AX6" s="79">
        <f t="shared" si="11"/>
        <v>0.99995979573075722</v>
      </c>
      <c r="AY6" s="79">
        <f>PROP_InOut!$G$4/2*((C6-PROP_InOut!$J$12/2)/(C6*SIN('PROP_Table (2)'!K6)))</f>
        <v>0.66437161885580454</v>
      </c>
      <c r="AZ6" s="79">
        <f t="shared" si="12"/>
        <v>0.65588324873621406</v>
      </c>
      <c r="BA6" s="79">
        <f t="shared" si="13"/>
        <v>0.65585687942949</v>
      </c>
      <c r="BB6" s="72">
        <f>0.5*PROP_InOut!$J$8*I6^2*E6*AP6*PROP_InOut!$G$8</f>
        <v>0</v>
      </c>
      <c r="BC6" s="72">
        <f>0.5*PROP_InOut!$J$8*I6^2*E6*AQ6*PROP_InOut!$G$8</f>
        <v>0</v>
      </c>
      <c r="BD6" s="72">
        <f t="shared" si="3"/>
        <v>0</v>
      </c>
      <c r="BE6" s="72">
        <f t="shared" si="4"/>
        <v>0</v>
      </c>
      <c r="BF6" s="72">
        <f t="shared" si="14"/>
        <v>0</v>
      </c>
      <c r="BG6" s="78"/>
      <c r="BH6" s="83" t="s">
        <v>81</v>
      </c>
      <c r="BI6" s="84"/>
      <c r="BJ6" s="85"/>
    </row>
    <row r="7" spans="1:62" x14ac:dyDescent="0.25">
      <c r="A7" s="174"/>
      <c r="B7" s="70">
        <v>4</v>
      </c>
      <c r="C7" s="71">
        <v>0.04</v>
      </c>
      <c r="D7" s="72">
        <f>C7/PROP_InOut!$E$8</f>
        <v>0.14998125234345708</v>
      </c>
      <c r="E7" s="72"/>
      <c r="F7" s="73">
        <f>E7*PROP_InOut!$G$8</f>
        <v>0</v>
      </c>
      <c r="G7" s="74">
        <f>PROP_InOut!$C$4</f>
        <v>19.5</v>
      </c>
      <c r="H7" s="71">
        <f>PROP_InOut!$C$8*'PROP_Table (2)'!C7</f>
        <v>20.943951023931955</v>
      </c>
      <c r="I7" s="75">
        <f t="shared" si="5"/>
        <v>28.616412851593758</v>
      </c>
      <c r="J7" s="76">
        <f>I7/PROP_InOut!$D$8</f>
        <v>8.2678543963901396E-2</v>
      </c>
      <c r="K7" s="71">
        <f t="shared" si="6"/>
        <v>0.74971080012504743</v>
      </c>
      <c r="L7" s="75">
        <f t="shared" si="7"/>
        <v>42.95526470254125</v>
      </c>
      <c r="M7" s="74">
        <v>0</v>
      </c>
      <c r="N7" s="74">
        <v>0</v>
      </c>
      <c r="O7" s="71">
        <f t="shared" si="8"/>
        <v>0.33561912739870919</v>
      </c>
      <c r="P7" s="75">
        <f>PROP_InOut!$K$12*(1-(B7-0.5)/PROP_InOut!$M$4)+PROP_InOut!$J$4*((B7-0.5)/PROP_InOut!$M$4)</f>
        <v>19.229559523809527</v>
      </c>
      <c r="Q7" s="71">
        <f t="shared" si="9"/>
        <v>-0.41409167272633829</v>
      </c>
      <c r="R7" s="76">
        <f t="shared" si="10"/>
        <v>-23.725705178731722</v>
      </c>
      <c r="W7" s="142"/>
      <c r="AO7" s="77">
        <f>PROP_InOut!$F$8*'PROP_Table (2)'!I7*'PROP_Table (2)'!E7</f>
        <v>0</v>
      </c>
      <c r="AP7" s="71"/>
      <c r="AQ7" s="71"/>
      <c r="AR7" s="71">
        <f>0.5*PROP_InOut!$J$8*I7^2*E7*AP7*PROP_InOut!$G$8</f>
        <v>0</v>
      </c>
      <c r="AS7" s="71">
        <f>0.5*PROP_InOut!$J$8*I7^2*E7*AQ7*PROP_InOut!$G$8</f>
        <v>0</v>
      </c>
      <c r="AT7" s="71">
        <f t="shared" si="0"/>
        <v>0</v>
      </c>
      <c r="AU7" s="71">
        <f t="shared" si="1"/>
        <v>0</v>
      </c>
      <c r="AV7" s="55">
        <f t="shared" si="2"/>
        <v>0</v>
      </c>
      <c r="AW7" s="79">
        <f>PROP_InOut!$G$4/2*((PROP_InOut!$E$8-'PROP_Table (2)'!C7)/('PROP_Table (2)'!C7*SIN('PROP_Table (2)'!K7)))</f>
        <v>8.3171035813542371</v>
      </c>
      <c r="AX7" s="79">
        <f t="shared" si="11"/>
        <v>0.99984447223305095</v>
      </c>
      <c r="AY7" s="79">
        <f>PROP_InOut!$G$4/2*((C7-PROP_InOut!$J$12/2)/(C7*SIN('PROP_Table (2)'!K7)))</f>
        <v>0.88509097441628137</v>
      </c>
      <c r="AZ7" s="79">
        <f t="shared" si="12"/>
        <v>0.72918791450750398</v>
      </c>
      <c r="BA7" s="79">
        <f t="shared" si="13"/>
        <v>0.72907450553947439</v>
      </c>
      <c r="BB7" s="72">
        <f>0.5*PROP_InOut!$J$8*I7^2*E7*AP7*PROP_InOut!$G$8</f>
        <v>0</v>
      </c>
      <c r="BC7" s="72">
        <f>0.5*PROP_InOut!$J$8*I7^2*E7*AQ7*PROP_InOut!$G$8</f>
        <v>0</v>
      </c>
      <c r="BD7" s="72">
        <f t="shared" si="3"/>
        <v>0</v>
      </c>
      <c r="BE7" s="72">
        <f t="shared" si="4"/>
        <v>0</v>
      </c>
      <c r="BF7" s="72">
        <f t="shared" si="14"/>
        <v>0</v>
      </c>
      <c r="BG7" s="78"/>
      <c r="BH7" s="4" t="s">
        <v>60</v>
      </c>
      <c r="BI7" s="4" t="s">
        <v>61</v>
      </c>
      <c r="BJ7" s="4" t="s">
        <v>62</v>
      </c>
    </row>
    <row r="8" spans="1:62" x14ac:dyDescent="0.25">
      <c r="A8" s="174"/>
      <c r="B8" s="70">
        <v>5</v>
      </c>
      <c r="C8" s="71">
        <v>4.8000000000000001E-2</v>
      </c>
      <c r="D8" s="72">
        <f>C8/PROP_InOut!$E$8</f>
        <v>0.1799775028121485</v>
      </c>
      <c r="E8" s="72"/>
      <c r="F8" s="73">
        <f>E8*PROP_InOut!$G$8</f>
        <v>0</v>
      </c>
      <c r="G8" s="74">
        <f>PROP_InOut!$C$4</f>
        <v>19.5</v>
      </c>
      <c r="H8" s="71">
        <f>PROP_InOut!$C$8*'PROP_Table (2)'!C8</f>
        <v>25.132741228718345</v>
      </c>
      <c r="I8" s="75">
        <f t="shared" si="5"/>
        <v>31.810449252874736</v>
      </c>
      <c r="J8" s="76">
        <f>I8/PROP_InOut!$D$8</f>
        <v>9.1906754375707195E-2</v>
      </c>
      <c r="K8" s="71">
        <f t="shared" si="6"/>
        <v>0.65985983632625689</v>
      </c>
      <c r="L8" s="75">
        <f t="shared" si="7"/>
        <v>37.807183691687804</v>
      </c>
      <c r="M8" s="74">
        <v>0</v>
      </c>
      <c r="N8" s="74">
        <v>0</v>
      </c>
      <c r="O8" s="71">
        <f t="shared" si="8"/>
        <v>0.33072763439270314</v>
      </c>
      <c r="P8" s="75">
        <f>PROP_InOut!$K$12*(1-(B8-0.5)/PROP_InOut!$M$4)+PROP_InOut!$J$4*((B8-0.5)/PROP_InOut!$M$4)</f>
        <v>18.94929761904762</v>
      </c>
      <c r="Q8" s="71">
        <f t="shared" si="9"/>
        <v>-0.3291322019335538</v>
      </c>
      <c r="R8" s="76">
        <f t="shared" si="10"/>
        <v>-18.857886072640184</v>
      </c>
      <c r="W8" s="140">
        <f>W10</f>
        <v>4.3506619203383883</v>
      </c>
      <c r="Y8" s="125">
        <v>0.39704</v>
      </c>
      <c r="Z8" s="125">
        <v>1.593E-2</v>
      </c>
      <c r="AO8" s="77">
        <f>PROP_InOut!$F$8*'PROP_Table (2)'!I8*'PROP_Table (2)'!E8</f>
        <v>0</v>
      </c>
      <c r="AP8" s="71"/>
      <c r="AQ8" s="71"/>
      <c r="AR8" s="71">
        <f>0.5*PROP_InOut!$J$8*I8^2*E8*AP8*PROP_InOut!$G$8</f>
        <v>0</v>
      </c>
      <c r="AS8" s="71">
        <f>0.5*PROP_InOut!$J$8*I8^2*E8*AQ8*PROP_InOut!$G$8</f>
        <v>0</v>
      </c>
      <c r="AT8" s="71">
        <f t="shared" si="0"/>
        <v>0</v>
      </c>
      <c r="AU8" s="71">
        <f t="shared" si="1"/>
        <v>0</v>
      </c>
      <c r="AV8" s="55">
        <f t="shared" si="2"/>
        <v>0</v>
      </c>
      <c r="AW8" s="79">
        <f>PROP_InOut!$G$4/2*((PROP_InOut!$E$8-'PROP_Table (2)'!C8)/('PROP_Table (2)'!C8*SIN('PROP_Table (2)'!K8)))</f>
        <v>7.4326338158159242</v>
      </c>
      <c r="AX8" s="79">
        <f t="shared" si="11"/>
        <v>0.99962335839132044</v>
      </c>
      <c r="AY8" s="79">
        <f>PROP_InOut!$G$4/2*((C8-PROP_InOut!$J$12/2)/(C8*SIN('PROP_Table (2)'!K8)))</f>
        <v>1.091784916932266</v>
      </c>
      <c r="AZ8" s="79">
        <f t="shared" si="12"/>
        <v>0.78211048545670692</v>
      </c>
      <c r="BA8" s="79">
        <f t="shared" si="13"/>
        <v>0.78181591010529938</v>
      </c>
      <c r="BB8" s="72">
        <f>0.5*PROP_InOut!$J$8*I8^2*E8*AP8*PROP_InOut!$G$8</f>
        <v>0</v>
      </c>
      <c r="BC8" s="72">
        <f>0.5*PROP_InOut!$J$8*I8^2*E8*AQ8*PROP_InOut!$G$8</f>
        <v>0</v>
      </c>
      <c r="BD8" s="72">
        <f t="shared" si="3"/>
        <v>0</v>
      </c>
      <c r="BE8" s="72">
        <f t="shared" si="4"/>
        <v>0</v>
      </c>
      <c r="BF8" s="72">
        <f t="shared" si="14"/>
        <v>0</v>
      </c>
      <c r="BG8" s="78"/>
      <c r="BH8" s="23" t="s">
        <v>26</v>
      </c>
      <c r="BI8" s="23" t="s">
        <v>27</v>
      </c>
      <c r="BJ8" s="23" t="s">
        <v>28</v>
      </c>
    </row>
    <row r="9" spans="1:62" ht="15.75" thickBot="1" x14ac:dyDescent="0.3">
      <c r="A9" s="174"/>
      <c r="B9" s="70">
        <v>6</v>
      </c>
      <c r="C9" s="71">
        <v>6.275E-2</v>
      </c>
      <c r="D9" s="72">
        <f>C9/PROP_InOut!$E$8</f>
        <v>0.23528308961379829</v>
      </c>
      <c r="E9" s="72"/>
      <c r="F9" s="73">
        <f>E9*PROP_InOut!$G$8</f>
        <v>0</v>
      </c>
      <c r="G9" s="74">
        <f>PROP_InOut!$C$4</f>
        <v>19.5</v>
      </c>
      <c r="H9" s="71">
        <f>PROP_InOut!$C$8*'PROP_Table (2)'!C9</f>
        <v>32.85582316879325</v>
      </c>
      <c r="I9" s="75">
        <f t="shared" si="5"/>
        <v>38.206741762403809</v>
      </c>
      <c r="J9" s="76">
        <f>I9/PROP_InOut!$D$8</f>
        <v>0.11038692357782365</v>
      </c>
      <c r="K9" s="71">
        <f t="shared" si="6"/>
        <v>0.5356279320262527</v>
      </c>
      <c r="L9" s="75">
        <f t="shared" si="7"/>
        <v>30.689219894424419</v>
      </c>
      <c r="M9" s="74">
        <v>0</v>
      </c>
      <c r="N9" s="74">
        <v>0</v>
      </c>
      <c r="O9" s="71">
        <f t="shared" si="8"/>
        <v>0.3258361413866972</v>
      </c>
      <c r="P9" s="75">
        <f>PROP_InOut!$K$12*(1-(B9-0.5)/PROP_InOut!$M$4)+PROP_InOut!$J$4*((B9-0.5)/PROP_InOut!$M$4)</f>
        <v>18.66903571428572</v>
      </c>
      <c r="Q9" s="71">
        <f t="shared" si="9"/>
        <v>-0.2097917906395555</v>
      </c>
      <c r="R9" s="76">
        <f t="shared" si="10"/>
        <v>-12.020184180138699</v>
      </c>
      <c r="AG9" t="s">
        <v>103</v>
      </c>
      <c r="AH9" s="179" t="s">
        <v>104</v>
      </c>
      <c r="AI9" s="179"/>
      <c r="AJ9" s="179"/>
      <c r="AK9" s="179"/>
      <c r="AL9" s="179"/>
      <c r="AM9" s="179"/>
      <c r="AN9" t="s">
        <v>97</v>
      </c>
      <c r="AO9" s="77">
        <f>PROP_InOut!$F$8*'PROP_Table (2)'!I9*'PROP_Table (2)'!E9</f>
        <v>0</v>
      </c>
      <c r="AP9" s="71"/>
      <c r="AQ9" s="71"/>
      <c r="AR9" s="71">
        <f>0.5*PROP_InOut!$J$8*I9^2*E9*AP9*PROP_InOut!$G$8</f>
        <v>0</v>
      </c>
      <c r="AS9" s="71">
        <f>0.5*PROP_InOut!$J$8*I9^2*E9*AQ9*PROP_InOut!$G$8</f>
        <v>0</v>
      </c>
      <c r="AT9" s="71">
        <f t="shared" si="0"/>
        <v>0</v>
      </c>
      <c r="AU9" s="71">
        <f t="shared" si="1"/>
        <v>0</v>
      </c>
      <c r="AV9" s="55">
        <f t="shared" si="2"/>
        <v>0</v>
      </c>
      <c r="AW9" s="79">
        <f>PROP_InOut!$G$4/2*((PROP_InOut!$E$8-'PROP_Table (2)'!C9)/('PROP_Table (2)'!C9*SIN('PROP_Table (2)'!K9)))</f>
        <v>6.3681805965408156</v>
      </c>
      <c r="AX9" s="79">
        <f t="shared" si="11"/>
        <v>0.99890802010332491</v>
      </c>
      <c r="AY9" s="79">
        <f>PROP_InOut!$G$4/2*((C9-PROP_InOut!$J$12/2)/(C9*SIN('PROP_Table (2)'!K9)))</f>
        <v>1.4636355256820335</v>
      </c>
      <c r="AZ9" s="79">
        <f t="shared" si="12"/>
        <v>0.85134303117200771</v>
      </c>
      <c r="BA9" s="79">
        <f t="shared" si="13"/>
        <v>0.85041338169679348</v>
      </c>
      <c r="BB9" s="72">
        <f>0.5*PROP_InOut!$J$8*I9^2*E9*AP9*PROP_InOut!$G$8</f>
        <v>0</v>
      </c>
      <c r="BC9" s="72">
        <f>0.5*PROP_InOut!$J$8*I9^2*E9*AQ9*PROP_InOut!$G$8</f>
        <v>0</v>
      </c>
      <c r="BD9" s="72">
        <f t="shared" si="3"/>
        <v>0</v>
      </c>
      <c r="BE9" s="72">
        <f t="shared" si="4"/>
        <v>0</v>
      </c>
      <c r="BF9" s="72">
        <f t="shared" si="14"/>
        <v>0</v>
      </c>
      <c r="BG9" s="78"/>
      <c r="BH9" s="37">
        <f>PROP_InOut!$G$4*SUM(BD$4:BD$42)</f>
        <v>44.444037976238036</v>
      </c>
      <c r="BI9" s="37">
        <f>PROP_InOut!$G$4*SUM(BE$4:BE$42)</f>
        <v>2.1700564938072033</v>
      </c>
      <c r="BJ9" s="37">
        <f>PROP_InOut!$G$4*SUM(BF$4:BF$42)</f>
        <v>1136.2389231365887</v>
      </c>
    </row>
    <row r="10" spans="1:62" s="96" customFormat="1" ht="15.75" thickBot="1" x14ac:dyDescent="0.3">
      <c r="A10" s="174"/>
      <c r="B10" s="82">
        <v>7</v>
      </c>
      <c r="C10" s="87">
        <v>7.1059040000000004E-2</v>
      </c>
      <c r="D10" s="88">
        <f>C10/PROP_InOut!$E$8</f>
        <v>0.26643809523809525</v>
      </c>
      <c r="E10" s="88">
        <v>4.0860979999999998E-2</v>
      </c>
      <c r="F10" s="89">
        <f>E10*PROP_InOut!$G$8</f>
        <v>2.5622388271249997E-4</v>
      </c>
      <c r="G10" s="90">
        <f>PROP_InOut!$C$4</f>
        <v>19.5</v>
      </c>
      <c r="H10" s="91">
        <f>PROP_InOut!$C$8*'PROP_Table (2)'!C10</f>
        <v>37.206426339190543</v>
      </c>
      <c r="I10" s="92">
        <f t="shared" si="5"/>
        <v>42.006763276091768</v>
      </c>
      <c r="J10" s="93">
        <f>I10/PROP_InOut!$D$8</f>
        <v>0.12136594626010659</v>
      </c>
      <c r="K10" s="91">
        <f t="shared" si="6"/>
        <v>0.48274356436995453</v>
      </c>
      <c r="L10" s="92">
        <f t="shared" si="7"/>
        <v>27.659168825500377</v>
      </c>
      <c r="M10" s="90">
        <f>RADIANS(N10)</f>
        <v>7.8106438069132492E-2</v>
      </c>
      <c r="N10" s="90">
        <f>V10</f>
        <v>4.4751692541612345</v>
      </c>
      <c r="O10" s="91">
        <f t="shared" si="8"/>
        <v>0.63678337759013115</v>
      </c>
      <c r="P10" s="87">
        <v>36.484999999999999</v>
      </c>
      <c r="Q10" s="91">
        <f t="shared" si="9"/>
        <v>7.5933375151044119E-2</v>
      </c>
      <c r="R10" s="93">
        <f t="shared" si="10"/>
        <v>4.3506619203383883</v>
      </c>
      <c r="S10" s="127">
        <f>TAN(AE10)*X10</f>
        <v>3.4201633116970078</v>
      </c>
      <c r="T10" s="127">
        <f>X10</f>
        <v>43.699565754699456</v>
      </c>
      <c r="U10" s="122">
        <v>3.4201633112787717</v>
      </c>
      <c r="V10" s="122">
        <v>4.4751692541612345</v>
      </c>
      <c r="W10" s="123">
        <f>P10-L10-V10</f>
        <v>4.3506619203383883</v>
      </c>
      <c r="X10" s="122">
        <f>SQRT((U10+G10)^2+H10^2)</f>
        <v>43.699565754699456</v>
      </c>
      <c r="Y10" s="128">
        <v>1.0672299999999999</v>
      </c>
      <c r="Z10" s="127">
        <v>2.2069999999999999E-2</v>
      </c>
      <c r="AA10" s="122">
        <f>((8*PI()*C10*U10)/(E10*2))-((X10)/(G10+U10))*(Y10*H10-Z10*(U10+G10))</f>
        <v>-1.0146180784431635E-8</v>
      </c>
      <c r="AB10" s="122">
        <f>((8*PI()*C10)/(E10*2))-Y10*H10*((1/X10)-(X10/((G10+U10)^2)))+Z10*((U10+G10)/X10)</f>
        <v>24.259461014994081</v>
      </c>
      <c r="AC10" s="122">
        <f>U10-(AA10/AB10)</f>
        <v>3.4201633116970078</v>
      </c>
      <c r="AD10" s="138">
        <f>AC10-U10</f>
        <v>4.1823611240943137E-10</v>
      </c>
      <c r="AE10" s="122">
        <f>ATAN(AC10/X10)</f>
        <v>7.8106165064506475E-2</v>
      </c>
      <c r="AF10" s="122">
        <f>DEGREES(AE10)</f>
        <v>4.4751536121483761</v>
      </c>
      <c r="AG10" s="143">
        <f>J10</f>
        <v>0.12136594626010659</v>
      </c>
      <c r="AH10" s="129"/>
      <c r="AI10" s="129"/>
      <c r="AJ10" s="129"/>
      <c r="AK10" s="129"/>
      <c r="AL10" s="129"/>
      <c r="AM10" s="129"/>
      <c r="AN10" s="130">
        <v>4.4751692541612345</v>
      </c>
      <c r="AO10" s="94">
        <f>PROP_InOut!$F$8*'PROP_Table (2)'!I10*'PROP_Table (2)'!E10</f>
        <v>111145.75323409414</v>
      </c>
      <c r="AP10" s="91">
        <f>Y10</f>
        <v>1.0672299999999999</v>
      </c>
      <c r="AQ10" s="91">
        <f>Z10</f>
        <v>2.2069999999999999E-2</v>
      </c>
      <c r="AR10" s="8">
        <f>0.5*PROP_InOut!$J$8*I10^2*E10*AP10*(C10-C9)</f>
        <v>0.38030798203632943</v>
      </c>
      <c r="AS10" s="8">
        <f>0.5*PROP_InOut!$J$8*I10^2*E10*AQ10*(C10-C9)</f>
        <v>7.8646563192018501E-3</v>
      </c>
      <c r="AT10" s="91">
        <f t="shared" si="0"/>
        <v>0.34399766877858701</v>
      </c>
      <c r="AU10" s="91">
        <f t="shared" si="1"/>
        <v>1.6068425321681758E-2</v>
      </c>
      <c r="AV10" s="95">
        <f t="shared" si="2"/>
        <v>8.4134078242252706</v>
      </c>
      <c r="AW10" s="88">
        <f>PROP_InOut!$G$4/2*((PROP_InOut!$E$8-'PROP_Table (2)'!C10)/('PROP_Table (2)'!C10*SIN('PROP_Table (2)'!K10)))</f>
        <v>5.930960850285028</v>
      </c>
      <c r="AX10" s="88">
        <f t="shared" si="11"/>
        <v>0.99830918121619006</v>
      </c>
      <c r="AY10" s="88">
        <f>PROP_InOut!$G$4/2*((C10-PROP_InOut!$J$12/2)/(C10*SIN('PROP_Table (2)'!K10)))</f>
        <v>1.6729338314459461</v>
      </c>
      <c r="AZ10" s="88">
        <f t="shared" si="12"/>
        <v>0.87979631217725851</v>
      </c>
      <c r="BA10" s="88">
        <f t="shared" si="13"/>
        <v>0.87830873604670245</v>
      </c>
      <c r="BB10" s="25">
        <f>0.5*PROP_InOut!$J$8*T10^2*E10*AP10*(C10-C9)</f>
        <v>0.4115771396774171</v>
      </c>
      <c r="BC10" s="25">
        <f>0.5*PROP_InOut!$J$8*T10^2*E10*AQ10*(C10-C9)</f>
        <v>8.5112932289015449E-3</v>
      </c>
      <c r="BD10" s="88">
        <f t="shared" si="3"/>
        <v>0.30213615766793295</v>
      </c>
      <c r="BE10" s="88">
        <f t="shared" si="4"/>
        <v>1.4113038334547133E-2</v>
      </c>
      <c r="BF10" s="88">
        <f>H10*(BB10*SIN(K10+M10)+BC10*COS(K10+M10))*BA10</f>
        <v>7.3895695919407345</v>
      </c>
      <c r="BG10" s="90"/>
      <c r="BH10" s="109">
        <f>BH9</f>
        <v>44.444037976238036</v>
      </c>
      <c r="BI10" s="141">
        <f>BI9</f>
        <v>2.1700564938072033</v>
      </c>
    </row>
    <row r="11" spans="1:62" s="96" customFormat="1" ht="15.75" thickBot="1" x14ac:dyDescent="0.3">
      <c r="A11" s="174"/>
      <c r="B11" s="82">
        <v>8</v>
      </c>
      <c r="C11" s="87">
        <v>7.4612499999999998E-2</v>
      </c>
      <c r="D11" s="88">
        <f>C11/PROP_InOut!$E$8</f>
        <v>0.27976190476190477</v>
      </c>
      <c r="E11" s="88">
        <v>4.1567100000000003E-2</v>
      </c>
      <c r="F11" s="89">
        <f>E11*PROP_InOut!$G$8</f>
        <v>2.6065169643749999E-4</v>
      </c>
      <c r="G11" s="90">
        <f>PROP_InOut!$C$4</f>
        <v>19.5</v>
      </c>
      <c r="H11" s="91">
        <f>PROP_InOut!$C$8*'PROP_Table (2)'!C11</f>
        <v>39.067013644328071</v>
      </c>
      <c r="I11" s="92">
        <f t="shared" si="5"/>
        <v>43.663274672041211</v>
      </c>
      <c r="J11" s="93">
        <f>I11/PROP_InOut!$D$8</f>
        <v>0.12615193921411452</v>
      </c>
      <c r="K11" s="91">
        <f t="shared" si="6"/>
        <v>0.46296123319858395</v>
      </c>
      <c r="L11" s="92">
        <f t="shared" si="7"/>
        <v>26.525724740450755</v>
      </c>
      <c r="M11" s="90">
        <f t="shared" ref="M11:M41" si="15">RADIANS(N11)</f>
        <v>7.8312957973845743E-2</v>
      </c>
      <c r="N11" s="90">
        <f t="shared" ref="N11:N41" si="16">V11</f>
        <v>4.4870019730867474</v>
      </c>
      <c r="O11" s="91">
        <f t="shared" si="8"/>
        <v>0.61363333039167833</v>
      </c>
      <c r="P11" s="87">
        <v>35.1586</v>
      </c>
      <c r="Q11" s="91">
        <f t="shared" si="9"/>
        <v>7.2359139219248636E-2</v>
      </c>
      <c r="R11" s="93">
        <f t="shared" si="10"/>
        <v>4.1458732864624972</v>
      </c>
      <c r="S11" s="127">
        <f t="shared" ref="S11:S41" si="17">TAN(AE11)*X11</f>
        <v>3.5639853072269707</v>
      </c>
      <c r="T11" s="127">
        <f t="shared" ref="T11:T41" si="18">X11</f>
        <v>45.365597600159617</v>
      </c>
      <c r="U11" s="122">
        <f>U10+(U12-U10)*((C11-C10)/(C12-C10))</f>
        <v>3.5609169491044317</v>
      </c>
      <c r="V11" s="122">
        <f>V10+(V12-V10)*((C11-C10)/(C12-C10))</f>
        <v>4.4870019730867474</v>
      </c>
      <c r="W11" s="123">
        <f t="shared" ref="W11:W41" si="19">P11-L11-V11</f>
        <v>4.1458732864624972</v>
      </c>
      <c r="X11" s="122">
        <f t="shared" ref="X11:X41" si="20">SQRT((U11+G11)^2+H11^2)</f>
        <v>45.365597600159617</v>
      </c>
      <c r="Y11" s="122">
        <f>Y10+(Y12-Y10)*((C11-C10)/(C12-C10))</f>
        <v>1.0583999999999998</v>
      </c>
      <c r="Z11" s="122">
        <f>Z10+(Z12-Z10)*((C11-C10)/(C12-C10))</f>
        <v>2.0764999999999999E-2</v>
      </c>
      <c r="AA11" s="122">
        <f t="shared" ref="AA11:AA41" si="21">((8*PI()*C11*U11)/(E11*2))-((X11)/(G11+U11))*(Y11*H11-Z11*(U11+G11))</f>
        <v>-7.726995113996793E-2</v>
      </c>
      <c r="AB11" s="122">
        <f t="shared" ref="AB11:AB41" si="22">((8*PI()*C11)/(E11*2))-Y11*H11*((1/X11)-(X11/((G11+U11)^2)))+Z11*((U11+G11)/X11)</f>
        <v>25.18283331152789</v>
      </c>
      <c r="AC11" s="122">
        <f t="shared" ref="AC11:AC41" si="23">U11-(AA11/AB11)</f>
        <v>3.5639853072269707</v>
      </c>
      <c r="AD11" s="138">
        <f t="shared" ref="AD11:AD41" si="24">AC11-U11</f>
        <v>3.0683581225390277E-3</v>
      </c>
      <c r="AE11" s="122">
        <f t="shared" ref="AE11:AE41" si="25">ATAN(AC11/X11)</f>
        <v>7.8400381503661229E-2</v>
      </c>
      <c r="AF11" s="122">
        <f t="shared" ref="AF11:AF41" si="26">DEGREES(AE11)</f>
        <v>4.4920109723753114</v>
      </c>
      <c r="AG11" s="143">
        <f t="shared" ref="AG11:AG41" si="27">J11</f>
        <v>0.12615193921411452</v>
      </c>
      <c r="AH11" s="90"/>
      <c r="AI11" s="50"/>
      <c r="AJ11" s="50"/>
      <c r="AK11" s="50"/>
      <c r="AL11" s="50"/>
      <c r="AM11" s="50"/>
      <c r="AN11" s="131"/>
      <c r="AO11" s="94">
        <f>PROP_InOut!$F$8*'PROP_Table (2)'!I11*'PROP_Table (2)'!E11</f>
        <v>117525.17479995768</v>
      </c>
      <c r="AP11" s="91">
        <f t="shared" ref="AP11:AP41" si="28">Y11</f>
        <v>1.0583999999999998</v>
      </c>
      <c r="AQ11" s="91">
        <f t="shared" ref="AQ11:AQ41" si="29">Z11</f>
        <v>2.0764999999999999E-2</v>
      </c>
      <c r="AR11" s="8">
        <f>0.5*PROP_InOut!$J$8*I11^2*E11*AP11*(C11-C10)</f>
        <v>0.17728130720697147</v>
      </c>
      <c r="AS11" s="8">
        <f>0.5*PROP_InOut!$J$8*I11^2*E11*AQ11*(C11-C10)</f>
        <v>3.4781239079296707E-3</v>
      </c>
      <c r="AT11" s="91">
        <f t="shared" si="0"/>
        <v>0.1620834066968613</v>
      </c>
      <c r="AU11" s="91">
        <f t="shared" si="1"/>
        <v>7.5969992578966078E-3</v>
      </c>
      <c r="AV11" s="95">
        <f t="shared" si="2"/>
        <v>3.9777795096558486</v>
      </c>
      <c r="AW11" s="88">
        <f>PROP_InOut!$G$4/2*((PROP_InOut!$E$8-'PROP_Table (2)'!C11)/('PROP_Table (2)'!C11*SIN('PROP_Table (2)'!K11)))</f>
        <v>5.7646003658668699</v>
      </c>
      <c r="AX11" s="88">
        <f t="shared" si="11"/>
        <v>0.99800314419185598</v>
      </c>
      <c r="AY11" s="88">
        <f>PROP_InOut!$G$4/2*((C11-PROP_InOut!$J$12/2)/(C11*SIN('PROP_Table (2)'!K11)))</f>
        <v>1.7627290374964808</v>
      </c>
      <c r="AZ11" s="88">
        <f t="shared" si="12"/>
        <v>0.89022818975512008</v>
      </c>
      <c r="BA11" s="88">
        <f t="shared" si="13"/>
        <v>0.88845053242383398</v>
      </c>
      <c r="BB11" s="25">
        <f>0.5*PROP_InOut!$J$8*T11^2*E11*AP11*(C11-C10)</f>
        <v>0.19137429767782901</v>
      </c>
      <c r="BC11" s="25">
        <f>0.5*PROP_InOut!$J$8*T11^2*E11*AQ11*(C11-C10)</f>
        <v>3.7546176221467495E-3</v>
      </c>
      <c r="BD11" s="88">
        <f t="shared" si="3"/>
        <v>0.14400308897689523</v>
      </c>
      <c r="BE11" s="88">
        <f t="shared" si="4"/>
        <v>6.7495580355017128E-3</v>
      </c>
      <c r="BF11" s="88">
        <f t="shared" ref="BF11:BF41" si="30">H11*(BB11*SIN(K11+M11)+BC11*COS(K11+M11))*BA11</f>
        <v>3.5340603232183558</v>
      </c>
      <c r="BG11" s="90"/>
    </row>
    <row r="12" spans="1:62" s="96" customFormat="1" ht="15.75" thickBot="1" x14ac:dyDescent="0.3">
      <c r="A12" s="174"/>
      <c r="B12" s="82">
        <v>9</v>
      </c>
      <c r="C12" s="87">
        <v>7.8165959999999993E-2</v>
      </c>
      <c r="D12" s="88">
        <f>C12/PROP_InOut!$E$8</f>
        <v>0.29308571428571428</v>
      </c>
      <c r="E12" s="88">
        <v>4.218686E-2</v>
      </c>
      <c r="F12" s="89">
        <f>E12*PROP_InOut!$G$8</f>
        <v>2.6453797898749997E-4</v>
      </c>
      <c r="G12" s="90">
        <f>PROP_InOut!$C$4</f>
        <v>19.5</v>
      </c>
      <c r="H12" s="91">
        <f>PROP_InOut!$C$8*'PROP_Table (2)'!C12</f>
        <v>40.927600949465599</v>
      </c>
      <c r="I12" s="92">
        <f t="shared" si="5"/>
        <v>45.335620867908027</v>
      </c>
      <c r="J12" s="93">
        <f>I12/PROP_InOut!$D$8</f>
        <v>0.13098368207423117</v>
      </c>
      <c r="K12" s="91">
        <f t="shared" si="6"/>
        <v>0.44463162794857913</v>
      </c>
      <c r="L12" s="92">
        <f t="shared" si="7"/>
        <v>25.47551571948464</v>
      </c>
      <c r="M12" s="90">
        <f t="shared" si="15"/>
        <v>7.851947787855898E-2</v>
      </c>
      <c r="N12" s="90">
        <f t="shared" si="16"/>
        <v>4.4988346920122604</v>
      </c>
      <c r="O12" s="91">
        <f t="shared" si="8"/>
        <v>0.5919127078506089</v>
      </c>
      <c r="P12" s="87">
        <v>33.914099999999998</v>
      </c>
      <c r="Q12" s="91">
        <f t="shared" si="9"/>
        <v>6.8761602023470772E-2</v>
      </c>
      <c r="R12" s="93">
        <f t="shared" si="10"/>
        <v>3.9397495885030969</v>
      </c>
      <c r="S12" s="127">
        <f t="shared" si="17"/>
        <v>3.7016705879677025</v>
      </c>
      <c r="T12" s="127">
        <f t="shared" si="18"/>
        <v>47.046636835199116</v>
      </c>
      <c r="U12" s="122">
        <v>3.7016705869300917</v>
      </c>
      <c r="V12" s="122">
        <v>4.4988346920122604</v>
      </c>
      <c r="W12" s="123">
        <f t="shared" si="19"/>
        <v>3.9397495885030969</v>
      </c>
      <c r="X12" s="122">
        <f>SQRT((U12+G12)^2+H12^2)</f>
        <v>47.046636835199116</v>
      </c>
      <c r="Y12" s="128">
        <v>1.0495699999999999</v>
      </c>
      <c r="Z12" s="127">
        <v>1.9460000000000002E-2</v>
      </c>
      <c r="AA12" s="122">
        <f t="shared" si="21"/>
        <v>-2.71172808652409E-8</v>
      </c>
      <c r="AB12" s="122">
        <f t="shared" si="22"/>
        <v>26.134351160892965</v>
      </c>
      <c r="AC12" s="122">
        <f t="shared" si="23"/>
        <v>3.7016705879677021</v>
      </c>
      <c r="AD12" s="138">
        <f t="shared" si="24"/>
        <v>1.0376104420117827E-9</v>
      </c>
      <c r="AE12" s="122">
        <f t="shared" si="25"/>
        <v>7.8519113478352651E-2</v>
      </c>
      <c r="AF12" s="122">
        <f t="shared" si="26"/>
        <v>4.4988138134183835</v>
      </c>
      <c r="AG12" s="143">
        <f t="shared" si="27"/>
        <v>0.13098368207423117</v>
      </c>
      <c r="AH12" s="90"/>
      <c r="AI12" s="50"/>
      <c r="AJ12" s="50"/>
      <c r="AK12" s="50"/>
      <c r="AL12" s="50"/>
      <c r="AM12" s="50"/>
      <c r="AN12" s="131">
        <v>4.4988346920122604</v>
      </c>
      <c r="AO12" s="94">
        <f>PROP_InOut!$F$8*'PROP_Table (2)'!I12*'PROP_Table (2)'!E12</f>
        <v>123845.90327657592</v>
      </c>
      <c r="AP12" s="91">
        <f t="shared" si="28"/>
        <v>1.0495699999999999</v>
      </c>
      <c r="AQ12" s="91">
        <f t="shared" si="29"/>
        <v>1.9460000000000002E-2</v>
      </c>
      <c r="AR12" s="8">
        <f>0.5*PROP_InOut!$J$8*I12^2*E12*AP12*(C12-C11)</f>
        <v>0.19235280594141985</v>
      </c>
      <c r="AS12" s="8">
        <f>0.5*PROP_InOut!$J$8*I12^2*E12*AQ12*(C12-C11)</f>
        <v>3.5663991954991386E-3</v>
      </c>
      <c r="AT12" s="91">
        <f t="shared" si="0"/>
        <v>0.17752119870312985</v>
      </c>
      <c r="AU12" s="91">
        <f t="shared" si="1"/>
        <v>8.3496617710788808E-3</v>
      </c>
      <c r="AV12" s="95">
        <f t="shared" si="2"/>
        <v>4.3718726799968257</v>
      </c>
      <c r="AW12" s="88">
        <f>PROP_InOut!$G$4/2*((PROP_InOut!$E$8-'PROP_Table (2)'!C12)/('PROP_Table (2)'!C12*SIN('PROP_Table (2)'!K12)))</f>
        <v>5.6076004794945806</v>
      </c>
      <c r="AX12" s="88">
        <f t="shared" si="11"/>
        <v>0.99766368631512337</v>
      </c>
      <c r="AY12" s="88">
        <f>PROP_InOut!$G$4/2*((C12-PROP_InOut!$J$12/2)/(C12*SIN('PROP_Table (2)'!K12)))</f>
        <v>1.8527307703382248</v>
      </c>
      <c r="AZ12" s="88">
        <f t="shared" si="12"/>
        <v>0.89975898810968735</v>
      </c>
      <c r="BA12" s="88">
        <f t="shared" si="13"/>
        <v>0.89765686887267593</v>
      </c>
      <c r="BB12" s="25">
        <f>0.5*PROP_InOut!$J$8*T12^2*E12*AP12*(C12-C11)</f>
        <v>0.20714600238860809</v>
      </c>
      <c r="BC12" s="25">
        <f>0.5*PROP_InOut!$J$8*T12^2*E12*AQ12*(C12-C11)</f>
        <v>3.8406787603326256E-3</v>
      </c>
      <c r="BD12" s="88">
        <f t="shared" si="3"/>
        <v>0.15935312338637569</v>
      </c>
      <c r="BE12" s="88">
        <f t="shared" si="4"/>
        <v>7.4951312415725497E-3</v>
      </c>
      <c r="BF12" s="88">
        <f t="shared" si="30"/>
        <v>3.9244415410359448</v>
      </c>
      <c r="BG12" s="90"/>
    </row>
    <row r="13" spans="1:62" s="96" customFormat="1" ht="15.75" thickBot="1" x14ac:dyDescent="0.3">
      <c r="A13" s="174"/>
      <c r="B13" s="82">
        <v>10</v>
      </c>
      <c r="C13" s="87">
        <v>8.1719419999999987E-2</v>
      </c>
      <c r="D13" s="88">
        <f>C13/PROP_InOut!$E$8</f>
        <v>0.30640952380952374</v>
      </c>
      <c r="E13" s="88">
        <v>4.2722799999999998E-2</v>
      </c>
      <c r="F13" s="89">
        <f>E13*PROP_InOut!$G$8</f>
        <v>2.6789865774999995E-4</v>
      </c>
      <c r="G13" s="90">
        <f>PROP_InOut!$C$4</f>
        <v>19.5</v>
      </c>
      <c r="H13" s="91">
        <f>PROP_InOut!$C$8*'PROP_Table (2)'!C13</f>
        <v>42.788188254603128</v>
      </c>
      <c r="I13" s="92">
        <f t="shared" si="5"/>
        <v>47.022112395248229</v>
      </c>
      <c r="J13" s="93">
        <f>I13/PROP_InOut!$D$8</f>
        <v>0.13585629362799473</v>
      </c>
      <c r="K13" s="91">
        <f t="shared" si="6"/>
        <v>0.42761145651265009</v>
      </c>
      <c r="L13" s="92">
        <f t="shared" si="7"/>
        <v>24.500331729616789</v>
      </c>
      <c r="M13" s="90">
        <f t="shared" si="15"/>
        <v>7.811295897133301E-2</v>
      </c>
      <c r="N13" s="90">
        <f t="shared" si="16"/>
        <v>4.4755428743359422</v>
      </c>
      <c r="O13" s="91">
        <f t="shared" si="8"/>
        <v>0.57150806356554318</v>
      </c>
      <c r="P13" s="87">
        <v>32.744999999999997</v>
      </c>
      <c r="Q13" s="91">
        <f t="shared" si="9"/>
        <v>6.5783648081560064E-2</v>
      </c>
      <c r="R13" s="93">
        <f t="shared" si="10"/>
        <v>3.7691253960472659</v>
      </c>
      <c r="S13" s="127">
        <v>3.9907190642050576</v>
      </c>
      <c r="T13" s="127">
        <v>53.186916112726742</v>
      </c>
      <c r="U13" s="122">
        <f>U12+(U14-U12)*((C13-C12)/(C14-C12))</f>
        <v>3.8133695505675753</v>
      </c>
      <c r="V13" s="122">
        <v>4.4755428743359422</v>
      </c>
      <c r="W13" s="123">
        <f t="shared" si="19"/>
        <v>3.7691253960472659</v>
      </c>
      <c r="X13" s="122">
        <f t="shared" si="20"/>
        <v>48.72722292428216</v>
      </c>
      <c r="Y13" s="122">
        <f>Y12+(Y14-Y12)*((C13-C12)/(C14-C12))</f>
        <v>1.0362552413299964</v>
      </c>
      <c r="Z13" s="122">
        <f>Z12+(Z14-Z12)*((C13-C12)/(C14-C12))</f>
        <v>1.8624701465856278E-2</v>
      </c>
      <c r="AA13" s="122">
        <f t="shared" si="21"/>
        <v>-0.10538561977234906</v>
      </c>
      <c r="AB13" s="122">
        <f t="shared" si="22"/>
        <v>27.110828389947184</v>
      </c>
      <c r="AC13" s="122">
        <f t="shared" si="23"/>
        <v>3.8172567656041849</v>
      </c>
      <c r="AD13" s="138">
        <f t="shared" si="24"/>
        <v>3.8872150366096037E-3</v>
      </c>
      <c r="AE13" s="122">
        <f t="shared" si="25"/>
        <v>7.8179634942505793E-2</v>
      </c>
      <c r="AF13" s="122">
        <f t="shared" si="26"/>
        <v>4.4793631260790781</v>
      </c>
      <c r="AG13" s="143">
        <f t="shared" si="27"/>
        <v>0.13585629362799473</v>
      </c>
      <c r="AH13" s="50"/>
      <c r="AI13" s="50"/>
      <c r="AJ13" s="50"/>
      <c r="AK13" s="50"/>
      <c r="AL13" s="50"/>
      <c r="AM13" s="50"/>
      <c r="AN13" s="131"/>
      <c r="AO13" s="94">
        <f>PROP_InOut!$F$8*'PROP_Table (2)'!I13*'PROP_Table (2)'!E13</f>
        <v>130084.84951958788</v>
      </c>
      <c r="AP13" s="91">
        <f t="shared" si="28"/>
        <v>1.0362552413299964</v>
      </c>
      <c r="AQ13" s="91">
        <f t="shared" si="29"/>
        <v>1.8624701465856278E-2</v>
      </c>
      <c r="AR13" s="8">
        <f>0.5*PROP_InOut!$J$8*I13^2*E13*AP13*(C13-C12)</f>
        <v>0.20690048027817154</v>
      </c>
      <c r="AS13" s="8">
        <f>0.5*PROP_InOut!$J$8*I13^2*E13*AQ13*(C13-C12)</f>
        <v>3.718639505627448E-3</v>
      </c>
      <c r="AT13" s="91">
        <f t="shared" si="0"/>
        <v>0.22926794714140103</v>
      </c>
      <c r="AU13" s="91">
        <f t="shared" si="1"/>
        <v>1.08194468951738E-2</v>
      </c>
      <c r="AV13" s="95">
        <f t="shared" si="2"/>
        <v>5.6650491469638169</v>
      </c>
      <c r="AW13" s="88">
        <f>PROP_InOut!$G$4/2*((PROP_InOut!$E$8-'PROP_Table (2)'!C13)/('PROP_Table (2)'!C13*SIN('PROP_Table (2)'!K13)))</f>
        <v>5.4584380427428689</v>
      </c>
      <c r="AX13" s="88">
        <f t="shared" si="11"/>
        <v>0.99728786118060475</v>
      </c>
      <c r="AY13" s="88">
        <f>PROP_InOut!$G$4/2*((C13-PROP_InOut!$J$12/2)/(C13*SIN('PROP_Table (2)'!K13)))</f>
        <v>1.94294821126812</v>
      </c>
      <c r="AZ13" s="88">
        <f t="shared" si="12"/>
        <v>0.90846952443244111</v>
      </c>
      <c r="BA13" s="88">
        <f t="shared" si="13"/>
        <v>0.9060056289689904</v>
      </c>
      <c r="BB13" s="25">
        <f>0.5*PROP_InOut!$J$8*T13^2*E13*AP13*(C13-C12)</f>
        <v>0.26470786658515078</v>
      </c>
      <c r="BC13" s="25">
        <f>0.5*PROP_InOut!$J$8*T13^2*E13*AQ13*(C13-C12)</f>
        <v>4.7576164579727805E-3</v>
      </c>
      <c r="BD13" s="88">
        <f t="shared" si="3"/>
        <v>0.20771805065227428</v>
      </c>
      <c r="BE13" s="88">
        <f t="shared" si="4"/>
        <v>9.8024797893585293E-3</v>
      </c>
      <c r="BF13" s="88">
        <f t="shared" si="30"/>
        <v>5.1325664155351953</v>
      </c>
      <c r="BG13" s="90"/>
    </row>
    <row r="14" spans="1:62" s="96" customFormat="1" ht="15.75" thickBot="1" x14ac:dyDescent="0.3">
      <c r="A14" s="174"/>
      <c r="B14" s="82">
        <v>11</v>
      </c>
      <c r="C14" s="87">
        <v>8.527034E-2</v>
      </c>
      <c r="D14" s="88">
        <f>C14/PROP_InOut!$E$8</f>
        <v>0.31972380952380952</v>
      </c>
      <c r="E14" s="88">
        <v>4.3177460000000001E-2</v>
      </c>
      <c r="F14" s="89">
        <f>E14*PROP_InOut!$G$8</f>
        <v>2.7074966011249996E-4</v>
      </c>
      <c r="G14" s="90">
        <f>PROP_InOut!$C$4</f>
        <v>19.5</v>
      </c>
      <c r="H14" s="91">
        <f>PROP_InOut!$C$8*'PROP_Table (2)'!C14</f>
        <v>44.647445618850647</v>
      </c>
      <c r="I14" s="92">
        <f t="shared" si="5"/>
        <v>48.720061579273747</v>
      </c>
      <c r="J14" s="93">
        <f>I14/PROP_InOut!$D$8</f>
        <v>0.14076200864503627</v>
      </c>
      <c r="K14" s="91">
        <f t="shared" si="6"/>
        <v>0.41178505104343854</v>
      </c>
      <c r="L14" s="92">
        <f t="shared" si="7"/>
        <v>23.593545491368204</v>
      </c>
      <c r="M14" s="90">
        <f t="shared" si="15"/>
        <v>7.769024734826864E-2</v>
      </c>
      <c r="N14" s="90">
        <f t="shared" si="16"/>
        <v>4.4513232823832283</v>
      </c>
      <c r="O14" s="91">
        <f t="shared" si="8"/>
        <v>0.55232165909836961</v>
      </c>
      <c r="P14" s="87">
        <v>31.645700000000001</v>
      </c>
      <c r="Q14" s="91">
        <f t="shared" si="9"/>
        <v>6.2846360706662399E-2</v>
      </c>
      <c r="R14" s="93">
        <f t="shared" si="10"/>
        <v>3.6008312262485695</v>
      </c>
      <c r="S14" s="127">
        <f t="shared" si="17"/>
        <v>3.9249886729828813</v>
      </c>
      <c r="T14" s="127">
        <f t="shared" si="18"/>
        <v>50.419485266918116</v>
      </c>
      <c r="U14" s="122">
        <v>3.9249886722010303</v>
      </c>
      <c r="V14" s="122">
        <v>4.4513232823832283</v>
      </c>
      <c r="W14" s="123">
        <f t="shared" si="19"/>
        <v>3.6008312262485695</v>
      </c>
      <c r="X14" s="122">
        <f t="shared" si="20"/>
        <v>50.419485266918116</v>
      </c>
      <c r="Y14" s="128">
        <v>1.02295</v>
      </c>
      <c r="Z14" s="127">
        <v>1.779E-2</v>
      </c>
      <c r="AA14" s="122">
        <f t="shared" si="21"/>
        <v>-2.1982572206979967E-8</v>
      </c>
      <c r="AB14" s="122">
        <f t="shared" si="22"/>
        <v>28.116041019844715</v>
      </c>
      <c r="AC14" s="122">
        <f t="shared" si="23"/>
        <v>3.9249886729828818</v>
      </c>
      <c r="AD14" s="138">
        <f t="shared" si="24"/>
        <v>7.8185147245335429E-10</v>
      </c>
      <c r="AE14" s="122">
        <f t="shared" si="25"/>
        <v>7.7689979284499194E-2</v>
      </c>
      <c r="AF14" s="122">
        <f t="shared" si="26"/>
        <v>4.4513079234605986</v>
      </c>
      <c r="AG14" s="143">
        <f t="shared" si="27"/>
        <v>0.14076200864503627</v>
      </c>
      <c r="AH14" s="90"/>
      <c r="AI14" s="50"/>
      <c r="AJ14" s="50"/>
      <c r="AK14" s="50"/>
      <c r="AL14" s="50"/>
      <c r="AM14" s="50"/>
      <c r="AN14" s="131">
        <v>4.4513232823832283</v>
      </c>
      <c r="AO14" s="94">
        <f>PROP_InOut!$F$8*'PROP_Table (2)'!I14*'PROP_Table (2)'!E14</f>
        <v>136216.52430601208</v>
      </c>
      <c r="AP14" s="91">
        <f t="shared" si="28"/>
        <v>1.02295</v>
      </c>
      <c r="AQ14" s="91">
        <f t="shared" si="29"/>
        <v>1.779E-2</v>
      </c>
      <c r="AR14" s="8">
        <f>0.5*PROP_InOut!$J$8*I14^2*E14*AP14*(C14-C13)</f>
        <v>0.22143557346928744</v>
      </c>
      <c r="AS14" s="8">
        <f>0.5*PROP_InOut!$J$8*I14^2*E14*AQ14*(C14-C13)</f>
        <v>3.850959335274083E-3</v>
      </c>
      <c r="AT14" s="91">
        <f t="shared" si="0"/>
        <v>0.20736729035964571</v>
      </c>
      <c r="AU14" s="91">
        <f t="shared" si="1"/>
        <v>9.8180726850565885E-3</v>
      </c>
      <c r="AV14" s="95">
        <f t="shared" si="2"/>
        <v>5.1407308366307323</v>
      </c>
      <c r="AW14" s="88">
        <f>PROP_InOut!$G$4/2*((PROP_InOut!$E$8-'PROP_Table (2)'!C14)/('PROP_Table (2)'!C14*SIN('PROP_Table (2)'!K14)))</f>
        <v>5.3159820916037024</v>
      </c>
      <c r="AX14" s="88">
        <f t="shared" si="11"/>
        <v>0.99687262340622496</v>
      </c>
      <c r="AY14" s="88">
        <f>PROP_InOut!$G$4/2*((C14-PROP_InOut!$J$12/2)/(C14*SIN('PROP_Table (2)'!K14)))</f>
        <v>2.0333190542315411</v>
      </c>
      <c r="AZ14" s="88">
        <f t="shared" si="12"/>
        <v>0.91642641931714608</v>
      </c>
      <c r="BA14" s="88">
        <f t="shared" si="13"/>
        <v>0.91356040878345657</v>
      </c>
      <c r="BB14" s="25">
        <f>0.5*PROP_InOut!$J$8*T14^2*E14*AP14*(C14-C13)</f>
        <v>0.23715295990398003</v>
      </c>
      <c r="BC14" s="25">
        <f>0.5*PROP_InOut!$J$8*T14^2*E14*AQ14*(C14-C13)</f>
        <v>4.1242985059795727E-3</v>
      </c>
      <c r="BD14" s="88">
        <f t="shared" si="3"/>
        <v>0.18944254654927567</v>
      </c>
      <c r="BE14" s="88">
        <f t="shared" si="4"/>
        <v>8.969402495625986E-3</v>
      </c>
      <c r="BF14" s="88">
        <f t="shared" si="30"/>
        <v>4.6963681645580921</v>
      </c>
      <c r="BG14" s="90"/>
    </row>
    <row r="15" spans="1:62" s="96" customFormat="1" ht="15.75" thickBot="1" x14ac:dyDescent="0.3">
      <c r="A15" s="174"/>
      <c r="B15" s="82">
        <v>12</v>
      </c>
      <c r="C15" s="87">
        <v>8.8859359999999998E-2</v>
      </c>
      <c r="D15" s="88">
        <f>C15/PROP_InOut!$E$8</f>
        <v>0.33318095238095241</v>
      </c>
      <c r="E15" s="88">
        <v>4.3555919999999998E-2</v>
      </c>
      <c r="F15" s="89">
        <f>E15*PROP_InOut!$G$8</f>
        <v>2.7312284084999997E-4</v>
      </c>
      <c r="G15" s="90">
        <f>PROP_InOut!$C$4</f>
        <v>19.5</v>
      </c>
      <c r="H15" s="91">
        <f>PROP_InOut!$C$8*'PROP_Table (2)'!C15</f>
        <v>46.526652096448451</v>
      </c>
      <c r="I15" s="92">
        <f t="shared" si="5"/>
        <v>50.44778840845207</v>
      </c>
      <c r="J15" s="93">
        <f>I15/PROP_InOut!$D$8</f>
        <v>0.14575375723856679</v>
      </c>
      <c r="K15" s="91">
        <f t="shared" si="6"/>
        <v>0.39687513345886721</v>
      </c>
      <c r="L15" s="92">
        <f t="shared" si="7"/>
        <v>22.739270140884376</v>
      </c>
      <c r="M15" s="90">
        <f t="shared" si="15"/>
        <v>7.7095831144597671E-2</v>
      </c>
      <c r="N15" s="90">
        <f t="shared" si="16"/>
        <v>4.4172657426386932</v>
      </c>
      <c r="O15" s="91">
        <f t="shared" si="8"/>
        <v>0.53408994973203672</v>
      </c>
      <c r="P15" s="87">
        <v>30.601099999999999</v>
      </c>
      <c r="Q15" s="91">
        <f t="shared" si="9"/>
        <v>6.0118985128571889E-2</v>
      </c>
      <c r="R15" s="93">
        <f t="shared" si="10"/>
        <v>3.4445641164769301</v>
      </c>
      <c r="S15" s="127">
        <f t="shared" si="17"/>
        <v>4.0336271134259327</v>
      </c>
      <c r="T15" s="127">
        <f t="shared" si="18"/>
        <v>52.136525163021489</v>
      </c>
      <c r="U15" s="122">
        <f>U14+(U16-U14)*((C15-C14)/(C16-C14))</f>
        <v>4.026323571064423</v>
      </c>
      <c r="V15" s="122">
        <f>V14+(V16-V14)*((C15-C14)/(C16-C14))</f>
        <v>4.4172657426386932</v>
      </c>
      <c r="W15" s="123">
        <f t="shared" si="19"/>
        <v>3.4445641164769301</v>
      </c>
      <c r="X15" s="122">
        <f t="shared" si="20"/>
        <v>52.136525163021489</v>
      </c>
      <c r="Y15" s="122">
        <f>Y14+(Y16-Y14)*((C15-C14)/(C16-C14))</f>
        <v>1.0118466217870257</v>
      </c>
      <c r="Z15" s="122">
        <f>Z14+(Z16-Z14)*((C15-C14)/(C16-C14))</f>
        <v>1.713279069767442E-2</v>
      </c>
      <c r="AA15" s="122">
        <f t="shared" si="21"/>
        <v>-0.21308989140753454</v>
      </c>
      <c r="AB15" s="122">
        <f t="shared" si="22"/>
        <v>29.176238167731409</v>
      </c>
      <c r="AC15" s="122">
        <f t="shared" si="23"/>
        <v>4.0336271134259327</v>
      </c>
      <c r="AD15" s="138">
        <f t="shared" si="24"/>
        <v>7.3035423615097628E-3</v>
      </c>
      <c r="AE15" s="122">
        <f t="shared" si="25"/>
        <v>7.721281758884474E-2</v>
      </c>
      <c r="AF15" s="122">
        <f t="shared" si="26"/>
        <v>4.4239685721542932</v>
      </c>
      <c r="AG15" s="143">
        <f t="shared" si="27"/>
        <v>0.14575375723856679</v>
      </c>
      <c r="AH15" s="50"/>
      <c r="AI15" s="50"/>
      <c r="AJ15" s="50"/>
      <c r="AK15" s="50"/>
      <c r="AL15" s="90"/>
      <c r="AM15" s="90"/>
      <c r="AN15" s="131"/>
      <c r="AO15" s="94">
        <f>PROP_InOut!$F$8*'PROP_Table (2)'!I15*'PROP_Table (2)'!E15</f>
        <v>142283.38833154971</v>
      </c>
      <c r="AP15" s="91">
        <f t="shared" si="28"/>
        <v>1.0118466217870257</v>
      </c>
      <c r="AQ15" s="91">
        <f t="shared" si="29"/>
        <v>1.713279069767442E-2</v>
      </c>
      <c r="AR15" s="8">
        <f>0.5*PROP_InOut!$J$8*I15^2*E15*AP15*(C15-C14)</f>
        <v>0.23944257186841494</v>
      </c>
      <c r="AS15" s="8">
        <f>0.5*PROP_InOut!$J$8*I15^2*E15*AQ15*(C15-C14)</f>
        <v>4.0542898297068961E-3</v>
      </c>
      <c r="AT15" s="91">
        <f t="shared" si="0"/>
        <v>0.22557288908936496</v>
      </c>
      <c r="AU15" s="91">
        <f t="shared" si="1"/>
        <v>1.0714595309866244E-2</v>
      </c>
      <c r="AV15" s="95">
        <f t="shared" si="2"/>
        <v>5.6101489852772408</v>
      </c>
      <c r="AW15" s="88">
        <f>PROP_InOut!$G$4/2*((PROP_InOut!$E$8-'PROP_Table (2)'!C15)/('PROP_Table (2)'!C15*SIN('PROP_Table (2)'!K15)))</f>
        <v>5.1776817434580797</v>
      </c>
      <c r="AX15" s="88">
        <f t="shared" si="11"/>
        <v>0.99640876507390097</v>
      </c>
      <c r="AY15" s="88">
        <f>PROP_InOut!$G$4/2*((C15-PROP_InOut!$J$12/2)/(C15*SIN('PROP_Table (2)'!K15)))</f>
        <v>2.1248787022469786</v>
      </c>
      <c r="AZ15" s="88">
        <f t="shared" si="12"/>
        <v>0.9237753912868657</v>
      </c>
      <c r="BA15" s="88">
        <f t="shared" si="13"/>
        <v>0.92045789683780554</v>
      </c>
      <c r="BB15" s="25">
        <f>0.5*PROP_InOut!$J$8*T15^2*E15*AP15*(C15-C14)</f>
        <v>0.25574153650209902</v>
      </c>
      <c r="BC15" s="25">
        <f>0.5*PROP_InOut!$J$8*T15^2*E15*AQ15*(C15-C14)</f>
        <v>4.3302671800730299E-3</v>
      </c>
      <c r="BD15" s="88">
        <f t="shared" si="3"/>
        <v>0.20763034707482445</v>
      </c>
      <c r="BE15" s="88">
        <f t="shared" si="4"/>
        <v>9.8623338643876977E-3</v>
      </c>
      <c r="BF15" s="88">
        <f t="shared" si="30"/>
        <v>5.1639059359350377</v>
      </c>
      <c r="BG15" s="90"/>
    </row>
    <row r="16" spans="1:62" s="96" customFormat="1" ht="15.75" thickBot="1" x14ac:dyDescent="0.3">
      <c r="A16" s="174"/>
      <c r="B16" s="82">
        <v>13</v>
      </c>
      <c r="C16" s="87">
        <v>9.5646239999999993E-2</v>
      </c>
      <c r="D16" s="88">
        <f>C16/PROP_InOut!$E$8</f>
        <v>0.35862857142857141</v>
      </c>
      <c r="E16" s="88">
        <v>4.4063919999999993E-2</v>
      </c>
      <c r="F16" s="89">
        <f>E16*PROP_InOut!$G$8</f>
        <v>2.7630831834999991E-4</v>
      </c>
      <c r="G16" s="90">
        <f>PROP_InOut!$C$4</f>
        <v>19.5</v>
      </c>
      <c r="H16" s="91">
        <f>PROP_InOut!$C$8*'PROP_Table (2)'!C16</f>
        <v>50.080254154581034</v>
      </c>
      <c r="I16" s="92">
        <f t="shared" si="5"/>
        <v>53.742737706479289</v>
      </c>
      <c r="J16" s="93">
        <f>I16/PROP_InOut!$D$8</f>
        <v>0.15527352520559196</v>
      </c>
      <c r="K16" s="91">
        <f t="shared" si="6"/>
        <v>0.37131348947977072</v>
      </c>
      <c r="L16" s="92">
        <f t="shared" si="7"/>
        <v>21.274695823466157</v>
      </c>
      <c r="M16" s="90">
        <f t="shared" si="15"/>
        <v>7.597178295195163E-2</v>
      </c>
      <c r="N16" s="90">
        <f t="shared" si="16"/>
        <v>4.3528625252307673</v>
      </c>
      <c r="O16" s="91">
        <f t="shared" si="8"/>
        <v>0.50242095045459967</v>
      </c>
      <c r="P16" s="87">
        <v>28.7866</v>
      </c>
      <c r="Q16" s="91">
        <f t="shared" si="9"/>
        <v>5.5135678022877284E-2</v>
      </c>
      <c r="R16" s="93">
        <f t="shared" si="10"/>
        <v>3.1590416513030757</v>
      </c>
      <c r="S16" s="127">
        <f t="shared" si="17"/>
        <v>4.2179490876124266</v>
      </c>
      <c r="T16" s="127">
        <f t="shared" si="18"/>
        <v>55.412750923755304</v>
      </c>
      <c r="U16" s="122">
        <v>4.2179490839893949</v>
      </c>
      <c r="V16" s="122">
        <v>4.3528625252307673</v>
      </c>
      <c r="W16" s="123">
        <f t="shared" si="19"/>
        <v>3.1590416513030757</v>
      </c>
      <c r="X16" s="122">
        <f t="shared" si="20"/>
        <v>55.412750923755304</v>
      </c>
      <c r="Y16" s="128">
        <v>0.99085000000000001</v>
      </c>
      <c r="Z16" s="127">
        <v>1.5890000000000001E-2</v>
      </c>
      <c r="AA16" s="122">
        <f t="shared" si="21"/>
        <v>-1.1331452753893245E-7</v>
      </c>
      <c r="AB16" s="122">
        <f t="shared" si="22"/>
        <v>31.276164693893605</v>
      </c>
      <c r="AC16" s="122">
        <f t="shared" si="23"/>
        <v>4.2179490876124266</v>
      </c>
      <c r="AD16" s="138">
        <f t="shared" si="24"/>
        <v>3.6230316524665795E-9</v>
      </c>
      <c r="AE16" s="122">
        <f t="shared" si="25"/>
        <v>7.5972242240382432E-2</v>
      </c>
      <c r="AF16" s="122">
        <f t="shared" si="26"/>
        <v>4.352888840519431</v>
      </c>
      <c r="AG16" s="143">
        <f t="shared" si="27"/>
        <v>0.15527352520559196</v>
      </c>
      <c r="AH16" s="90"/>
      <c r="AI16" s="90"/>
      <c r="AJ16" s="50"/>
      <c r="AK16" s="50"/>
      <c r="AL16" s="50"/>
      <c r="AM16" s="50"/>
      <c r="AN16" s="131">
        <v>4.3528625252307673</v>
      </c>
      <c r="AO16" s="94">
        <f>PROP_InOut!$F$8*'PROP_Table (2)'!I16*'PROP_Table (2)'!E16</f>
        <v>153344.3545088892</v>
      </c>
      <c r="AP16" s="91">
        <f t="shared" si="28"/>
        <v>0.99085000000000001</v>
      </c>
      <c r="AQ16" s="91">
        <f t="shared" si="29"/>
        <v>1.5890000000000001E-2</v>
      </c>
      <c r="AR16" s="8">
        <f>0.5*PROP_InOut!$J$8*I16^2*E16*AP16*(C16-C15)</f>
        <v>0.50907308383934879</v>
      </c>
      <c r="AS16" s="8">
        <f>0.5*PROP_InOut!$J$8*I16^2*E16*AQ16*(C16-C15)</f>
        <v>8.163870719288745E-3</v>
      </c>
      <c r="AT16" s="91">
        <f t="shared" si="0"/>
        <v>0.4842078090837989</v>
      </c>
      <c r="AU16" s="91">
        <f t="shared" si="1"/>
        <v>2.3137402402317202E-2</v>
      </c>
      <c r="AV16" s="95">
        <f t="shared" si="2"/>
        <v>12.114715568378427</v>
      </c>
      <c r="AW16" s="88">
        <f>PROP_InOut!$G$4/2*((PROP_InOut!$E$8-'PROP_Table (2)'!C16)/('PROP_Table (2)'!C16*SIN('PROP_Table (2)'!K16)))</f>
        <v>4.9288987597647003</v>
      </c>
      <c r="AX16" s="88">
        <f t="shared" si="11"/>
        <v>0.99539435586601965</v>
      </c>
      <c r="AY16" s="88">
        <f>PROP_InOut!$G$4/2*((C16-PROP_InOut!$J$12/2)/(C16*SIN('PROP_Table (2)'!K16)))</f>
        <v>2.2986011292642279</v>
      </c>
      <c r="AZ16" s="88">
        <f t="shared" si="12"/>
        <v>0.93597602081011444</v>
      </c>
      <c r="BA16" s="88">
        <f t="shared" si="13"/>
        <v>0.93166524834032405</v>
      </c>
      <c r="BB16" s="25">
        <f>0.5*PROP_InOut!$J$8*T16^2*E16*AP16*(C16-C15)</f>
        <v>0.54120273790666906</v>
      </c>
      <c r="BC16" s="25">
        <f>0.5*PROP_InOut!$J$8*T16^2*E16*AQ16*(C16-C15)</f>
        <v>8.6791255036957893E-3</v>
      </c>
      <c r="BD16" s="88">
        <f t="shared" si="3"/>
        <v>0.4511195886983817</v>
      </c>
      <c r="BE16" s="88">
        <f t="shared" si="4"/>
        <v>2.1556313755104865E-2</v>
      </c>
      <c r="BF16" s="88">
        <f t="shared" si="30"/>
        <v>11.286859488585678</v>
      </c>
      <c r="BG16" s="90"/>
    </row>
    <row r="17" spans="1:59" s="96" customFormat="1" ht="15.75" thickBot="1" x14ac:dyDescent="0.3">
      <c r="A17" s="174"/>
      <c r="B17" s="82">
        <v>14</v>
      </c>
      <c r="C17" s="87">
        <v>0.10272014</v>
      </c>
      <c r="D17" s="88">
        <f>C17/PROP_InOut!$E$8</f>
        <v>0.38515238095238097</v>
      </c>
      <c r="E17" s="88">
        <v>4.4312839999999999E-2</v>
      </c>
      <c r="F17" s="89">
        <f>E17*PROP_InOut!$G$8</f>
        <v>2.7786920232499994E-4</v>
      </c>
      <c r="G17" s="90">
        <f>PROP_InOut!$C$4</f>
        <v>19.5</v>
      </c>
      <c r="H17" s="91">
        <f>PROP_InOut!$C$8*'PROP_Table (2)'!C17</f>
        <v>53.784139533285845</v>
      </c>
      <c r="I17" s="92">
        <f t="shared" si="5"/>
        <v>57.209996201153182</v>
      </c>
      <c r="J17" s="93">
        <f>I17/PROP_InOut!$D$8</f>
        <v>0.16529112892737152</v>
      </c>
      <c r="K17" s="91">
        <f t="shared" si="6"/>
        <v>0.34782038580090446</v>
      </c>
      <c r="L17" s="92">
        <f t="shared" si="7"/>
        <v>19.928640135003853</v>
      </c>
      <c r="M17" s="90">
        <f t="shared" si="15"/>
        <v>7.447624510518E-2</v>
      </c>
      <c r="N17" s="90">
        <f t="shared" si="16"/>
        <v>4.2671745185086696</v>
      </c>
      <c r="O17" s="91">
        <f t="shared" si="8"/>
        <v>0.47289347016935956</v>
      </c>
      <c r="P17" s="87">
        <v>27.094799999999999</v>
      </c>
      <c r="Q17" s="91">
        <f t="shared" si="9"/>
        <v>5.0596839263275101E-2</v>
      </c>
      <c r="R17" s="93">
        <f t="shared" si="10"/>
        <v>2.8989853464874766</v>
      </c>
      <c r="S17" s="127">
        <f t="shared" si="17"/>
        <v>4.4019310535710963</v>
      </c>
      <c r="T17" s="127">
        <f t="shared" si="18"/>
        <v>58.850012093451085</v>
      </c>
      <c r="U17" s="122">
        <f>U16+(U18-U16)*((C17-C16)/(C18-C16))</f>
        <v>4.3870311688869768</v>
      </c>
      <c r="V17" s="122">
        <f>V16+(V18-V16)*((C17-C16)/(C18-C16))</f>
        <v>4.2671745185086696</v>
      </c>
      <c r="W17" s="123">
        <f t="shared" si="19"/>
        <v>2.8989853464874766</v>
      </c>
      <c r="X17" s="122">
        <f t="shared" si="20"/>
        <v>58.850012093451085</v>
      </c>
      <c r="Y17" s="122">
        <f>Y16+(Y18-Y16)*((C17-C16)/(C18-C16))</f>
        <v>0.97484999999999999</v>
      </c>
      <c r="Z17" s="122">
        <f>Z16+(Z18-Z16)*((C17-C16)/(C18-C16))</f>
        <v>1.4955E-2</v>
      </c>
      <c r="AA17" s="122">
        <f t="shared" si="21"/>
        <v>-0.50141908385528211</v>
      </c>
      <c r="AB17" s="122">
        <f t="shared" si="22"/>
        <v>33.652547954930597</v>
      </c>
      <c r="AC17" s="122">
        <f t="shared" si="23"/>
        <v>4.4019310535710963</v>
      </c>
      <c r="AD17" s="138">
        <f t="shared" si="24"/>
        <v>1.4899884684119513E-2</v>
      </c>
      <c r="AE17" s="122">
        <f t="shared" si="25"/>
        <v>7.4660121081179642E-2</v>
      </c>
      <c r="AF17" s="122">
        <f t="shared" si="26"/>
        <v>4.2777098358872978</v>
      </c>
      <c r="AG17" s="143">
        <f t="shared" si="27"/>
        <v>0.16529112892737152</v>
      </c>
      <c r="AH17" s="90"/>
      <c r="AI17" s="90"/>
      <c r="AJ17" s="90"/>
      <c r="AK17" s="50"/>
      <c r="AL17" s="50"/>
      <c r="AM17" s="50"/>
      <c r="AN17" s="131"/>
      <c r="AO17" s="94">
        <f>PROP_InOut!$F$8*'PROP_Table (2)'!I17*'PROP_Table (2)'!E17</f>
        <v>164159.63555803781</v>
      </c>
      <c r="AP17" s="91">
        <f t="shared" si="28"/>
        <v>0.97484999999999999</v>
      </c>
      <c r="AQ17" s="91">
        <f t="shared" si="29"/>
        <v>1.4955E-2</v>
      </c>
      <c r="AR17" s="8">
        <f>0.5*PROP_InOut!$J$8*I17^2*E17*AP17*(C17-C16)</f>
        <v>0.59490755423269648</v>
      </c>
      <c r="AS17" s="8">
        <f>0.5*PROP_InOut!$J$8*I17^2*E17*AQ17*(C17-C16)</f>
        <v>9.1263706965686794E-3</v>
      </c>
      <c r="AT17" s="91">
        <f t="shared" si="0"/>
        <v>0.57024442968747557</v>
      </c>
      <c r="AU17" s="91">
        <f t="shared" si="1"/>
        <v>2.7407288594763046E-2</v>
      </c>
      <c r="AV17" s="95">
        <f t="shared" si="2"/>
        <v>14.350422750687152</v>
      </c>
      <c r="AW17" s="88">
        <f>PROP_InOut!$G$4/2*((PROP_InOut!$E$8-'PROP_Table (2)'!C17)/('PROP_Table (2)'!C17*SIN('PROP_Table (2)'!K17)))</f>
        <v>4.6835182431008997</v>
      </c>
      <c r="AX17" s="88">
        <f t="shared" si="11"/>
        <v>0.99411345887147196</v>
      </c>
      <c r="AY17" s="88">
        <f>PROP_InOut!$G$4/2*((C17-PROP_InOut!$J$12/2)/(C17*SIN('PROP_Table (2)'!K17)))</f>
        <v>2.4804314231921634</v>
      </c>
      <c r="AZ17" s="88">
        <f t="shared" si="12"/>
        <v>0.94664797277060164</v>
      </c>
      <c r="BA17" s="88">
        <f t="shared" si="13"/>
        <v>0.94107549054464978</v>
      </c>
      <c r="BB17" s="25">
        <f>0.5*PROP_InOut!$J$8*T17^2*E17*AP17*(C17-C16)</f>
        <v>0.62950438360149863</v>
      </c>
      <c r="BC17" s="25">
        <f>0.5*PROP_InOut!$J$8*T17^2*E17*AQ17*(C17-C16)</f>
        <v>9.6571144860854597E-3</v>
      </c>
      <c r="BD17" s="88">
        <f t="shared" si="3"/>
        <v>0.53664305639849508</v>
      </c>
      <c r="BE17" s="88">
        <f t="shared" si="4"/>
        <v>2.5792327558815418E-2</v>
      </c>
      <c r="BF17" s="88">
        <f t="shared" si="30"/>
        <v>13.504831129626014</v>
      </c>
      <c r="BG17" s="90"/>
    </row>
    <row r="18" spans="1:59" s="96" customFormat="1" ht="15.75" thickBot="1" x14ac:dyDescent="0.3">
      <c r="A18" s="174"/>
      <c r="B18" s="82">
        <v>15</v>
      </c>
      <c r="C18" s="87">
        <v>0.10979404000000001</v>
      </c>
      <c r="D18" s="88">
        <f>C18/PROP_InOut!$E$8</f>
        <v>0.41167619047619053</v>
      </c>
      <c r="E18" s="88">
        <v>4.4292520000000002E-2</v>
      </c>
      <c r="F18" s="89">
        <f>E18*PROP_InOut!$G$8</f>
        <v>2.7774178322499996E-4</v>
      </c>
      <c r="G18" s="90">
        <f>PROP_InOut!$C$4</f>
        <v>19.5</v>
      </c>
      <c r="H18" s="91">
        <f>PROP_InOut!$C$8*'PROP_Table (2)'!C18</f>
        <v>57.488024911990657</v>
      </c>
      <c r="I18" s="92">
        <f t="shared" si="5"/>
        <v>60.70521401232071</v>
      </c>
      <c r="J18" s="93">
        <f>I18/PROP_InOut!$D$8</f>
        <v>0.17538951271022679</v>
      </c>
      <c r="K18" s="91">
        <f t="shared" si="6"/>
        <v>0.32702219553602574</v>
      </c>
      <c r="L18" s="92">
        <f t="shared" si="7"/>
        <v>18.736991611316224</v>
      </c>
      <c r="M18" s="90">
        <f t="shared" si="15"/>
        <v>7.2980707258408356E-2</v>
      </c>
      <c r="N18" s="90">
        <f t="shared" si="16"/>
        <v>4.1814865117865718</v>
      </c>
      <c r="O18" s="91">
        <f t="shared" si="8"/>
        <v>0.44642031607510962</v>
      </c>
      <c r="P18" s="87">
        <v>25.577999999999999</v>
      </c>
      <c r="Q18" s="91">
        <f t="shared" si="9"/>
        <v>4.6417413280675515E-2</v>
      </c>
      <c r="R18" s="93">
        <f t="shared" si="10"/>
        <v>2.6595218768972035</v>
      </c>
      <c r="S18" s="127">
        <f t="shared" si="17"/>
        <v>4.5561132548385066</v>
      </c>
      <c r="T18" s="127">
        <f t="shared" si="18"/>
        <v>62.318292604664379</v>
      </c>
      <c r="U18" s="122">
        <v>4.5561132537845586</v>
      </c>
      <c r="V18" s="122">
        <v>4.1814865117865718</v>
      </c>
      <c r="W18" s="123">
        <f t="shared" si="19"/>
        <v>2.6595218768972035</v>
      </c>
      <c r="X18" s="122">
        <f t="shared" si="20"/>
        <v>62.318292604664379</v>
      </c>
      <c r="Y18" s="128">
        <v>0.95884999999999998</v>
      </c>
      <c r="Z18" s="127">
        <v>1.4019999999999999E-2</v>
      </c>
      <c r="AA18" s="122">
        <f t="shared" si="21"/>
        <v>-3.8160180793056497E-8</v>
      </c>
      <c r="AB18" s="122">
        <f t="shared" si="22"/>
        <v>36.206879182241678</v>
      </c>
      <c r="AC18" s="122">
        <f t="shared" si="23"/>
        <v>4.5561132548385066</v>
      </c>
      <c r="AD18" s="138">
        <f t="shared" si="24"/>
        <v>1.0539480399529566E-9</v>
      </c>
      <c r="AE18" s="122">
        <f t="shared" si="25"/>
        <v>7.29805219876518E-2</v>
      </c>
      <c r="AF18" s="122">
        <f t="shared" si="26"/>
        <v>4.1814758965541543</v>
      </c>
      <c r="AG18" s="143">
        <f t="shared" si="27"/>
        <v>0.17538951271022679</v>
      </c>
      <c r="AH18" s="90"/>
      <c r="AI18" s="90"/>
      <c r="AJ18" s="90"/>
      <c r="AK18" s="50"/>
      <c r="AL18" s="50"/>
      <c r="AM18" s="50"/>
      <c r="AN18" s="131">
        <v>4.1814865117865718</v>
      </c>
      <c r="AO18" s="94">
        <f>PROP_InOut!$F$8*'PROP_Table (2)'!I18*'PROP_Table (2)'!E18</f>
        <v>174109.01560467767</v>
      </c>
      <c r="AP18" s="91">
        <f t="shared" si="28"/>
        <v>0.95884999999999998</v>
      </c>
      <c r="AQ18" s="91">
        <f t="shared" si="29"/>
        <v>1.4019999999999999E-2</v>
      </c>
      <c r="AR18" s="8">
        <f>0.5*PROP_InOut!$J$8*I18^2*E18*AP18*(C18-C17)</f>
        <v>0.65852355896832393</v>
      </c>
      <c r="AS18" s="8">
        <f>0.5*PROP_InOut!$J$8*I18^2*E18*AQ18*(C18-C17)</f>
        <v>9.6287222159210546E-3</v>
      </c>
      <c r="AT18" s="91">
        <f t="shared" si="0"/>
        <v>0.63525067714333705</v>
      </c>
      <c r="AU18" s="91">
        <f t="shared" si="1"/>
        <v>3.0698277954799118E-2</v>
      </c>
      <c r="AV18" s="95">
        <f t="shared" si="2"/>
        <v>16.07358075010907</v>
      </c>
      <c r="AW18" s="88">
        <f>PROP_InOut!$G$4/2*((PROP_InOut!$E$8-'PROP_Table (2)'!C18)/('PROP_Table (2)'!C18*SIN('PROP_Table (2)'!K18)))</f>
        <v>4.4488939947077188</v>
      </c>
      <c r="AX18" s="88">
        <f t="shared" si="11"/>
        <v>0.99255679629291027</v>
      </c>
      <c r="AY18" s="88">
        <f>PROP_InOut!$G$4/2*((C18-PROP_InOut!$J$12/2)/(C18*SIN('PROP_Table (2)'!K18)))</f>
        <v>2.6629699282596664</v>
      </c>
      <c r="AZ18" s="88">
        <f t="shared" si="12"/>
        <v>0.95556556532523895</v>
      </c>
      <c r="BA18" s="88">
        <f t="shared" si="13"/>
        <v>0.94845309616704288</v>
      </c>
      <c r="BB18" s="25">
        <f>0.5*PROP_InOut!$J$8*T18^2*E18*AP18*(C18-C17)</f>
        <v>0.6939855370477217</v>
      </c>
      <c r="BC18" s="25">
        <f>0.5*PROP_InOut!$J$8*T18^2*E18*AQ18*(C18-C17)</f>
        <v>1.0147235990414619E-2</v>
      </c>
      <c r="BD18" s="88">
        <f t="shared" si="3"/>
        <v>0.60250547157880852</v>
      </c>
      <c r="BE18" s="88">
        <f t="shared" si="4"/>
        <v>2.9115876773225701E-2</v>
      </c>
      <c r="BF18" s="88">
        <f t="shared" si="30"/>
        <v>15.245037428931926</v>
      </c>
      <c r="BG18" s="90"/>
    </row>
    <row r="19" spans="1:59" s="96" customFormat="1" ht="15.75" thickBot="1" x14ac:dyDescent="0.3">
      <c r="A19" s="174"/>
      <c r="B19" s="82">
        <v>16</v>
      </c>
      <c r="C19" s="87">
        <v>0.11686793999999999</v>
      </c>
      <c r="D19" s="88">
        <f>C19/PROP_InOut!$E$8</f>
        <v>0.43819999999999998</v>
      </c>
      <c r="E19" s="88">
        <v>4.402582E-2</v>
      </c>
      <c r="F19" s="89">
        <f>E19*PROP_InOut!$G$8</f>
        <v>2.7606940753749999E-4</v>
      </c>
      <c r="G19" s="90">
        <f>PROP_InOut!$C$4</f>
        <v>19.5</v>
      </c>
      <c r="H19" s="91">
        <f>PROP_InOut!$C$8*'PROP_Table (2)'!C19</f>
        <v>61.191910290695446</v>
      </c>
      <c r="I19" s="92">
        <f t="shared" si="5"/>
        <v>64.223826458912569</v>
      </c>
      <c r="J19" s="93">
        <f>I19/PROP_InOut!$D$8</f>
        <v>0.18555548827698179</v>
      </c>
      <c r="K19" s="91">
        <f t="shared" si="6"/>
        <v>0.30849563404040187</v>
      </c>
      <c r="L19" s="92">
        <f t="shared" si="7"/>
        <v>17.675497828727398</v>
      </c>
      <c r="M19" s="90">
        <f t="shared" si="15"/>
        <v>7.1225551958131086E-2</v>
      </c>
      <c r="N19" s="90">
        <f t="shared" si="16"/>
        <v>4.0809235206906678</v>
      </c>
      <c r="O19" s="91">
        <f t="shared" si="8"/>
        <v>0.42258435448062304</v>
      </c>
      <c r="P19" s="87">
        <v>24.212299999999999</v>
      </c>
      <c r="Q19" s="91">
        <f t="shared" si="9"/>
        <v>4.286316848209009E-2</v>
      </c>
      <c r="R19" s="93">
        <f t="shared" si="10"/>
        <v>2.4558786505819334</v>
      </c>
      <c r="S19" s="127">
        <f t="shared" si="17"/>
        <v>4.7034555830739633</v>
      </c>
      <c r="T19" s="127">
        <f t="shared" si="18"/>
        <v>65.799458233410448</v>
      </c>
      <c r="U19" s="122">
        <f>U18+(U20-U18)*((C19-C18)/(C20-C18))</f>
        <v>4.6892293962789671</v>
      </c>
      <c r="V19" s="122">
        <f>V18+(V20-V18)*((C19-C18)/(C20-C18))</f>
        <v>4.0809235206906678</v>
      </c>
      <c r="W19" s="123">
        <f t="shared" si="19"/>
        <v>2.4558786505819334</v>
      </c>
      <c r="X19" s="122">
        <f t="shared" si="20"/>
        <v>65.799458233410448</v>
      </c>
      <c r="Y19" s="122">
        <f>Y18+(Y20-Y18)*((C19-C18)/(C20-C18))</f>
        <v>0.94835500000000006</v>
      </c>
      <c r="Z19" s="122">
        <f>Z18+(Z20-Z18)*((C19-C18)/(C20-C18))</f>
        <v>1.3375000000000001E-2</v>
      </c>
      <c r="AA19" s="122">
        <f t="shared" si="21"/>
        <v>-0.55491719985712962</v>
      </c>
      <c r="AB19" s="122">
        <f t="shared" si="22"/>
        <v>39.006742133619476</v>
      </c>
      <c r="AC19" s="122">
        <f t="shared" si="23"/>
        <v>4.7034555830739633</v>
      </c>
      <c r="AD19" s="138">
        <f t="shared" si="24"/>
        <v>1.422618679499621E-2</v>
      </c>
      <c r="AE19" s="122">
        <f t="shared" si="25"/>
        <v>7.1360300024240653E-2</v>
      </c>
      <c r="AF19" s="122">
        <f t="shared" si="26"/>
        <v>4.0886440161762954</v>
      </c>
      <c r="AG19" s="143">
        <f t="shared" si="27"/>
        <v>0.18555548827698179</v>
      </c>
      <c r="AH19" s="50"/>
      <c r="AI19" s="50"/>
      <c r="AJ19" s="50"/>
      <c r="AK19" s="50"/>
      <c r="AL19" s="50"/>
      <c r="AM19" s="50"/>
      <c r="AN19" s="131"/>
      <c r="AO19" s="94">
        <f>PROP_InOut!$F$8*'PROP_Table (2)'!I19*'PROP_Table (2)'!E19</f>
        <v>183091.63651552625</v>
      </c>
      <c r="AP19" s="91">
        <f t="shared" si="28"/>
        <v>0.94835500000000006</v>
      </c>
      <c r="AQ19" s="91">
        <f t="shared" si="29"/>
        <v>1.3375000000000001E-2</v>
      </c>
      <c r="AR19" s="8">
        <f>0.5*PROP_InOut!$J$8*I19^2*E19*AP19*(C19-C18)</f>
        <v>0.72461782238380401</v>
      </c>
      <c r="AS19" s="8">
        <f>0.5*PROP_InOut!$J$8*I19^2*E19*AQ19*(C19-C18)</f>
        <v>1.0219552144907109E-2</v>
      </c>
      <c r="AT19" s="91">
        <f t="shared" si="0"/>
        <v>0.70245290074846667</v>
      </c>
      <c r="AU19" s="91">
        <f t="shared" si="1"/>
        <v>3.4112748529135928E-2</v>
      </c>
      <c r="AV19" s="95">
        <f t="shared" si="2"/>
        <v>17.861393362148242</v>
      </c>
      <c r="AW19" s="88">
        <f>PROP_InOut!$G$4/2*((PROP_InOut!$E$8-'PROP_Table (2)'!C19)/('PROP_Table (2)'!C19*SIN('PROP_Table (2)'!K19)))</f>
        <v>4.2225123412347818</v>
      </c>
      <c r="AX19" s="88">
        <f t="shared" si="11"/>
        <v>0.99066569742754751</v>
      </c>
      <c r="AY19" s="88">
        <f>PROP_InOut!$G$4/2*((C19-PROP_InOut!$J$12/2)/(C19*SIN('PROP_Table (2)'!K19)))</f>
        <v>2.8461461153746659</v>
      </c>
      <c r="AZ19" s="88">
        <f t="shared" si="12"/>
        <v>0.96301216294905478</v>
      </c>
      <c r="BA19" s="88">
        <f t="shared" si="13"/>
        <v>0.95402311603913637</v>
      </c>
      <c r="BB19" s="25">
        <f>0.5*PROP_InOut!$J$8*T19^2*E19*AP19*(C19-C18)</f>
        <v>0.76060870692837301</v>
      </c>
      <c r="BC19" s="25">
        <f>0.5*PROP_InOut!$J$8*T19^2*E19*AQ19*(C19-C18)</f>
        <v>1.0727144850996713E-2</v>
      </c>
      <c r="BD19" s="88">
        <f t="shared" si="3"/>
        <v>0.67015630524278236</v>
      </c>
      <c r="BE19" s="88">
        <f t="shared" si="4"/>
        <v>3.2544350648425723E-2</v>
      </c>
      <c r="BF19" s="88">
        <f t="shared" si="30"/>
        <v>17.040182152157413</v>
      </c>
      <c r="BG19" s="90"/>
    </row>
    <row r="20" spans="1:59" s="96" customFormat="1" ht="15.75" thickBot="1" x14ac:dyDescent="0.3">
      <c r="A20" s="174"/>
      <c r="B20" s="82">
        <v>17</v>
      </c>
      <c r="C20" s="87">
        <v>0.12394184</v>
      </c>
      <c r="D20" s="88">
        <f>C20/PROP_InOut!$E$8</f>
        <v>0.46472380952380954</v>
      </c>
      <c r="E20" s="88">
        <v>4.3530519999999996E-2</v>
      </c>
      <c r="F20" s="89">
        <f>E20*PROP_InOut!$G$8</f>
        <v>2.7296356697499997E-4</v>
      </c>
      <c r="G20" s="90">
        <f>PROP_InOut!$C$4</f>
        <v>19.5</v>
      </c>
      <c r="H20" s="91">
        <f>PROP_InOut!$C$8*'PROP_Table (2)'!C20</f>
        <v>64.895795669400258</v>
      </c>
      <c r="I20" s="92">
        <f t="shared" si="5"/>
        <v>67.762189276650062</v>
      </c>
      <c r="J20" s="93">
        <f>I20/PROP_InOut!$D$8</f>
        <v>0.19577852661877906</v>
      </c>
      <c r="K20" s="91">
        <f t="shared" si="6"/>
        <v>0.29189867652682044</v>
      </c>
      <c r="L20" s="92">
        <f t="shared" si="7"/>
        <v>16.724562210441242</v>
      </c>
      <c r="M20" s="90">
        <f t="shared" si="15"/>
        <v>6.9470396657853817E-2</v>
      </c>
      <c r="N20" s="90">
        <f t="shared" si="16"/>
        <v>3.9803605295947633</v>
      </c>
      <c r="O20" s="91">
        <f t="shared" si="8"/>
        <v>0.40103302887699704</v>
      </c>
      <c r="P20" s="87">
        <v>22.977499999999999</v>
      </c>
      <c r="Q20" s="91">
        <f t="shared" si="9"/>
        <v>3.9663955692322804E-2</v>
      </c>
      <c r="R20" s="93">
        <f t="shared" si="10"/>
        <v>2.272577259963994</v>
      </c>
      <c r="S20" s="127">
        <f t="shared" si="17"/>
        <v>4.8223455400290609</v>
      </c>
      <c r="T20" s="127">
        <f t="shared" si="18"/>
        <v>69.303973825979412</v>
      </c>
      <c r="U20" s="122">
        <v>4.8223455387733756</v>
      </c>
      <c r="V20" s="122">
        <v>3.9803605295947633</v>
      </c>
      <c r="W20" s="123">
        <f t="shared" si="19"/>
        <v>2.272577259963994</v>
      </c>
      <c r="X20" s="122">
        <f t="shared" si="20"/>
        <v>69.303973825979412</v>
      </c>
      <c r="Y20" s="128">
        <v>0.93786000000000003</v>
      </c>
      <c r="Z20" s="127">
        <v>1.273E-2</v>
      </c>
      <c r="AA20" s="122">
        <f t="shared" si="21"/>
        <v>-5.278391768115398E-8</v>
      </c>
      <c r="AB20" s="122">
        <f t="shared" si="22"/>
        <v>42.03593676970992</v>
      </c>
      <c r="AC20" s="122">
        <f t="shared" si="23"/>
        <v>4.8223455400290609</v>
      </c>
      <c r="AD20" s="138">
        <f t="shared" si="24"/>
        <v>1.2556853334899643E-9</v>
      </c>
      <c r="AE20" s="122">
        <f t="shared" si="25"/>
        <v>6.947055092878375E-2</v>
      </c>
      <c r="AF20" s="122">
        <f t="shared" si="26"/>
        <v>3.98036936866795</v>
      </c>
      <c r="AG20" s="143">
        <f t="shared" si="27"/>
        <v>0.19577852661877906</v>
      </c>
      <c r="AH20" s="50"/>
      <c r="AI20" s="50"/>
      <c r="AJ20" s="50"/>
      <c r="AK20" s="50"/>
      <c r="AL20" s="50"/>
      <c r="AM20" s="50"/>
      <c r="AN20" s="131">
        <v>3.9803605295947633</v>
      </c>
      <c r="AO20" s="94">
        <f>PROP_InOut!$F$8*'PROP_Table (2)'!I20*'PROP_Table (2)'!E20</f>
        <v>191005.62605448751</v>
      </c>
      <c r="AP20" s="91">
        <f t="shared" si="28"/>
        <v>0.93786000000000003</v>
      </c>
      <c r="AQ20" s="91">
        <f t="shared" si="29"/>
        <v>1.273E-2</v>
      </c>
      <c r="AR20" s="8">
        <f>0.5*PROP_InOut!$J$8*I20^2*E20*AP20*(C20-C19)</f>
        <v>0.7887602052179068</v>
      </c>
      <c r="AS20" s="8">
        <f>0.5*PROP_InOut!$J$8*I20^2*E20*AQ20*(C20-C19)</f>
        <v>1.0706200725506956E-2</v>
      </c>
      <c r="AT20" s="91">
        <f t="shared" si="0"/>
        <v>0.76781450633255333</v>
      </c>
      <c r="AU20" s="91">
        <f t="shared" si="1"/>
        <v>3.7452806157667572E-2</v>
      </c>
      <c r="AV20" s="95">
        <f t="shared" si="2"/>
        <v>19.610243446875167</v>
      </c>
      <c r="AW20" s="88">
        <f>PROP_InOut!$G$4/2*((PROP_InOut!$E$8-'PROP_Table (2)'!C20)/('PROP_Table (2)'!C20*SIN('PROP_Table (2)'!K20)))</f>
        <v>4.0025412823926727</v>
      </c>
      <c r="AX20" s="88">
        <f t="shared" si="11"/>
        <v>0.98836884905489819</v>
      </c>
      <c r="AY20" s="88">
        <f>PROP_InOut!$G$4/2*((C20-PROP_InOut!$J$12/2)/(C20*SIN('PROP_Table (2)'!K20)))</f>
        <v>3.0298932709536452</v>
      </c>
      <c r="AZ20" s="88">
        <f t="shared" si="12"/>
        <v>0.96922604281986813</v>
      </c>
      <c r="BA20" s="88">
        <f t="shared" si="13"/>
        <v>0.95795282841590657</v>
      </c>
      <c r="BB20" s="25">
        <f>0.5*PROP_InOut!$J$8*T20^2*E20*AP20*(C20-C19)</f>
        <v>0.82506166407809822</v>
      </c>
      <c r="BC20" s="25">
        <f>0.5*PROP_InOut!$J$8*T20^2*E20*AQ20*(C20-C19)</f>
        <v>1.1198936924182917E-2</v>
      </c>
      <c r="BD20" s="88">
        <f t="shared" si="3"/>
        <v>0.73553007804003245</v>
      </c>
      <c r="BE20" s="88">
        <f t="shared" si="4"/>
        <v>3.587802159085033E-2</v>
      </c>
      <c r="BF20" s="88">
        <f t="shared" si="30"/>
        <v>18.785688175858564</v>
      </c>
      <c r="BG20" s="90"/>
    </row>
    <row r="21" spans="1:59" s="96" customFormat="1" ht="15.75" thickBot="1" x14ac:dyDescent="0.3">
      <c r="A21" s="174"/>
      <c r="B21" s="82">
        <v>18</v>
      </c>
      <c r="C21" s="87">
        <v>0.13101573999999999</v>
      </c>
      <c r="D21" s="88">
        <f>C21/PROP_InOut!$E$8</f>
        <v>0.49124761904761904</v>
      </c>
      <c r="E21" s="88">
        <v>4.2821859999999996E-2</v>
      </c>
      <c r="F21" s="89">
        <f>E21*PROP_InOut!$G$8</f>
        <v>2.6851982586249996E-4</v>
      </c>
      <c r="G21" s="90">
        <f>PROP_InOut!$C$4</f>
        <v>19.5</v>
      </c>
      <c r="H21" s="91">
        <f>PROP_InOut!$C$8*'PROP_Table (2)'!C21</f>
        <v>68.599681048105069</v>
      </c>
      <c r="I21" s="92">
        <f t="shared" si="5"/>
        <v>71.317362822118895</v>
      </c>
      <c r="J21" s="93">
        <f>I21/PROP_InOut!$D$8</f>
        <v>0.20605013451745996</v>
      </c>
      <c r="K21" s="91">
        <f t="shared" si="6"/>
        <v>0.27695265461251067</v>
      </c>
      <c r="L21" s="92">
        <f t="shared" si="7"/>
        <v>15.868218234241253</v>
      </c>
      <c r="M21" s="90">
        <f t="shared" si="15"/>
        <v>6.7540455923010306E-2</v>
      </c>
      <c r="N21" s="90">
        <f t="shared" si="16"/>
        <v>3.8697830707778538</v>
      </c>
      <c r="O21" s="91">
        <f t="shared" si="8"/>
        <v>0.38146963329139266</v>
      </c>
      <c r="P21" s="87">
        <v>21.8566</v>
      </c>
      <c r="Q21" s="91">
        <f t="shared" si="9"/>
        <v>3.6976522755871662E-2</v>
      </c>
      <c r="R21" s="93">
        <f t="shared" si="10"/>
        <v>2.1185986949808937</v>
      </c>
      <c r="S21" s="127">
        <f t="shared" si="17"/>
        <v>4.9330643685199655</v>
      </c>
      <c r="T21" s="127">
        <f t="shared" si="18"/>
        <v>72.816349281119983</v>
      </c>
      <c r="U21" s="122">
        <f>U20+(U22-U20)*((C21-C20)/(C22-C20))</f>
        <v>4.9193464844642678</v>
      </c>
      <c r="V21" s="122">
        <f>V20+(V22-V20)*((C21-C20)/(C22-C20))</f>
        <v>3.8697830707778538</v>
      </c>
      <c r="W21" s="123">
        <f t="shared" si="19"/>
        <v>2.1185986949808937</v>
      </c>
      <c r="X21" s="122">
        <f t="shared" si="20"/>
        <v>72.816349281119983</v>
      </c>
      <c r="Y21" s="122">
        <f>Y20+(Y22-Y20)*((C21-C20)/(C22-C20))</f>
        <v>0.93201500000000004</v>
      </c>
      <c r="Z21" s="122">
        <f>Z20+(Z22-Z20)*((C21-C20)/(C22-C20))</f>
        <v>1.2255000000000002E-2</v>
      </c>
      <c r="AA21" s="122">
        <f t="shared" si="21"/>
        <v>-0.6225303249444778</v>
      </c>
      <c r="AB21" s="122">
        <f t="shared" si="22"/>
        <v>45.380929188268532</v>
      </c>
      <c r="AC21" s="122">
        <f t="shared" si="23"/>
        <v>4.9330643685199655</v>
      </c>
      <c r="AD21" s="138">
        <f t="shared" si="24"/>
        <v>1.3717884055697738E-2</v>
      </c>
      <c r="AE21" s="122">
        <f t="shared" si="25"/>
        <v>6.7643299684282662E-2</v>
      </c>
      <c r="AF21" s="122">
        <f t="shared" si="26"/>
        <v>3.8756755842480106</v>
      </c>
      <c r="AG21" s="143">
        <f t="shared" si="27"/>
        <v>0.20605013451745996</v>
      </c>
      <c r="AJ21" s="50"/>
      <c r="AK21" s="50"/>
      <c r="AL21" s="50"/>
      <c r="AM21" s="50"/>
      <c r="AN21" s="131"/>
      <c r="AO21" s="94">
        <f>PROP_InOut!$F$8*'PROP_Table (2)'!I21*'PROP_Table (2)'!E21</f>
        <v>197754.18282284291</v>
      </c>
      <c r="AP21" s="91">
        <f t="shared" si="28"/>
        <v>0.93201500000000004</v>
      </c>
      <c r="AQ21" s="91">
        <f t="shared" si="29"/>
        <v>1.2255000000000002E-2</v>
      </c>
      <c r="AR21" s="8">
        <f>0.5*PROP_InOut!$J$8*I21^2*E21*AP21*(C21-C20)</f>
        <v>0.85411676251844237</v>
      </c>
      <c r="AS21" s="8">
        <f>0.5*PROP_InOut!$J$8*I21^2*E21*AQ21*(C21-C20)</f>
        <v>1.1230721527725963E-2</v>
      </c>
      <c r="AT21" s="91">
        <f t="shared" si="0"/>
        <v>0.83413090242750609</v>
      </c>
      <c r="AU21" s="91">
        <f t="shared" si="1"/>
        <v>4.0840882746501467E-2</v>
      </c>
      <c r="AV21" s="95">
        <f t="shared" si="2"/>
        <v>21.38423620042186</v>
      </c>
      <c r="AW21" s="88">
        <f>PROP_InOut!$G$4/2*((PROP_InOut!$E$8-'PROP_Table (2)'!C21)/('PROP_Table (2)'!C21*SIN('PROP_Table (2)'!K21)))</f>
        <v>3.7876222606264482</v>
      </c>
      <c r="AX21" s="88">
        <f t="shared" si="11"/>
        <v>0.9855797159742844</v>
      </c>
      <c r="AY21" s="88">
        <f>PROP_InOut!$G$4/2*((C21-PROP_InOut!$J$12/2)/(C21*SIN('PROP_Table (2)'!K21)))</f>
        <v>3.2141504838439041</v>
      </c>
      <c r="AZ21" s="88">
        <f t="shared" si="12"/>
        <v>0.97440770196488569</v>
      </c>
      <c r="BA21" s="88">
        <f t="shared" si="13"/>
        <v>0.96035646614570724</v>
      </c>
      <c r="BB21" s="25">
        <f>0.5*PROP_InOut!$J$8*T21^2*E21*AP21*(C21-C20)</f>
        <v>0.89039865866800094</v>
      </c>
      <c r="BC21" s="25">
        <f>0.5*PROP_InOut!$J$8*T21^2*E21*AQ21*(C21-C20)</f>
        <v>1.1707789640699294E-2</v>
      </c>
      <c r="BD21" s="88">
        <f t="shared" si="3"/>
        <v>0.80106300575820943</v>
      </c>
      <c r="BE21" s="88">
        <f t="shared" si="4"/>
        <v>3.9221805828701335E-2</v>
      </c>
      <c r="BF21" s="88">
        <f t="shared" si="30"/>
        <v>20.536489508662243</v>
      </c>
      <c r="BG21" s="90"/>
    </row>
    <row r="22" spans="1:59" s="96" customFormat="1" ht="15.75" thickBot="1" x14ac:dyDescent="0.3">
      <c r="A22" s="174"/>
      <c r="B22" s="82">
        <v>19</v>
      </c>
      <c r="C22" s="87">
        <v>0.13808964000000001</v>
      </c>
      <c r="D22" s="88">
        <f>C22/PROP_InOut!$E$8</f>
        <v>0.51777142857142866</v>
      </c>
      <c r="E22" s="88">
        <v>4.19227E-2</v>
      </c>
      <c r="F22" s="89">
        <f>E22*PROP_InOut!$G$8</f>
        <v>2.6288153068749999E-4</v>
      </c>
      <c r="G22" s="90">
        <f>PROP_InOut!$C$4</f>
        <v>19.5</v>
      </c>
      <c r="H22" s="91">
        <f>PROP_InOut!$C$8*'PROP_Table (2)'!C22</f>
        <v>72.30356642680988</v>
      </c>
      <c r="I22" s="92">
        <f t="shared" si="5"/>
        <v>74.886952922629376</v>
      </c>
      <c r="J22" s="93">
        <f>I22/PROP_InOut!$D$8</f>
        <v>0.21636339472895871</v>
      </c>
      <c r="K22" s="91">
        <f t="shared" si="6"/>
        <v>0.26342869226094062</v>
      </c>
      <c r="L22" s="92">
        <f t="shared" si="7"/>
        <v>15.09335226920247</v>
      </c>
      <c r="M22" s="90">
        <f t="shared" si="15"/>
        <v>6.5610515188166796E-2</v>
      </c>
      <c r="N22" s="90">
        <f t="shared" si="16"/>
        <v>3.7592056119609438</v>
      </c>
      <c r="O22" s="91">
        <f t="shared" si="8"/>
        <v>0.36364458564077456</v>
      </c>
      <c r="P22" s="87">
        <v>20.8353</v>
      </c>
      <c r="Q22" s="91">
        <f t="shared" si="9"/>
        <v>3.4605378191667119E-2</v>
      </c>
      <c r="R22" s="93">
        <f t="shared" si="10"/>
        <v>1.9827421188365868</v>
      </c>
      <c r="S22" s="127">
        <f t="shared" si="17"/>
        <v>5.0163474337594529</v>
      </c>
      <c r="T22" s="127">
        <f t="shared" si="18"/>
        <v>76.346951539352133</v>
      </c>
      <c r="U22" s="122">
        <v>5.0163474301551609</v>
      </c>
      <c r="V22" s="122">
        <v>3.7592056119609438</v>
      </c>
      <c r="W22" s="123">
        <f t="shared" si="19"/>
        <v>1.9827421188365868</v>
      </c>
      <c r="X22" s="122">
        <f t="shared" si="20"/>
        <v>76.346951539352133</v>
      </c>
      <c r="Y22" s="128">
        <v>0.92617000000000005</v>
      </c>
      <c r="Z22" s="127">
        <v>1.1780000000000001E-2</v>
      </c>
      <c r="AA22" s="122">
        <f t="shared" si="21"/>
        <v>-1.7670137708591938E-7</v>
      </c>
      <c r="AB22" s="122">
        <f t="shared" si="22"/>
        <v>49.025271115208639</v>
      </c>
      <c r="AC22" s="122">
        <f t="shared" si="23"/>
        <v>5.0163474337594529</v>
      </c>
      <c r="AD22" s="138">
        <f t="shared" si="24"/>
        <v>3.6042919759893266E-9</v>
      </c>
      <c r="AE22" s="122">
        <f t="shared" si="25"/>
        <v>6.5610313015403945E-2</v>
      </c>
      <c r="AF22" s="122">
        <f t="shared" si="26"/>
        <v>3.7591940283148997</v>
      </c>
      <c r="AG22" s="143">
        <f t="shared" si="27"/>
        <v>0.21636339472895871</v>
      </c>
      <c r="AH22" s="50"/>
      <c r="AI22" s="50"/>
      <c r="AJ22" s="50"/>
      <c r="AK22" s="50"/>
      <c r="AL22" s="50"/>
      <c r="AM22" s="50"/>
      <c r="AN22" s="131">
        <v>3.7592056119609438</v>
      </c>
      <c r="AO22" s="94">
        <f>PROP_InOut!$F$8*'PROP_Table (2)'!I22*'PROP_Table (2)'!E22</f>
        <v>203291.99639519845</v>
      </c>
      <c r="AP22" s="91">
        <f t="shared" si="28"/>
        <v>0.92617000000000005</v>
      </c>
      <c r="AQ22" s="91">
        <f t="shared" si="29"/>
        <v>1.1780000000000001E-2</v>
      </c>
      <c r="AR22" s="8">
        <f>0.5*PROP_InOut!$J$8*I22^2*E22*AP22*(C22-C21)</f>
        <v>0.91620053207694663</v>
      </c>
      <c r="AS22" s="8">
        <f>0.5*PROP_InOut!$J$8*I22^2*E22*AQ22*(C22-C21)</f>
        <v>1.1653197866338179E-2</v>
      </c>
      <c r="AT22" s="91">
        <f t="shared" si="0"/>
        <v>0.89727315470656055</v>
      </c>
      <c r="AU22" s="91">
        <f t="shared" si="1"/>
        <v>4.4074631268818616E-2</v>
      </c>
      <c r="AV22" s="95">
        <f t="shared" si="2"/>
        <v>23.077422967299924</v>
      </c>
      <c r="AW22" s="88">
        <f>PROP_InOut!$G$4/2*((PROP_InOut!$E$8-'PROP_Table (2)'!C22)/('PROP_Table (2)'!C22*SIN('PROP_Table (2)'!K22)))</f>
        <v>3.5767320396179123</v>
      </c>
      <c r="AX22" s="88">
        <f t="shared" si="11"/>
        <v>0.98219336875453245</v>
      </c>
      <c r="AY22" s="88">
        <f>PROP_InOut!$G$4/2*((C22-PROP_InOut!$J$12/2)/(C22*SIN('PROP_Table (2)'!K22)))</f>
        <v>3.3988631911019378</v>
      </c>
      <c r="AZ22" s="88">
        <f t="shared" si="12"/>
        <v>0.97872579064827991</v>
      </c>
      <c r="BA22" s="88">
        <f t="shared" si="13"/>
        <v>0.96129798140377731</v>
      </c>
      <c r="BB22" s="25">
        <f>0.5*PROP_InOut!$J$8*T22^2*E22*AP22*(C22-C21)</f>
        <v>0.95227332998736181</v>
      </c>
      <c r="BC22" s="25">
        <f>0.5*PROP_InOut!$J$8*T22^2*E22*AQ22*(C22-C21)</f>
        <v>1.2112009487730247E-2</v>
      </c>
      <c r="BD22" s="88">
        <f t="shared" si="3"/>
        <v>0.86254687238721583</v>
      </c>
      <c r="BE22" s="88">
        <f t="shared" si="4"/>
        <v>4.2368854069831138E-2</v>
      </c>
      <c r="BF22" s="88">
        <f t="shared" si="30"/>
        <v>22.184280114466585</v>
      </c>
      <c r="BG22" s="90"/>
    </row>
    <row r="23" spans="1:59" s="96" customFormat="1" ht="15.75" thickBot="1" x14ac:dyDescent="0.3">
      <c r="A23" s="175"/>
      <c r="B23" s="98">
        <v>20</v>
      </c>
      <c r="C23" s="87">
        <v>0.14516353999999998</v>
      </c>
      <c r="D23" s="99">
        <f>C23/PROP_InOut!$E$8</f>
        <v>0.54429523809523805</v>
      </c>
      <c r="E23" s="88">
        <v>4.0848280000000001E-2</v>
      </c>
      <c r="F23" s="100">
        <f>E23*PROP_InOut!$G$8</f>
        <v>2.5614424577499999E-4</v>
      </c>
      <c r="G23" s="101">
        <f>PROP_InOut!$C$4</f>
        <v>19.5</v>
      </c>
      <c r="H23" s="102">
        <f>PROP_InOut!$C$8*'PROP_Table (2)'!C23</f>
        <v>76.007451805514663</v>
      </c>
      <c r="I23" s="103">
        <f t="shared" si="5"/>
        <v>78.46899215593146</v>
      </c>
      <c r="J23" s="104">
        <f>I23/PROP_InOut!$D$8</f>
        <v>0.22671262297663866</v>
      </c>
      <c r="K23" s="102">
        <f t="shared" si="6"/>
        <v>0.25113736306043394</v>
      </c>
      <c r="L23" s="103">
        <f t="shared" si="7"/>
        <v>14.389110981407528</v>
      </c>
      <c r="M23" s="90">
        <f t="shared" si="15"/>
        <v>6.3495902632727252E-2</v>
      </c>
      <c r="N23" s="90">
        <f t="shared" si="16"/>
        <v>3.6380472372288843</v>
      </c>
      <c r="O23" s="102">
        <f t="shared" si="8"/>
        <v>0.34734670108565147</v>
      </c>
      <c r="P23" s="87">
        <v>19.901499999999999</v>
      </c>
      <c r="Q23" s="102">
        <f>RADIANS(R23)</f>
        <v>3.2713435392490268E-2</v>
      </c>
      <c r="R23" s="104">
        <f t="shared" si="10"/>
        <v>1.8743417813635861</v>
      </c>
      <c r="S23" s="145">
        <f t="shared" si="17"/>
        <v>5.0853302516650629</v>
      </c>
      <c r="T23" s="145">
        <f t="shared" si="18"/>
        <v>79.88060130593567</v>
      </c>
      <c r="U23" s="122">
        <f>U22+(U24-U22)*((C23-C22)/(C24-C22))</f>
        <v>5.0718891221293241</v>
      </c>
      <c r="V23" s="122">
        <f>V22+(V24-V22)*((C23-C22)/(C24-C22))</f>
        <v>3.6380472372288843</v>
      </c>
      <c r="W23" s="146">
        <f t="shared" si="19"/>
        <v>1.8743417813635861</v>
      </c>
      <c r="X23" s="132">
        <f t="shared" si="20"/>
        <v>79.88060130593567</v>
      </c>
      <c r="Y23" s="122">
        <f>Y22+(Y24-Y22)*((C23-C22)/(C24-C22))</f>
        <v>0.92324500000000009</v>
      </c>
      <c r="Z23" s="122">
        <f>Z22+(Z24-Z22)*((C23-C22)/(C24-C22))</f>
        <v>1.1465000000000001E-2</v>
      </c>
      <c r="AA23" s="132">
        <f t="shared" si="21"/>
        <v>-0.71327391325348799</v>
      </c>
      <c r="AB23" s="132">
        <f t="shared" si="22"/>
        <v>53.066515827924682</v>
      </c>
      <c r="AC23" s="132">
        <f t="shared" si="23"/>
        <v>5.0853302516650629</v>
      </c>
      <c r="AD23" s="147">
        <f t="shared" si="24"/>
        <v>1.3441129535738838E-2</v>
      </c>
      <c r="AE23" s="132">
        <f t="shared" si="25"/>
        <v>6.3575847901696916E-2</v>
      </c>
      <c r="AF23" s="132">
        <f t="shared" si="26"/>
        <v>3.6426277637328841</v>
      </c>
      <c r="AG23" s="143">
        <f t="shared" si="27"/>
        <v>0.22671262297663866</v>
      </c>
      <c r="AH23" s="101"/>
      <c r="AI23" s="101"/>
      <c r="AJ23" s="101"/>
      <c r="AK23" s="132"/>
      <c r="AL23" s="132"/>
      <c r="AM23" s="132"/>
      <c r="AN23" s="133"/>
      <c r="AO23" s="105">
        <f>PROP_InOut!$F$8*'PROP_Table (2)'!I23*'PROP_Table (2)'!E23</f>
        <v>207556.68447259802</v>
      </c>
      <c r="AP23" s="91">
        <f t="shared" si="28"/>
        <v>0.92324500000000009</v>
      </c>
      <c r="AQ23" s="91">
        <f t="shared" si="29"/>
        <v>1.1465000000000001E-2</v>
      </c>
      <c r="AR23" s="8">
        <f>0.5*PROP_InOut!$J$8*I23^2*E23*AP23*(C23-C22)</f>
        <v>0.97706881697991788</v>
      </c>
      <c r="AS23" s="8">
        <f>0.5*PROP_InOut!$J$8*I23^2*E23*AQ23*(C23-C22)</f>
        <v>1.213339253034109E-2</v>
      </c>
      <c r="AT23" s="102">
        <f t="shared" si="0"/>
        <v>0.95894195591184128</v>
      </c>
      <c r="AU23" s="102">
        <f t="shared" si="1"/>
        <v>4.7222383705854978E-2</v>
      </c>
      <c r="AV23" s="106">
        <f t="shared" si="2"/>
        <v>24.725582289218725</v>
      </c>
      <c r="AW23" s="99">
        <f>PROP_InOut!$G$4/2*((PROP_InOut!$E$8-'PROP_Table (2)'!C23)/('PROP_Table (2)'!C23*SIN('PROP_Table (2)'!K23)))</f>
        <v>3.3690890893796563</v>
      </c>
      <c r="AX23" s="99">
        <f t="shared" si="11"/>
        <v>0.97808259571448153</v>
      </c>
      <c r="AY23" s="99">
        <f>PROP_InOut!$G$4/2*((C23-PROP_InOut!$J$12/2)/(C23*SIN('PROP_Table (2)'!K23)))</f>
        <v>3.5839830244835595</v>
      </c>
      <c r="AZ23" s="99">
        <f t="shared" si="12"/>
        <v>0.98232205058699118</v>
      </c>
      <c r="BA23" s="99">
        <f t="shared" si="13"/>
        <v>0.96079210106569657</v>
      </c>
      <c r="BB23" s="25">
        <f>0.5*PROP_InOut!$J$8*T23^2*E23*AP23*(C23-C22)</f>
        <v>1.012538754322813</v>
      </c>
      <c r="BC23" s="25">
        <f>0.5*PROP_InOut!$J$8*T23^2*E23*AQ23*(C23-C22)</f>
        <v>1.2573863728816352E-2</v>
      </c>
      <c r="BD23" s="99">
        <f t="shared" si="3"/>
        <v>0.9213438566205866</v>
      </c>
      <c r="BE23" s="99">
        <f t="shared" si="4"/>
        <v>4.5370893258078922E-2</v>
      </c>
      <c r="BF23" s="88">
        <f t="shared" si="30"/>
        <v>23.756144157731235</v>
      </c>
      <c r="BG23" s="101"/>
    </row>
    <row r="24" spans="1:59" s="96" customFormat="1" ht="15.75" thickBot="1" x14ac:dyDescent="0.3">
      <c r="A24" s="176" t="s">
        <v>85</v>
      </c>
      <c r="B24" s="107">
        <v>21</v>
      </c>
      <c r="C24" s="87">
        <v>0.15223744</v>
      </c>
      <c r="D24" s="108">
        <f>C24/PROP_InOut!$E$8</f>
        <v>0.57081904761904767</v>
      </c>
      <c r="E24" s="88">
        <v>3.9618920000000002E-2</v>
      </c>
      <c r="F24" s="109">
        <f>E24*PROP_InOut!$G$8</f>
        <v>2.4843539022499997E-4</v>
      </c>
      <c r="G24" s="96">
        <f>PROP_InOut!$C$4</f>
        <v>19.5</v>
      </c>
      <c r="H24" s="110">
        <f>PROP_InOut!$C$8*'PROP_Table (2)'!C24</f>
        <v>79.711337184219488</v>
      </c>
      <c r="I24" s="111">
        <f t="shared" si="5"/>
        <v>82.061850306316714</v>
      </c>
      <c r="J24" s="112">
        <f>I24/PROP_InOut!$D$8</f>
        <v>0.23709310924104984</v>
      </c>
      <c r="K24" s="110">
        <f t="shared" si="6"/>
        <v>0.23992074642387612</v>
      </c>
      <c r="L24" s="111">
        <f t="shared" si="7"/>
        <v>13.74644618771654</v>
      </c>
      <c r="M24" s="90">
        <f t="shared" si="15"/>
        <v>6.1381290077287702E-2</v>
      </c>
      <c r="N24" s="90">
        <f t="shared" si="16"/>
        <v>3.516888862496824</v>
      </c>
      <c r="O24" s="110">
        <f t="shared" si="8"/>
        <v>0.33239446538381606</v>
      </c>
      <c r="P24" s="87">
        <v>19.044799999999999</v>
      </c>
      <c r="Q24" s="110">
        <f t="shared" ref="Q24:Q41" si="31">RADIANS(R24)</f>
        <v>3.1092428882652231E-2</v>
      </c>
      <c r="R24" s="112">
        <f t="shared" si="10"/>
        <v>1.7814649497866348</v>
      </c>
      <c r="S24" s="127">
        <f t="shared" si="17"/>
        <v>5.1274308149888244</v>
      </c>
      <c r="T24" s="127">
        <f t="shared" si="18"/>
        <v>83.429057433245561</v>
      </c>
      <c r="U24" s="122">
        <v>5.1274308141034872</v>
      </c>
      <c r="V24" s="122">
        <v>3.516888862496824</v>
      </c>
      <c r="W24" s="123">
        <f t="shared" si="19"/>
        <v>1.7814649497866348</v>
      </c>
      <c r="X24" s="122">
        <f t="shared" si="20"/>
        <v>83.429057433245561</v>
      </c>
      <c r="Y24" s="128">
        <v>0.92032000000000003</v>
      </c>
      <c r="Z24" s="127">
        <v>1.115E-2</v>
      </c>
      <c r="AA24" s="122">
        <f t="shared" si="21"/>
        <v>-5.0908568027807632E-8</v>
      </c>
      <c r="AB24" s="122">
        <f t="shared" si="22"/>
        <v>57.501903042303809</v>
      </c>
      <c r="AC24" s="122">
        <f t="shared" si="23"/>
        <v>5.1274308149888244</v>
      </c>
      <c r="AD24" s="138">
        <f t="shared" si="24"/>
        <v>8.8533713693550453E-10</v>
      </c>
      <c r="AE24" s="122">
        <f t="shared" si="25"/>
        <v>6.1381368330750002E-2</v>
      </c>
      <c r="AF24" s="122">
        <f t="shared" si="26"/>
        <v>3.5168933460899461</v>
      </c>
      <c r="AG24" s="143">
        <f t="shared" si="27"/>
        <v>0.23709310924104984</v>
      </c>
      <c r="AK24" s="50"/>
      <c r="AL24" s="50"/>
      <c r="AM24" s="50"/>
      <c r="AN24" s="131">
        <v>3.516888862496824</v>
      </c>
      <c r="AO24" s="113">
        <f>PROP_InOut!$F$8*'PROP_Table (2)'!I24*'PROP_Table (2)'!E24</f>
        <v>210527.49031782846</v>
      </c>
      <c r="AP24" s="91">
        <f t="shared" si="28"/>
        <v>0.92032000000000003</v>
      </c>
      <c r="AQ24" s="91">
        <f t="shared" si="29"/>
        <v>1.115E-2</v>
      </c>
      <c r="AR24" s="8">
        <f>0.5*PROP_InOut!$J$8*I24^2*E24*AP24*(C24-C23)</f>
        <v>1.033147592201223</v>
      </c>
      <c r="AS24" s="8">
        <f>0.5*PROP_InOut!$J$8*I24^2*E24*AQ24*(C24-C23)</f>
        <v>1.2516945902559582E-2</v>
      </c>
      <c r="AT24" s="110">
        <f t="shared" si="0"/>
        <v>1.0159147515498312</v>
      </c>
      <c r="AU24" s="110">
        <f t="shared" si="1"/>
        <v>5.0125241969705983E-2</v>
      </c>
      <c r="AV24" s="95">
        <f t="shared" si="2"/>
        <v>26.245515321906513</v>
      </c>
      <c r="AW24" s="88">
        <f>PROP_InOut!$G$4/2*((PROP_InOut!$E$8-'PROP_Table (2)'!C24)/('PROP_Table (2)'!C24*SIN('PROP_Table (2)'!K24)))</f>
        <v>3.1640888932843376</v>
      </c>
      <c r="AX24" s="88">
        <f t="shared" si="11"/>
        <v>0.97309313596338576</v>
      </c>
      <c r="AY24" s="88">
        <f>PROP_InOut!$G$4/2*((C24-PROP_InOut!$J$12/2)/(C24*SIN('PROP_Table (2)'!K24)))</f>
        <v>3.7694673425542109</v>
      </c>
      <c r="AZ24" s="88">
        <f t="shared" si="12"/>
        <v>0.98531547953880338</v>
      </c>
      <c r="BA24" s="88">
        <f t="shared" si="13"/>
        <v>0.95880372989768148</v>
      </c>
      <c r="BB24" s="25">
        <f>0.5*PROP_InOut!$J$8*T24^2*E24*AP24*(C24-C23)</f>
        <v>1.067860277370821</v>
      </c>
      <c r="BC24" s="25">
        <f>0.5*PROP_InOut!$J$8*T24^2*E24*AQ24*(C24-C23)</f>
        <v>1.2937502273866322E-2</v>
      </c>
      <c r="BD24" s="108">
        <f t="shared" si="3"/>
        <v>0.9740628530440546</v>
      </c>
      <c r="BE24" s="108">
        <f t="shared" si="4"/>
        <v>4.8060268962577903E-2</v>
      </c>
      <c r="BF24" s="88">
        <f t="shared" si="30"/>
        <v>25.164297983730712</v>
      </c>
    </row>
    <row r="25" spans="1:59" s="96" customFormat="1" ht="15.75" thickBot="1" x14ac:dyDescent="0.3">
      <c r="A25" s="176"/>
      <c r="B25" s="107">
        <v>22</v>
      </c>
      <c r="C25" s="87">
        <v>0.15931134</v>
      </c>
      <c r="D25" s="108">
        <f>C25/PROP_InOut!$E$8</f>
        <v>0.59734285714285718</v>
      </c>
      <c r="E25" s="88">
        <v>3.8252399999999999E-2</v>
      </c>
      <c r="F25" s="109">
        <f>E25*PROP_InOut!$G$8</f>
        <v>2.3986645574999998E-4</v>
      </c>
      <c r="G25" s="96">
        <f>PROP_InOut!$C$4</f>
        <v>19.5</v>
      </c>
      <c r="H25" s="110">
        <f>PROP_InOut!$C$8*'PROP_Table (2)'!C25</f>
        <v>83.415222562924285</v>
      </c>
      <c r="I25" s="111">
        <f t="shared" si="5"/>
        <v>85.664166109419355</v>
      </c>
      <c r="J25" s="112">
        <f>I25/PROP_InOut!$D$8</f>
        <v>0.2475009205569986</v>
      </c>
      <c r="K25" s="110">
        <f t="shared" si="6"/>
        <v>0.22964627960049938</v>
      </c>
      <c r="L25" s="111">
        <f t="shared" si="7"/>
        <v>13.157762601989868</v>
      </c>
      <c r="M25" s="90">
        <f t="shared" si="15"/>
        <v>5.9107649713401343E-2</v>
      </c>
      <c r="N25" s="90">
        <f t="shared" si="16"/>
        <v>3.3866188655155467</v>
      </c>
      <c r="O25" s="110">
        <f t="shared" si="8"/>
        <v>0.31863428956109274</v>
      </c>
      <c r="P25" s="87">
        <v>18.256399999999999</v>
      </c>
      <c r="Q25" s="110">
        <f t="shared" si="31"/>
        <v>2.9880360247192036E-2</v>
      </c>
      <c r="R25" s="112">
        <f t="shared" si="10"/>
        <v>1.7120185324945849</v>
      </c>
      <c r="S25" s="127">
        <f t="shared" si="17"/>
        <v>5.1522843367888633</v>
      </c>
      <c r="T25" s="127">
        <f t="shared" si="18"/>
        <v>86.978142646699325</v>
      </c>
      <c r="U25" s="122">
        <f>U24+(U26-U24)*((C25-C24)/(C26-C24))</f>
        <v>5.1393576021653748</v>
      </c>
      <c r="V25" s="122">
        <f>V24+(V26-V24)*((C25-C24)/(C26-C24))</f>
        <v>3.3866188655155467</v>
      </c>
      <c r="W25" s="123">
        <f t="shared" si="19"/>
        <v>1.7120185324945849</v>
      </c>
      <c r="X25" s="122">
        <f t="shared" si="20"/>
        <v>86.978142646699325</v>
      </c>
      <c r="Y25" s="122">
        <f>Y24+(Y26-Y24)*((C25-C24)/(C26-C24))</f>
        <v>0.91942000000000002</v>
      </c>
      <c r="Z25" s="122">
        <f>Z24+(Z26-Z24)*((C25-C24)/(C26-C24))</f>
        <v>1.0960000000000001E-2</v>
      </c>
      <c r="AA25" s="122">
        <f t="shared" si="21"/>
        <v>-0.80720766477980987</v>
      </c>
      <c r="AB25" s="122">
        <f t="shared" si="22"/>
        <v>62.444823715424789</v>
      </c>
      <c r="AC25" s="122">
        <f t="shared" si="23"/>
        <v>5.1522843367888633</v>
      </c>
      <c r="AD25" s="138">
        <f t="shared" si="24"/>
        <v>1.2926734623488478E-2</v>
      </c>
      <c r="AE25" s="122">
        <f t="shared" si="25"/>
        <v>5.9167400410720439E-2</v>
      </c>
      <c r="AF25" s="122">
        <f t="shared" si="26"/>
        <v>3.3900423282948946</v>
      </c>
      <c r="AG25" s="143">
        <f t="shared" si="27"/>
        <v>0.2475009205569986</v>
      </c>
      <c r="AH25" s="50"/>
      <c r="AI25" s="50"/>
      <c r="AJ25" s="50"/>
      <c r="AK25" s="50"/>
      <c r="AL25" s="50"/>
      <c r="AM25" s="50"/>
      <c r="AN25" s="131"/>
      <c r="AO25" s="113">
        <f>PROP_InOut!$F$8*'PROP_Table (2)'!I25*'PROP_Table (2)'!E25</f>
        <v>212188.94608071176</v>
      </c>
      <c r="AP25" s="91">
        <f t="shared" si="28"/>
        <v>0.91942000000000002</v>
      </c>
      <c r="AQ25" s="91">
        <f t="shared" si="29"/>
        <v>1.0960000000000001E-2</v>
      </c>
      <c r="AR25" s="8">
        <f>0.5*PROP_InOut!$J$8*I25^2*E25*AP25*(C25-C24)</f>
        <v>1.0859486343102829</v>
      </c>
      <c r="AS25" s="8">
        <f>0.5*PROP_InOut!$J$8*I25^2*E25*AQ25*(C25-C24)</f>
        <v>1.2945114346045008E-2</v>
      </c>
      <c r="AT25" s="110">
        <f t="shared" si="0"/>
        <v>1.0693693550438275</v>
      </c>
      <c r="AU25" s="110">
        <f t="shared" si="1"/>
        <v>5.2825171637244803E-2</v>
      </c>
      <c r="AV25" s="95">
        <f t="shared" si="2"/>
        <v>27.659195190031362</v>
      </c>
      <c r="AW25" s="88">
        <f>PROP_InOut!$G$4/2*((PROP_InOut!$E$8-'PROP_Table (2)'!C25)/('PROP_Table (2)'!C25*SIN('PROP_Table (2)'!K25)))</f>
        <v>2.9612584497648244</v>
      </c>
      <c r="AX25" s="88">
        <f t="shared" si="11"/>
        <v>0.96703781578924142</v>
      </c>
      <c r="AY25" s="88">
        <f>PROP_InOut!$G$4/2*((C25-PROP_InOut!$J$12/2)/(C25*SIN('PROP_Table (2)'!K25)))</f>
        <v>3.9552786470036994</v>
      </c>
      <c r="AZ25" s="88">
        <f t="shared" si="12"/>
        <v>0.98780586526641645</v>
      </c>
      <c r="BA25" s="88">
        <f t="shared" si="13"/>
        <v>0.95524562637103705</v>
      </c>
      <c r="BB25" s="25">
        <f>0.5*PROP_InOut!$J$8*T25^2*E25*AP25*(C25-C24)</f>
        <v>1.1195182018007017</v>
      </c>
      <c r="BC25" s="25">
        <f>0.5*PROP_InOut!$J$8*T25^2*E25*AQ25*(C25-C24)</f>
        <v>1.3345282342928902E-2</v>
      </c>
      <c r="BD25" s="108">
        <f t="shared" si="3"/>
        <v>1.0215103993808328</v>
      </c>
      <c r="BE25" s="108">
        <f t="shared" si="4"/>
        <v>5.0461014168777449E-2</v>
      </c>
      <c r="BF25" s="88">
        <f t="shared" si="30"/>
        <v>26.421325234220284</v>
      </c>
    </row>
    <row r="26" spans="1:59" s="96" customFormat="1" ht="15.75" thickBot="1" x14ac:dyDescent="0.3">
      <c r="A26" s="176"/>
      <c r="B26" s="107">
        <v>23</v>
      </c>
      <c r="C26" s="87">
        <v>0.16638523999999999</v>
      </c>
      <c r="D26" s="108">
        <f>C26/PROP_InOut!$E$8</f>
        <v>0.62386666666666668</v>
      </c>
      <c r="E26" s="88">
        <v>3.6769039999999996E-2</v>
      </c>
      <c r="F26" s="109">
        <f>E26*PROP_InOut!$G$8</f>
        <v>2.3056486144999995E-4</v>
      </c>
      <c r="G26" s="96">
        <f>PROP_InOut!$C$4</f>
        <v>19.5</v>
      </c>
      <c r="H26" s="110">
        <f>PROP_InOut!$C$8*'PROP_Table (2)'!C26</f>
        <v>87.119107941629096</v>
      </c>
      <c r="I26" s="111">
        <f t="shared" si="5"/>
        <v>89.274794698981083</v>
      </c>
      <c r="J26" s="112">
        <f>I26/PROP_InOut!$D$8</f>
        <v>0.25793274917673326</v>
      </c>
      <c r="K26" s="110">
        <f t="shared" si="6"/>
        <v>0.22020196263555561</v>
      </c>
      <c r="L26" s="111">
        <f t="shared" si="7"/>
        <v>12.616643099514786</v>
      </c>
      <c r="M26" s="90">
        <f t="shared" si="15"/>
        <v>5.6834009349514984E-2</v>
      </c>
      <c r="N26" s="90">
        <f t="shared" si="16"/>
        <v>3.2563488685342699</v>
      </c>
      <c r="O26" s="110">
        <f t="shared" si="8"/>
        <v>0.30593352859433004</v>
      </c>
      <c r="P26" s="87">
        <v>17.528700000000001</v>
      </c>
      <c r="Q26" s="110">
        <f t="shared" si="31"/>
        <v>2.8897556609259467E-2</v>
      </c>
      <c r="R26" s="112">
        <f t="shared" si="10"/>
        <v>1.6557080319509452</v>
      </c>
      <c r="S26" s="127">
        <f t="shared" si="17"/>
        <v>5.1512843914568514</v>
      </c>
      <c r="T26" s="127">
        <f t="shared" si="18"/>
        <v>90.539631049795446</v>
      </c>
      <c r="U26" s="122">
        <v>5.1512843902272625</v>
      </c>
      <c r="V26" s="122">
        <v>3.2563488685342699</v>
      </c>
      <c r="W26" s="123">
        <f t="shared" si="19"/>
        <v>1.6557080319509452</v>
      </c>
      <c r="X26" s="122">
        <f t="shared" si="20"/>
        <v>90.539631049795446</v>
      </c>
      <c r="Y26" s="128">
        <v>0.91852</v>
      </c>
      <c r="Z26" s="127">
        <v>1.077E-2</v>
      </c>
      <c r="AA26" s="122">
        <f t="shared" si="21"/>
        <v>-8.3496615843614563E-8</v>
      </c>
      <c r="AB26" s="122">
        <f t="shared" si="22"/>
        <v>67.906107527648558</v>
      </c>
      <c r="AC26" s="122">
        <f t="shared" si="23"/>
        <v>5.1512843914568514</v>
      </c>
      <c r="AD26" s="138">
        <f t="shared" si="24"/>
        <v>1.2295888751623352E-9</v>
      </c>
      <c r="AE26" s="122">
        <f t="shared" si="25"/>
        <v>5.6834081684485845E-2</v>
      </c>
      <c r="AF26" s="122">
        <f t="shared" si="26"/>
        <v>3.2563530130228115</v>
      </c>
      <c r="AG26" s="143">
        <f t="shared" si="27"/>
        <v>0.25793274917673326</v>
      </c>
      <c r="AH26" s="50"/>
      <c r="AN26" s="131">
        <v>3.2563488685342699</v>
      </c>
      <c r="AO26" s="113">
        <f>PROP_InOut!$F$8*'PROP_Table (2)'!I26*'PROP_Table (2)'!E26</f>
        <v>212557.30095778668</v>
      </c>
      <c r="AP26" s="91">
        <f t="shared" si="28"/>
        <v>0.91852</v>
      </c>
      <c r="AQ26" s="91">
        <f t="shared" si="29"/>
        <v>1.077E-2</v>
      </c>
      <c r="AR26" s="8">
        <f>0.5*PROP_InOut!$J$8*I26^2*E26*AP26*(C26-C25)</f>
        <v>1.1325747981108707</v>
      </c>
      <c r="AS26" s="8">
        <f>0.5*PROP_InOut!$J$8*I26^2*E26*AQ26*(C26-C25)</f>
        <v>1.3279874772083436E-2</v>
      </c>
      <c r="AT26" s="110">
        <f t="shared" si="0"/>
        <v>1.116741748610494</v>
      </c>
      <c r="AU26" s="110">
        <f t="shared" si="1"/>
        <v>5.5197221293188443E-2</v>
      </c>
      <c r="AV26" s="95">
        <f t="shared" si="2"/>
        <v>28.901197485541818</v>
      </c>
      <c r="AW26" s="88">
        <f>PROP_InOut!$G$4/2*((PROP_InOut!$E$8-'PROP_Table (2)'!C26)/('PROP_Table (2)'!C26*SIN('PROP_Table (2)'!K26)))</f>
        <v>2.7602237585921348</v>
      </c>
      <c r="AX26" s="88">
        <f t="shared" si="11"/>
        <v>0.95968929204897568</v>
      </c>
      <c r="AY26" s="88">
        <f>PROP_InOut!$G$4/2*((C26-PROP_InOut!$J$12/2)/(C26*SIN('PROP_Table (2)'!K26)))</f>
        <v>4.1413839833679935</v>
      </c>
      <c r="AZ26" s="88">
        <f t="shared" si="12"/>
        <v>0.98987679074517065</v>
      </c>
      <c r="BA26" s="88">
        <f t="shared" si="13"/>
        <v>0.94997415652594486</v>
      </c>
      <c r="BB26" s="25">
        <f>0.5*PROP_InOut!$J$8*T26^2*E26*AP26*(C26-C25)</f>
        <v>1.1648945517894458</v>
      </c>
      <c r="BC26" s="25">
        <f>0.5*PROP_InOut!$J$8*T26^2*E26*AQ26*(C26-C25)</f>
        <v>1.3658836304895193E-2</v>
      </c>
      <c r="BD26" s="108">
        <f t="shared" si="3"/>
        <v>1.0608758006935628</v>
      </c>
      <c r="BE26" s="108">
        <f t="shared" si="4"/>
        <v>5.2435933740572614E-2</v>
      </c>
      <c r="BF26" s="88">
        <f t="shared" si="30"/>
        <v>27.455390703917349</v>
      </c>
    </row>
    <row r="27" spans="1:59" s="96" customFormat="1" ht="15.75" thickBot="1" x14ac:dyDescent="0.3">
      <c r="A27" s="176"/>
      <c r="B27" s="107">
        <v>24</v>
      </c>
      <c r="C27" s="87">
        <v>0.17345914000000001</v>
      </c>
      <c r="D27" s="108">
        <f>C27/PROP_InOut!$E$8</f>
        <v>0.6503904761904763</v>
      </c>
      <c r="E27" s="88">
        <v>3.5186619999999995E-2</v>
      </c>
      <c r="F27" s="109">
        <f>E27*PROP_InOut!$G$8</f>
        <v>2.2064209903749994E-4</v>
      </c>
      <c r="G27" s="96">
        <f>PROP_InOut!$C$4</f>
        <v>19.5</v>
      </c>
      <c r="H27" s="110">
        <f>PROP_InOut!$C$8*'PROP_Table (2)'!C27</f>
        <v>90.822993320333907</v>
      </c>
      <c r="I27" s="111">
        <f t="shared" si="5"/>
        <v>92.892766756434895</v>
      </c>
      <c r="J27" s="112">
        <f>I27/PROP_InOut!$D$8</f>
        <v>0.26838579454491618</v>
      </c>
      <c r="K27" s="110">
        <f t="shared" si="6"/>
        <v>0.21149258981257663</v>
      </c>
      <c r="L27" s="111">
        <f t="shared" si="7"/>
        <v>12.117632794552151</v>
      </c>
      <c r="M27" s="90">
        <f t="shared" si="15"/>
        <v>5.4459455310432031E-2</v>
      </c>
      <c r="N27" s="90">
        <f t="shared" si="16"/>
        <v>3.1202969438690737</v>
      </c>
      <c r="O27" s="110">
        <f t="shared" si="8"/>
        <v>0.29417873608214823</v>
      </c>
      <c r="P27" s="87">
        <v>16.8552</v>
      </c>
      <c r="Q27" s="110">
        <f t="shared" si="31"/>
        <v>2.8226690959139579E-2</v>
      </c>
      <c r="R27" s="112">
        <f t="shared" si="10"/>
        <v>1.6172702615787755</v>
      </c>
      <c r="S27" s="127">
        <f t="shared" si="17"/>
        <v>5.1339358929749777</v>
      </c>
      <c r="T27" s="127">
        <f t="shared" si="18"/>
        <v>94.10121706270813</v>
      </c>
      <c r="U27" s="122">
        <f>U26+(U28-U26)*((C27-C26)/(C28-C26))</f>
        <v>5.1215949324468877</v>
      </c>
      <c r="V27" s="122">
        <f>V26+(V28-V26)*((C27-C26)/(C28-C26))</f>
        <v>3.1202969438690737</v>
      </c>
      <c r="W27" s="123">
        <f t="shared" si="19"/>
        <v>1.6172702615787755</v>
      </c>
      <c r="X27" s="122">
        <f t="shared" si="20"/>
        <v>94.10121706270813</v>
      </c>
      <c r="Y27" s="122">
        <f>Y26+(Y28-Y26)*((C27-C26)/(C28-C26))</f>
        <v>0.91956000000000004</v>
      </c>
      <c r="Z27" s="122">
        <f>Z26+(Z28-Z26)*((C27-C26)/(C28-C26))</f>
        <v>1.0695E-2</v>
      </c>
      <c r="AA27" s="122">
        <f t="shared" si="21"/>
        <v>-0.91357145461995515</v>
      </c>
      <c r="AB27" s="122">
        <f t="shared" si="22"/>
        <v>74.02758096021077</v>
      </c>
      <c r="AC27" s="122">
        <f t="shared" si="23"/>
        <v>5.1339358929749777</v>
      </c>
      <c r="AD27" s="138">
        <f t="shared" si="24"/>
        <v>1.2340960528089973E-2</v>
      </c>
      <c r="AE27" s="122">
        <f t="shared" si="25"/>
        <v>5.4503558591673523E-2</v>
      </c>
      <c r="AF27" s="122">
        <f t="shared" si="26"/>
        <v>3.12282387574689</v>
      </c>
      <c r="AG27" s="143">
        <f t="shared" si="27"/>
        <v>0.26838579454491618</v>
      </c>
      <c r="AM27" s="50"/>
      <c r="AN27" s="131"/>
      <c r="AO27" s="113">
        <f>PROP_InOut!$F$8*'PROP_Table (2)'!I27*'PROP_Table (2)'!E27</f>
        <v>211652.94936602245</v>
      </c>
      <c r="AP27" s="91">
        <f t="shared" si="28"/>
        <v>0.91956000000000004</v>
      </c>
      <c r="AQ27" s="91">
        <f t="shared" si="29"/>
        <v>1.0695E-2</v>
      </c>
      <c r="AR27" s="8">
        <f>0.5*PROP_InOut!$J$8*I27^2*E27*AP27*(C27-C26)</f>
        <v>1.1747884932329027</v>
      </c>
      <c r="AS27" s="8">
        <f>0.5*PROP_InOut!$J$8*I27^2*E27*AQ27*(C27-C26)</f>
        <v>1.3663450927754464E-2</v>
      </c>
      <c r="AT27" s="110">
        <f t="shared" si="0"/>
        <v>1.1594840103515132</v>
      </c>
      <c r="AU27" s="110">
        <f t="shared" si="1"/>
        <v>5.7307672237603011E-2</v>
      </c>
      <c r="AV27" s="95">
        <f t="shared" si="2"/>
        <v>30.006227015997556</v>
      </c>
      <c r="AW27" s="88">
        <f>PROP_InOut!$G$4/2*((PROP_InOut!$E$8-'PROP_Table (2)'!C27)/('PROP_Table (2)'!C27*SIN('PROP_Table (2)'!K27)))</f>
        <v>2.5606862449209382</v>
      </c>
      <c r="AX27" s="88">
        <f t="shared" si="11"/>
        <v>0.9507709867361851</v>
      </c>
      <c r="AY27" s="88">
        <f>PROP_InOut!$G$4/2*((C27-PROP_InOut!$J$12/2)/(C27*SIN('PROP_Table (2)'!K27)))</f>
        <v>4.3277543741627387</v>
      </c>
      <c r="AZ27" s="88">
        <f t="shared" si="12"/>
        <v>0.99159818941172595</v>
      </c>
      <c r="BA27" s="88">
        <f t="shared" si="13"/>
        <v>0.94278278899280121</v>
      </c>
      <c r="BB27" s="25">
        <f>0.5*PROP_InOut!$J$8*T27^2*E27*AP27*(C27-C26)</f>
        <v>1.2055531672580857</v>
      </c>
      <c r="BC27" s="25">
        <f>0.5*PROP_InOut!$J$8*T27^2*E27*AQ27*(C27-C26)</f>
        <v>1.4021261390040047E-2</v>
      </c>
      <c r="BD27" s="108">
        <f t="shared" si="3"/>
        <v>1.0931415690717576</v>
      </c>
      <c r="BE27" s="108">
        <f t="shared" si="4"/>
        <v>5.4028687062852694E-2</v>
      </c>
      <c r="BF27" s="88">
        <f t="shared" si="30"/>
        <v>28.289354393293316</v>
      </c>
    </row>
    <row r="28" spans="1:59" s="96" customFormat="1" ht="15.75" thickBot="1" x14ac:dyDescent="0.3">
      <c r="A28" s="176"/>
      <c r="B28" s="107">
        <v>25</v>
      </c>
      <c r="C28" s="87">
        <v>0.18053303999999998</v>
      </c>
      <c r="D28" s="108">
        <f>C28/PROP_InOut!$E$8</f>
        <v>0.67691428571428569</v>
      </c>
      <c r="E28" s="88">
        <v>3.3522919999999998E-2</v>
      </c>
      <c r="F28" s="109">
        <f>E28*PROP_InOut!$G$8</f>
        <v>2.1020966022499996E-4</v>
      </c>
      <c r="G28" s="96">
        <f>PROP_InOut!$C$4</f>
        <v>19.5</v>
      </c>
      <c r="H28" s="110">
        <f>PROP_InOut!$C$8*'PROP_Table (2)'!C28</f>
        <v>94.526878699038704</v>
      </c>
      <c r="I28" s="111">
        <f t="shared" si="5"/>
        <v>96.517256470450803</v>
      </c>
      <c r="J28" s="112">
        <f>I28/PROP_InOut!$D$8</f>
        <v>0.27885767072733864</v>
      </c>
      <c r="K28" s="110">
        <f t="shared" si="6"/>
        <v>0.20343676560788707</v>
      </c>
      <c r="L28" s="111">
        <f t="shared" si="7"/>
        <v>11.656068067124107</v>
      </c>
      <c r="M28" s="90">
        <f t="shared" si="15"/>
        <v>5.2084901271349092E-2</v>
      </c>
      <c r="N28" s="90">
        <f t="shared" si="16"/>
        <v>2.9842450192038785</v>
      </c>
      <c r="O28" s="110">
        <f t="shared" si="8"/>
        <v>0.28326868292793167</v>
      </c>
      <c r="P28" s="87">
        <v>16.2301</v>
      </c>
      <c r="Q28" s="110">
        <f t="shared" si="31"/>
        <v>2.7747016048695519E-2</v>
      </c>
      <c r="R28" s="112">
        <f t="shared" si="10"/>
        <v>1.5897869136720151</v>
      </c>
      <c r="S28" s="127">
        <f t="shared" si="17"/>
        <v>5.0919054779818049</v>
      </c>
      <c r="T28" s="127">
        <f t="shared" si="18"/>
        <v>97.673397665166277</v>
      </c>
      <c r="U28" s="122">
        <v>5.0919054746665138</v>
      </c>
      <c r="V28" s="122">
        <v>2.9842450192038785</v>
      </c>
      <c r="W28" s="123">
        <f t="shared" si="19"/>
        <v>1.5897869136720151</v>
      </c>
      <c r="X28" s="122">
        <f t="shared" si="20"/>
        <v>97.673397665166277</v>
      </c>
      <c r="Y28" s="128">
        <v>0.92059999999999997</v>
      </c>
      <c r="Z28" s="127">
        <v>1.0619999999999999E-2</v>
      </c>
      <c r="AA28" s="122">
        <f t="shared" si="21"/>
        <v>-2.6801069452631054E-7</v>
      </c>
      <c r="AB28" s="122">
        <f t="shared" si="22"/>
        <v>80.840769522084543</v>
      </c>
      <c r="AC28" s="122">
        <f t="shared" si="23"/>
        <v>5.0919054779818049</v>
      </c>
      <c r="AD28" s="138">
        <f t="shared" si="24"/>
        <v>3.3152911527167817E-9</v>
      </c>
      <c r="AE28" s="122">
        <f t="shared" si="25"/>
        <v>5.2084807941973378E-2</v>
      </c>
      <c r="AF28" s="122">
        <f t="shared" si="26"/>
        <v>2.9842396718245459</v>
      </c>
      <c r="AG28" s="143">
        <f t="shared" si="27"/>
        <v>0.27885767072733864</v>
      </c>
      <c r="AH28" s="50"/>
      <c r="AI28" s="50"/>
      <c r="AJ28" s="50"/>
      <c r="AK28" s="50"/>
      <c r="AL28" s="50"/>
      <c r="AM28" s="50"/>
      <c r="AN28" s="131">
        <v>2.9842450192038785</v>
      </c>
      <c r="AO28" s="113">
        <f>PROP_InOut!$F$8*'PROP_Table (2)'!I28*'PROP_Table (2)'!E28</f>
        <v>209513.342125211</v>
      </c>
      <c r="AP28" s="91">
        <f t="shared" si="28"/>
        <v>0.92059999999999997</v>
      </c>
      <c r="AQ28" s="91">
        <f t="shared" si="29"/>
        <v>1.0619999999999999E-2</v>
      </c>
      <c r="AR28" s="8">
        <f>0.5*PROP_InOut!$J$8*I28^2*E28*AP28*(C28-C27)</f>
        <v>1.2096535747949289</v>
      </c>
      <c r="AS28" s="8">
        <f>0.5*PROP_InOut!$J$8*I28^2*E28*AQ28*(C28-C27)</f>
        <v>1.395450897710422E-2</v>
      </c>
      <c r="AT28" s="110">
        <f t="shared" si="0"/>
        <v>1.1949729260725881</v>
      </c>
      <c r="AU28" s="110">
        <f t="shared" si="1"/>
        <v>5.9022662567515864E-2</v>
      </c>
      <c r="AV28" s="95">
        <f t="shared" si="2"/>
        <v>30.904193852902853</v>
      </c>
      <c r="AW28" s="88">
        <f>PROP_InOut!$G$4/2*((PROP_InOut!$E$8-'PROP_Table (2)'!C28)/('PROP_Table (2)'!C28*SIN('PROP_Table (2)'!K28)))</f>
        <v>2.362405434200137</v>
      </c>
      <c r="AX28" s="88">
        <f t="shared" si="11"/>
        <v>0.93994560674799454</v>
      </c>
      <c r="AY28" s="88">
        <f>PROP_InOut!$G$4/2*((C28-PROP_InOut!$J$12/2)/(C28*SIN('PROP_Table (2)'!K28)))</f>
        <v>4.5143643048419415</v>
      </c>
      <c r="AZ28" s="88">
        <f t="shared" si="12"/>
        <v>0.99302851501739131</v>
      </c>
      <c r="BA28" s="88">
        <f t="shared" si="13"/>
        <v>0.93339279006608189</v>
      </c>
      <c r="BB28" s="25">
        <f>0.5*PROP_InOut!$J$8*T28^2*E28*AP28*(C28-C27)</f>
        <v>1.2388070463151137</v>
      </c>
      <c r="BC28" s="25">
        <f>0.5*PROP_InOut!$J$8*T28^2*E28*AQ28*(C28-C27)</f>
        <v>1.4290822107176306E-2</v>
      </c>
      <c r="BD28" s="108">
        <f t="shared" si="3"/>
        <v>1.1153791135203228</v>
      </c>
      <c r="BE28" s="108">
        <f t="shared" si="4"/>
        <v>5.5091327691022526E-2</v>
      </c>
      <c r="BF28" s="88">
        <f t="shared" si="30"/>
        <v>28.845751725104051</v>
      </c>
    </row>
    <row r="29" spans="1:59" s="96" customFormat="1" ht="15.75" thickBot="1" x14ac:dyDescent="0.3">
      <c r="A29" s="176"/>
      <c r="B29" s="107">
        <v>26</v>
      </c>
      <c r="C29" s="87">
        <v>0.18760694</v>
      </c>
      <c r="D29" s="108">
        <f>C29/PROP_InOut!$E$8</f>
        <v>0.70343809523809531</v>
      </c>
      <c r="E29" s="88">
        <v>3.179572E-2</v>
      </c>
      <c r="F29" s="109">
        <f>E29*PROP_InOut!$G$8</f>
        <v>1.9937903672499998E-4</v>
      </c>
      <c r="G29" s="96">
        <f>PROP_InOut!$C$4</f>
        <v>19.5</v>
      </c>
      <c r="H29" s="110">
        <f>PROP_InOut!$C$8*'PROP_Table (2)'!C29</f>
        <v>98.230764077743515</v>
      </c>
      <c r="I29" s="111">
        <f t="shared" si="5"/>
        <v>100.14755619233705</v>
      </c>
      <c r="J29" s="112">
        <f>I29/PROP_InOut!$D$8</f>
        <v>0.28934633318530267</v>
      </c>
      <c r="K29" s="110">
        <f t="shared" si="6"/>
        <v>0.19596452467549863</v>
      </c>
      <c r="L29" s="111">
        <f t="shared" si="7"/>
        <v>11.22794019819335</v>
      </c>
      <c r="M29" s="90">
        <f t="shared" si="15"/>
        <v>4.9604692292819878E-2</v>
      </c>
      <c r="N29" s="90">
        <f t="shared" si="16"/>
        <v>2.8421395124237017</v>
      </c>
      <c r="O29" s="110">
        <f t="shared" si="8"/>
        <v>0.27312133865683663</v>
      </c>
      <c r="P29" s="87">
        <v>15.6487</v>
      </c>
      <c r="Q29" s="110">
        <f t="shared" si="31"/>
        <v>2.755212168851813E-2</v>
      </c>
      <c r="R29" s="112">
        <f t="shared" si="10"/>
        <v>1.5786202893829482</v>
      </c>
      <c r="S29" s="127">
        <f t="shared" si="17"/>
        <v>5.028675070465555</v>
      </c>
      <c r="T29" s="127">
        <f t="shared" si="18"/>
        <v>101.24425574231738</v>
      </c>
      <c r="U29" s="122">
        <f>U28+(U30-U28)*((C29-C28)/(C30-C28))</f>
        <v>5.0176734116118977</v>
      </c>
      <c r="V29" s="122">
        <f>V28+(V30-V28)*((C29-C28)/(C30-C28))</f>
        <v>2.8421395124237017</v>
      </c>
      <c r="W29" s="123">
        <f t="shared" si="19"/>
        <v>1.5786202893829482</v>
      </c>
      <c r="X29" s="122">
        <f t="shared" si="20"/>
        <v>101.24425574231738</v>
      </c>
      <c r="Y29" s="122">
        <f>Y28+(Y30-Y28)*((C29-C28)/(C30-C28))</f>
        <v>0.92223970561838087</v>
      </c>
      <c r="Z29" s="122">
        <f>Z28+(Z30-Z28)*((C29-C28)/(C30-C28))</f>
        <v>1.0659992819960509E-2</v>
      </c>
      <c r="AA29" s="122">
        <f t="shared" si="21"/>
        <v>-0.97378316356713412</v>
      </c>
      <c r="AB29" s="122">
        <f t="shared" si="22"/>
        <v>88.512394041689419</v>
      </c>
      <c r="AC29" s="122">
        <f t="shared" si="23"/>
        <v>5.028675070465555</v>
      </c>
      <c r="AD29" s="138">
        <f t="shared" si="24"/>
        <v>1.1001658853657226E-2</v>
      </c>
      <c r="AE29" s="122">
        <f t="shared" si="25"/>
        <v>4.9627960847355719E-2</v>
      </c>
      <c r="AF29" s="122">
        <f t="shared" si="26"/>
        <v>2.8434727023939756</v>
      </c>
      <c r="AG29" s="143">
        <f t="shared" si="27"/>
        <v>0.28934633318530267</v>
      </c>
      <c r="AH29" s="50"/>
      <c r="AI29" s="50"/>
      <c r="AJ29" s="50"/>
      <c r="AK29" s="50"/>
      <c r="AL29" s="50"/>
      <c r="AM29" s="50"/>
      <c r="AN29" s="131"/>
      <c r="AO29" s="113">
        <f>PROP_InOut!$F$8*'PROP_Table (2)'!I29*'PROP_Table (2)'!E29</f>
        <v>206192.98958896965</v>
      </c>
      <c r="AP29" s="91">
        <f t="shared" si="28"/>
        <v>0.92223970561838087</v>
      </c>
      <c r="AQ29" s="91">
        <f t="shared" si="29"/>
        <v>1.0659992819960509E-2</v>
      </c>
      <c r="AR29" s="8">
        <f>0.5*PROP_InOut!$J$8*I29^2*E29*AP29*(C29-C28)</f>
        <v>1.2374608195973011</v>
      </c>
      <c r="AS29" s="8">
        <f>0.5*PROP_InOut!$J$8*I29^2*E29*AQ29*(C29-C28)</f>
        <v>1.4303573541159369E-2</v>
      </c>
      <c r="AT29" s="110">
        <f t="shared" si="0"/>
        <v>1.2232152956995526</v>
      </c>
      <c r="AU29" s="110">
        <f t="shared" si="1"/>
        <v>6.0342300605941188E-2</v>
      </c>
      <c r="AV29" s="95">
        <f t="shared" si="2"/>
        <v>31.595154714055294</v>
      </c>
      <c r="AW29" s="88">
        <f>PROP_InOut!$G$4/2*((PROP_InOut!$E$8-'PROP_Table (2)'!C29)/('PROP_Table (2)'!C29*SIN('PROP_Table (2)'!K29)))</f>
        <v>2.1651860631304909</v>
      </c>
      <c r="AX29" s="88">
        <f t="shared" si="11"/>
        <v>0.92680032722938799</v>
      </c>
      <c r="AY29" s="88">
        <f>PROP_InOut!$G$4/2*((C29-PROP_InOut!$J$12/2)/(C29*SIN('PROP_Table (2)'!K29)))</f>
        <v>4.7011912686443242</v>
      </c>
      <c r="AZ29" s="88">
        <f t="shared" si="12"/>
        <v>0.99421658082820985</v>
      </c>
      <c r="BA29" s="88">
        <f t="shared" si="13"/>
        <v>0.92144025244846817</v>
      </c>
      <c r="BB29" s="25">
        <f>0.5*PROP_InOut!$J$8*T29^2*E29*AP29*(C29-C28)</f>
        <v>1.2647116800401836</v>
      </c>
      <c r="BC29" s="25">
        <f>0.5*PROP_InOut!$J$8*T29^2*E29*AQ29*(C29-C28)</f>
        <v>1.4618561038324315E-2</v>
      </c>
      <c r="BD29" s="108">
        <f t="shared" si="3"/>
        <v>1.1271198108682234</v>
      </c>
      <c r="BE29" s="108">
        <f t="shared" si="4"/>
        <v>5.5601824703659798E-2</v>
      </c>
      <c r="BF29" s="88">
        <f t="shared" si="30"/>
        <v>29.11304733586752</v>
      </c>
    </row>
    <row r="30" spans="1:59" s="96" customFormat="1" ht="15.75" thickBot="1" x14ac:dyDescent="0.3">
      <c r="A30" s="176"/>
      <c r="B30" s="107">
        <v>27</v>
      </c>
      <c r="C30" s="87">
        <v>0.19468337999999999</v>
      </c>
      <c r="D30" s="108">
        <f>C30/PROP_InOut!$E$8</f>
        <v>0.7299714285714286</v>
      </c>
      <c r="E30" s="88">
        <v>3.0027879999999996E-2</v>
      </c>
      <c r="F30" s="109">
        <f>E30*PROP_InOut!$G$8</f>
        <v>1.8829357502499997E-4</v>
      </c>
      <c r="G30" s="96">
        <f>PROP_InOut!$C$4</f>
        <v>19.5</v>
      </c>
      <c r="H30" s="110">
        <f>PROP_InOut!$C$8*'PROP_Table (2)'!C30</f>
        <v>101.93597939733834</v>
      </c>
      <c r="I30" s="111">
        <f t="shared" si="5"/>
        <v>103.78436248151543</v>
      </c>
      <c r="J30" s="112">
        <f>I30/PROP_InOut!$D$8</f>
        <v>0.29985379441838594</v>
      </c>
      <c r="K30" s="110">
        <f t="shared" si="6"/>
        <v>0.18901301258953138</v>
      </c>
      <c r="L30" s="111">
        <f t="shared" si="7"/>
        <v>10.829647894433243</v>
      </c>
      <c r="M30" s="90">
        <f t="shared" si="15"/>
        <v>4.7123592754513832E-2</v>
      </c>
      <c r="N30" s="90">
        <f t="shared" si="16"/>
        <v>2.699982980326908</v>
      </c>
      <c r="O30" s="110">
        <f t="shared" si="8"/>
        <v>0.26365816345252341</v>
      </c>
      <c r="P30" s="87">
        <v>15.1065</v>
      </c>
      <c r="Q30" s="110">
        <f t="shared" si="31"/>
        <v>2.7521558108478183E-2</v>
      </c>
      <c r="R30" s="112">
        <f t="shared" si="10"/>
        <v>1.576869125239849</v>
      </c>
      <c r="S30" s="127">
        <f t="shared" si="17"/>
        <v>4.9434146978538127</v>
      </c>
      <c r="T30" s="127">
        <f t="shared" si="18"/>
        <v>104.82568586760055</v>
      </c>
      <c r="U30" s="122">
        <v>4.9434146943156101</v>
      </c>
      <c r="V30" s="122">
        <v>2.699982980326908</v>
      </c>
      <c r="W30" s="123">
        <f t="shared" si="19"/>
        <v>1.576869125239849</v>
      </c>
      <c r="X30" s="122">
        <f t="shared" si="20"/>
        <v>104.82568586760055</v>
      </c>
      <c r="Y30" s="128">
        <v>0.92388000000000003</v>
      </c>
      <c r="Z30" s="127">
        <v>1.0699999999999999E-2</v>
      </c>
      <c r="AA30" s="122">
        <f t="shared" si="21"/>
        <v>-3.4355974776190124E-7</v>
      </c>
      <c r="AB30" s="122">
        <f t="shared" si="22"/>
        <v>97.100079934226059</v>
      </c>
      <c r="AC30" s="122">
        <f t="shared" si="23"/>
        <v>4.9434146978538127</v>
      </c>
      <c r="AD30" s="138">
        <f t="shared" si="24"/>
        <v>3.5382026197794403E-9</v>
      </c>
      <c r="AE30" s="122">
        <f t="shared" si="25"/>
        <v>4.7123517074777001E-2</v>
      </c>
      <c r="AF30" s="122">
        <f t="shared" si="26"/>
        <v>2.699978644197393</v>
      </c>
      <c r="AG30" s="143">
        <f t="shared" si="27"/>
        <v>0.29985379441838594</v>
      </c>
      <c r="AH30" s="50"/>
      <c r="AI30" s="50"/>
      <c r="AJ30" s="50"/>
      <c r="AK30" s="50"/>
      <c r="AL30" s="50"/>
      <c r="AM30" s="50"/>
      <c r="AN30" s="131">
        <v>2.699982980326908</v>
      </c>
      <c r="AO30" s="113">
        <f>PROP_InOut!$F$8*'PROP_Table (2)'!I30*'PROP_Table (2)'!E30</f>
        <v>201800.1427629606</v>
      </c>
      <c r="AP30" s="91">
        <f t="shared" si="28"/>
        <v>0.92388000000000003</v>
      </c>
      <c r="AQ30" s="91">
        <f t="shared" si="29"/>
        <v>1.0699999999999999E-2</v>
      </c>
      <c r="AR30" s="8">
        <f>0.5*PROP_InOut!$J$8*I30^2*E30*AP30*(C30-C29)</f>
        <v>1.2577613897056277</v>
      </c>
      <c r="AS30" s="8">
        <f>0.5*PROP_InOut!$J$8*I30^2*E30*AQ30*(C30-C29)</f>
        <v>1.4566877592165881E-2</v>
      </c>
      <c r="AT30" s="110">
        <f t="shared" si="0"/>
        <v>1.2440429634144605</v>
      </c>
      <c r="AU30" s="110">
        <f t="shared" si="1"/>
        <v>6.1253942244318897E-2</v>
      </c>
      <c r="AV30" s="95">
        <f t="shared" si="2"/>
        <v>32.072489159694292</v>
      </c>
      <c r="AW30" s="88">
        <f>PROP_InOut!$G$4/2*((PROP_InOut!$E$8-'PROP_Table (2)'!C30)/('PROP_Table (2)'!C30*SIN('PROP_Table (2)'!K30)))</f>
        <v>1.9687980357760051</v>
      </c>
      <c r="AX30" s="88">
        <f t="shared" si="11"/>
        <v>0.91082085722198081</v>
      </c>
      <c r="AY30" s="88">
        <f>PROP_InOut!$G$4/2*((C30-PROP_InOut!$J$12/2)/(C30*SIN('PROP_Table (2)'!K30)))</f>
        <v>4.8882825565027836</v>
      </c>
      <c r="AZ30" s="88">
        <f t="shared" si="12"/>
        <v>0.9952034376777803</v>
      </c>
      <c r="BA30" s="88">
        <f t="shared" si="13"/>
        <v>0.90645204821593806</v>
      </c>
      <c r="BB30" s="25">
        <f>0.5*PROP_InOut!$J$8*T30^2*E30*AP30*(C30-C29)</f>
        <v>1.2831275808428637</v>
      </c>
      <c r="BC30" s="25">
        <f>0.5*PROP_InOut!$J$8*T30^2*E30*AQ30*(C30-C29)</f>
        <v>1.4860658435098324E-2</v>
      </c>
      <c r="BD30" s="108">
        <f t="shared" si="3"/>
        <v>1.1276652922556631</v>
      </c>
      <c r="BE30" s="108">
        <f t="shared" si="4"/>
        <v>5.5523761408663636E-2</v>
      </c>
      <c r="BF30" s="88">
        <f t="shared" si="30"/>
        <v>29.072173490188362</v>
      </c>
    </row>
    <row r="31" spans="1:59" s="96" customFormat="1" ht="15.75" thickBot="1" x14ac:dyDescent="0.3">
      <c r="A31" s="176"/>
      <c r="B31" s="107">
        <v>28</v>
      </c>
      <c r="C31" s="87">
        <v>0.20175727999999998</v>
      </c>
      <c r="D31" s="108">
        <f>C31/PROP_InOut!$E$8</f>
        <v>0.756495238095238</v>
      </c>
      <c r="E31" s="88">
        <v>2.8232099999999996E-2</v>
      </c>
      <c r="F31" s="109">
        <f>E31*PROP_InOut!$G$8</f>
        <v>1.7703291206249994E-4</v>
      </c>
      <c r="G31" s="96">
        <f>PROP_InOut!$C$4</f>
        <v>19.5</v>
      </c>
      <c r="H31" s="110">
        <f>PROP_InOut!$C$8*'PROP_Table (2)'!C31</f>
        <v>105.63986477604314</v>
      </c>
      <c r="I31" s="111">
        <f t="shared" si="5"/>
        <v>107.42453644256828</v>
      </c>
      <c r="J31" s="112">
        <f>I31/PROP_InOut!$D$8</f>
        <v>0.31037098552951414</v>
      </c>
      <c r="K31" s="110">
        <f t="shared" si="6"/>
        <v>0.18253473165761064</v>
      </c>
      <c r="L31" s="111">
        <f t="shared" si="7"/>
        <v>10.458469738534108</v>
      </c>
      <c r="M31" s="90">
        <f t="shared" si="15"/>
        <v>4.4594163890406983E-2</v>
      </c>
      <c r="N31" s="90">
        <f t="shared" si="16"/>
        <v>2.5550573818350157</v>
      </c>
      <c r="O31" s="110">
        <f t="shared" si="8"/>
        <v>0.25481458013266811</v>
      </c>
      <c r="P31" s="87">
        <v>14.5998</v>
      </c>
      <c r="Q31" s="110">
        <f t="shared" si="31"/>
        <v>2.7685684584650493E-2</v>
      </c>
      <c r="R31" s="112">
        <f t="shared" si="10"/>
        <v>1.5862728796308767</v>
      </c>
      <c r="S31" s="127">
        <f t="shared" si="17"/>
        <v>4.8380925512084376</v>
      </c>
      <c r="T31" s="127">
        <f t="shared" si="18"/>
        <v>108.40507572597605</v>
      </c>
      <c r="U31" s="122">
        <f>U30+(U32-U30)*((C31-C30)/(C32-C30))</f>
        <v>4.8285719526223501</v>
      </c>
      <c r="V31" s="122">
        <f>V30+(V32-V30)*((C31-C30)/(C32-C30))</f>
        <v>2.5550573818350157</v>
      </c>
      <c r="W31" s="123">
        <f t="shared" si="19"/>
        <v>1.5862728796308767</v>
      </c>
      <c r="X31" s="122">
        <f t="shared" si="20"/>
        <v>108.40507572597605</v>
      </c>
      <c r="Y31" s="122">
        <f>Y30+(Y32-Y30)*((C31-C30)/(C32-C30))</f>
        <v>0.92586000000000002</v>
      </c>
      <c r="Z31" s="122">
        <f>Z30+(Z32-Z30)*((C31-C30)/(C32-C30))</f>
        <v>1.0855E-2</v>
      </c>
      <c r="AA31" s="122">
        <f t="shared" si="21"/>
        <v>-1.0169723686107091</v>
      </c>
      <c r="AB31" s="122">
        <f t="shared" si="22"/>
        <v>106.81811226626296</v>
      </c>
      <c r="AC31" s="122">
        <f t="shared" si="23"/>
        <v>4.8380925512084376</v>
      </c>
      <c r="AD31" s="138">
        <f t="shared" si="24"/>
        <v>9.5205985860875586E-3</v>
      </c>
      <c r="AE31" s="122">
        <f t="shared" si="25"/>
        <v>4.460016430329318E-2</v>
      </c>
      <c r="AF31" s="122">
        <f t="shared" si="26"/>
        <v>2.5554011801687309</v>
      </c>
      <c r="AG31" s="143">
        <f t="shared" si="27"/>
        <v>0.31037098552951414</v>
      </c>
      <c r="AH31" s="50"/>
      <c r="AI31" s="50"/>
      <c r="AJ31" s="50"/>
      <c r="AK31" s="50"/>
      <c r="AL31" s="50"/>
      <c r="AM31" s="50"/>
      <c r="AN31" s="131"/>
      <c r="AO31" s="113">
        <f>PROP_InOut!$F$8*'PROP_Table (2)'!I31*'PROP_Table (2)'!E31</f>
        <v>196386.46261926193</v>
      </c>
      <c r="AP31" s="91">
        <f t="shared" si="28"/>
        <v>0.92586000000000002</v>
      </c>
      <c r="AQ31" s="91">
        <f t="shared" si="29"/>
        <v>1.0855E-2</v>
      </c>
      <c r="AR31" s="8">
        <f>0.5*PROP_InOut!$J$8*I31^2*E31*AP31*(C31-C30)</f>
        <v>1.2692107649385009</v>
      </c>
      <c r="AS31" s="8">
        <f>0.5*PROP_InOut!$J$8*I31^2*E31*AQ31*(C31-C30)</f>
        <v>1.4880524975058247E-2</v>
      </c>
      <c r="AT31" s="110">
        <f t="shared" si="0"/>
        <v>1.2558791824137754</v>
      </c>
      <c r="AU31" s="110">
        <f t="shared" si="1"/>
        <v>6.1698937796799504E-2</v>
      </c>
      <c r="AV31" s="95">
        <f t="shared" si="2"/>
        <v>32.305488286119825</v>
      </c>
      <c r="AW31" s="88">
        <f>PROP_InOut!$G$4/2*((PROP_InOut!$E$8-'PROP_Table (2)'!C31)/('PROP_Table (2)'!C31*SIN('PROP_Table (2)'!K31)))</f>
        <v>1.7732506874214529</v>
      </c>
      <c r="AX31" s="88">
        <f t="shared" si="11"/>
        <v>0.89138845553434976</v>
      </c>
      <c r="AY31" s="88">
        <f>PROP_InOut!$G$4/2*((C31-PROP_InOut!$J$12/2)/(C31*SIN('PROP_Table (2)'!K31)))</f>
        <v>5.0754862252376691</v>
      </c>
      <c r="AZ31" s="88">
        <f t="shared" si="12"/>
        <v>0.99602234338815054</v>
      </c>
      <c r="BA31" s="88">
        <f t="shared" si="13"/>
        <v>0.8878428183504673</v>
      </c>
      <c r="BB31" s="25">
        <f>0.5*PROP_InOut!$J$8*T31^2*E31*AP31*(C31-C30)</f>
        <v>1.2924864674720156</v>
      </c>
      <c r="BC31" s="25">
        <f>0.5*PROP_InOut!$J$8*T31^2*E31*AQ31*(C31-C30)</f>
        <v>1.5153414775893471E-2</v>
      </c>
      <c r="BD31" s="108">
        <f t="shared" si="3"/>
        <v>1.1150233128219269</v>
      </c>
      <c r="BE31" s="108">
        <f t="shared" si="4"/>
        <v>5.4778958822740642E-2</v>
      </c>
      <c r="BF31" s="88">
        <f t="shared" si="30"/>
        <v>28.682195768136634</v>
      </c>
    </row>
    <row r="32" spans="1:59" s="96" customFormat="1" ht="15.75" thickBot="1" x14ac:dyDescent="0.3">
      <c r="A32" s="176"/>
      <c r="B32" s="107">
        <v>29</v>
      </c>
      <c r="C32" s="87">
        <v>0.20883118000000001</v>
      </c>
      <c r="D32" s="108">
        <f>C32/PROP_InOut!$E$8</f>
        <v>0.78301904761904761</v>
      </c>
      <c r="E32" s="88">
        <v>2.6431239999999998E-2</v>
      </c>
      <c r="F32" s="109">
        <f>E32*PROP_InOut!$G$8</f>
        <v>1.6574039432499998E-4</v>
      </c>
      <c r="G32" s="96">
        <f>PROP_InOut!$C$4</f>
        <v>19.5</v>
      </c>
      <c r="H32" s="110">
        <f>PROP_InOut!$C$8*'PROP_Table (2)'!C32</f>
        <v>109.34375015474797</v>
      </c>
      <c r="I32" s="111">
        <f t="shared" si="5"/>
        <v>111.06892318692906</v>
      </c>
      <c r="J32" s="112">
        <f>I32/PROP_InOut!$D$8</f>
        <v>0.3209003482147576</v>
      </c>
      <c r="K32" s="110">
        <f t="shared" si="6"/>
        <v>0.17648134029894419</v>
      </c>
      <c r="L32" s="111">
        <f t="shared" si="7"/>
        <v>10.111635961941555</v>
      </c>
      <c r="M32" s="90">
        <f t="shared" si="15"/>
        <v>4.2064735026300114E-2</v>
      </c>
      <c r="N32" s="90">
        <f t="shared" si="16"/>
        <v>2.4101317833431226</v>
      </c>
      <c r="O32" s="110">
        <f t="shared" si="8"/>
        <v>0.24653473816120705</v>
      </c>
      <c r="P32" s="87">
        <v>14.125400000000001</v>
      </c>
      <c r="Q32" s="110">
        <f t="shared" si="31"/>
        <v>2.7988662835962744E-2</v>
      </c>
      <c r="R32" s="112">
        <f t="shared" si="10"/>
        <v>1.6036322547153228</v>
      </c>
      <c r="S32" s="127">
        <f t="shared" si="17"/>
        <v>4.7137292140588993</v>
      </c>
      <c r="T32" s="127">
        <f t="shared" si="18"/>
        <v>111.9926800295633</v>
      </c>
      <c r="U32" s="122">
        <v>4.71372921092909</v>
      </c>
      <c r="V32" s="122">
        <v>2.4101317833431226</v>
      </c>
      <c r="W32" s="123">
        <f t="shared" si="19"/>
        <v>1.6036322547153228</v>
      </c>
      <c r="X32" s="122">
        <f t="shared" si="20"/>
        <v>111.9926800295633</v>
      </c>
      <c r="Y32" s="128">
        <v>0.92784</v>
      </c>
      <c r="Z32" s="127">
        <v>1.1010000000000001E-2</v>
      </c>
      <c r="AA32" s="122">
        <f t="shared" si="21"/>
        <v>-3.6857102259091334E-7</v>
      </c>
      <c r="AB32" s="122">
        <f t="shared" si="22"/>
        <v>117.76149510995354</v>
      </c>
      <c r="AC32" s="122">
        <f t="shared" si="23"/>
        <v>4.7137292140588993</v>
      </c>
      <c r="AD32" s="138">
        <f t="shared" si="24"/>
        <v>3.1298093006171257E-9</v>
      </c>
      <c r="AE32" s="122">
        <f t="shared" si="25"/>
        <v>4.2064790788533389E-2</v>
      </c>
      <c r="AF32" s="122">
        <f t="shared" si="26"/>
        <v>2.4101349782837453</v>
      </c>
      <c r="AG32" s="143">
        <f t="shared" si="27"/>
        <v>0.3209003482147576</v>
      </c>
      <c r="AH32" s="50"/>
      <c r="AI32" s="50"/>
      <c r="AJ32" s="50"/>
      <c r="AK32" s="50"/>
      <c r="AL32" s="50"/>
      <c r="AM32" s="50"/>
      <c r="AN32" s="131">
        <v>2.4101317833431226</v>
      </c>
      <c r="AO32" s="113">
        <f>PROP_InOut!$F$8*'PROP_Table (2)'!I32*'PROP_Table (2)'!E32</f>
        <v>190096.87395478523</v>
      </c>
      <c r="AP32" s="91">
        <f t="shared" si="28"/>
        <v>0.92784</v>
      </c>
      <c r="AQ32" s="91">
        <f t="shared" si="29"/>
        <v>1.1010000000000001E-2</v>
      </c>
      <c r="AR32" s="8">
        <f>0.5*PROP_InOut!$J$8*I32^2*E32*AP32*(C32-C31)</f>
        <v>1.2729578320049513</v>
      </c>
      <c r="AS32" s="8">
        <f>0.5*PROP_InOut!$J$8*I32^2*E32*AQ32*(C32-C31)</f>
        <v>1.5105261392453995E-2</v>
      </c>
      <c r="AT32" s="110">
        <f t="shared" si="0"/>
        <v>1.2601058057004444</v>
      </c>
      <c r="AU32" s="110">
        <f t="shared" si="1"/>
        <v>6.1728994822742175E-2</v>
      </c>
      <c r="AV32" s="95">
        <f t="shared" si="2"/>
        <v>32.321226108101534</v>
      </c>
      <c r="AW32" s="88">
        <f>PROP_InOut!$G$4/2*((PROP_InOut!$E$8-'PROP_Table (2)'!C32)/('PROP_Table (2)'!C32*SIN('PROP_Table (2)'!K32)))</f>
        <v>1.5783642455676574</v>
      </c>
      <c r="AX32" s="88">
        <f t="shared" si="11"/>
        <v>0.86770743830808228</v>
      </c>
      <c r="AY32" s="88">
        <f>PROP_InOut!$G$4/2*((C32-PROP_InOut!$J$12/2)/(C32*SIN('PROP_Table (2)'!K32)))</f>
        <v>5.2628537349356215</v>
      </c>
      <c r="AZ32" s="88">
        <f t="shared" si="12"/>
        <v>0.99670197662503413</v>
      </c>
      <c r="BA32" s="88">
        <f t="shared" si="13"/>
        <v>0.86484571889391049</v>
      </c>
      <c r="BB32" s="25">
        <f>0.5*PROP_InOut!$J$8*T32^2*E32*AP32*(C32-C31)</f>
        <v>1.2942201878575548</v>
      </c>
      <c r="BC32" s="25">
        <f>0.5*PROP_InOut!$J$8*T32^2*E32*AQ32*(C32-C31)</f>
        <v>1.5357566248827038E-2</v>
      </c>
      <c r="BD32" s="108">
        <f t="shared" si="3"/>
        <v>1.0897971114133911</v>
      </c>
      <c r="BE32" s="108">
        <f t="shared" si="4"/>
        <v>5.3386056904072936E-2</v>
      </c>
      <c r="BF32" s="88">
        <f t="shared" si="30"/>
        <v>27.952874028993701</v>
      </c>
    </row>
    <row r="33" spans="1:58" s="96" customFormat="1" ht="15.75" thickBot="1" x14ac:dyDescent="0.3">
      <c r="A33" s="176"/>
      <c r="B33" s="107">
        <v>30</v>
      </c>
      <c r="C33" s="87">
        <v>0.21590507999999997</v>
      </c>
      <c r="D33" s="108">
        <f>C33/PROP_InOut!$E$8</f>
        <v>0.80954285714285701</v>
      </c>
      <c r="E33" s="88">
        <v>2.4643079999999998E-2</v>
      </c>
      <c r="F33" s="109">
        <f>E33*PROP_InOut!$G$8</f>
        <v>1.5452751352499998E-4</v>
      </c>
      <c r="G33" s="96">
        <f>PROP_InOut!$C$4</f>
        <v>19.5</v>
      </c>
      <c r="H33" s="110">
        <f>PROP_InOut!$C$8*'PROP_Table (2)'!C33</f>
        <v>113.04763553345275</v>
      </c>
      <c r="I33" s="111">
        <f t="shared" si="5"/>
        <v>114.71712121433472</v>
      </c>
      <c r="J33" s="112">
        <f>I33/PROP_InOut!$D$8</f>
        <v>0.33144072245950079</v>
      </c>
      <c r="K33" s="110">
        <f t="shared" si="6"/>
        <v>0.17081276820753297</v>
      </c>
      <c r="L33" s="111">
        <f t="shared" si="7"/>
        <v>9.7868507052380469</v>
      </c>
      <c r="M33" s="90">
        <f t="shared" si="15"/>
        <v>3.9551719549077741E-2</v>
      </c>
      <c r="N33" s="90">
        <f t="shared" si="16"/>
        <v>2.2661466026472259</v>
      </c>
      <c r="O33" s="110">
        <f t="shared" si="8"/>
        <v>0.23876627766058028</v>
      </c>
      <c r="P33" s="87">
        <v>13.680300000000001</v>
      </c>
      <c r="Q33" s="110">
        <f t="shared" si="31"/>
        <v>2.840178990396957E-2</v>
      </c>
      <c r="R33" s="112">
        <f t="shared" si="10"/>
        <v>1.627302692114728</v>
      </c>
      <c r="S33" s="127">
        <f t="shared" si="17"/>
        <v>4.5721932368095812</v>
      </c>
      <c r="T33" s="127">
        <f t="shared" si="18"/>
        <v>115.58066073963859</v>
      </c>
      <c r="U33" s="122">
        <f>U32+(U34-U32)*((C33-C32)/(C34-C32))</f>
        <v>4.5649379244382651</v>
      </c>
      <c r="V33" s="122">
        <f>V32+(V34-V32)*((C33-C32)/(C34-C32))</f>
        <v>2.2661466026472259</v>
      </c>
      <c r="W33" s="123">
        <f t="shared" si="19"/>
        <v>1.627302692114728</v>
      </c>
      <c r="X33" s="122">
        <f t="shared" si="20"/>
        <v>115.58066073963859</v>
      </c>
      <c r="Y33" s="122">
        <f>Y32+(Y34-Y32)*((C33-C32)/(C34-C32))</f>
        <v>0.92979999999999996</v>
      </c>
      <c r="Z33" s="122">
        <f>Z32+(Z34-Z32)*((C33-C32)/(C34-C32))</f>
        <v>1.1285E-2</v>
      </c>
      <c r="AA33" s="122">
        <f t="shared" si="21"/>
        <v>-0.94441403342960939</v>
      </c>
      <c r="AB33" s="122">
        <f t="shared" si="22"/>
        <v>130.16862473948981</v>
      </c>
      <c r="AC33" s="122">
        <f t="shared" si="23"/>
        <v>4.5721932368095812</v>
      </c>
      <c r="AD33" s="138">
        <f t="shared" si="24"/>
        <v>7.2553123713161582E-3</v>
      </c>
      <c r="AE33" s="122">
        <f t="shared" si="25"/>
        <v>3.953784723763594E-2</v>
      </c>
      <c r="AF33" s="122">
        <f t="shared" si="26"/>
        <v>2.2653517777495198</v>
      </c>
      <c r="AG33" s="143">
        <f t="shared" si="27"/>
        <v>0.33144072245950079</v>
      </c>
      <c r="AH33" s="50"/>
      <c r="AI33" s="50"/>
      <c r="AJ33" s="50"/>
      <c r="AK33" s="50"/>
      <c r="AL33" s="50"/>
      <c r="AM33" s="50"/>
      <c r="AN33" s="131"/>
      <c r="AO33" s="113">
        <f>PROP_InOut!$F$8*'PROP_Table (2)'!I33*'PROP_Table (2)'!E33</f>
        <v>183057.74259756005</v>
      </c>
      <c r="AP33" s="91">
        <f t="shared" si="28"/>
        <v>0.92979999999999996</v>
      </c>
      <c r="AQ33" s="91">
        <f t="shared" si="29"/>
        <v>1.1285E-2</v>
      </c>
      <c r="AR33" s="8">
        <f>0.5*PROP_InOut!$J$8*I33^2*E33*AP33*(C33-C32)</f>
        <v>1.2687594027255364</v>
      </c>
      <c r="AS33" s="8">
        <f>0.5*PROP_InOut!$J$8*I33^2*E33*AQ33*(C33-C32)</f>
        <v>1.5398956614065045E-2</v>
      </c>
      <c r="AT33" s="110">
        <f t="shared" si="0"/>
        <v>1.2562758196807517</v>
      </c>
      <c r="AU33" s="110">
        <f t="shared" si="1"/>
        <v>6.1366370080054605E-2</v>
      </c>
      <c r="AV33" s="95">
        <f t="shared" si="2"/>
        <v>32.131356236828672</v>
      </c>
      <c r="AW33" s="88">
        <f>PROP_InOut!$G$4/2*((PROP_InOut!$E$8-'PROP_Table (2)'!C33)/('PROP_Table (2)'!C33*SIN('PROP_Table (2)'!K33)))</f>
        <v>1.3840476694933075</v>
      </c>
      <c r="AX33" s="88">
        <f t="shared" si="11"/>
        <v>0.83876901173048946</v>
      </c>
      <c r="AY33" s="88">
        <f>PROP_InOut!$G$4/2*((C33-PROP_InOut!$J$12/2)/(C33*SIN('PROP_Table (2)'!K33)))</f>
        <v>5.450371140510895</v>
      </c>
      <c r="AZ33" s="88">
        <f t="shared" si="12"/>
        <v>0.99726589400352539</v>
      </c>
      <c r="BA33" s="88">
        <f t="shared" si="13"/>
        <v>0.83647572834586004</v>
      </c>
      <c r="BB33" s="25">
        <f>0.5*PROP_InOut!$J$8*T33^2*E33*AP33*(C33-C32)</f>
        <v>1.2879326101016959</v>
      </c>
      <c r="BC33" s="25">
        <f>0.5*PROP_InOut!$J$8*T33^2*E33*AQ33*(C33-C32)</f>
        <v>1.5631662190791179E-2</v>
      </c>
      <c r="BD33" s="108">
        <f t="shared" si="3"/>
        <v>1.0508442312707491</v>
      </c>
      <c r="BE33" s="108">
        <f t="shared" si="4"/>
        <v>5.1331479108655272E-2</v>
      </c>
      <c r="BF33" s="88">
        <f t="shared" si="30"/>
        <v>26.877099610941556</v>
      </c>
    </row>
    <row r="34" spans="1:58" s="96" customFormat="1" ht="15.75" thickBot="1" x14ac:dyDescent="0.3">
      <c r="A34" s="176"/>
      <c r="B34" s="107">
        <v>31</v>
      </c>
      <c r="C34" s="87">
        <v>0.22297897999999999</v>
      </c>
      <c r="D34" s="108">
        <f>C34/PROP_InOut!$E$8</f>
        <v>0.83606666666666662</v>
      </c>
      <c r="E34" s="88">
        <v>2.28854E-2</v>
      </c>
      <c r="F34" s="109">
        <f>E34*PROP_InOut!$G$8</f>
        <v>1.4350576137499998E-4</v>
      </c>
      <c r="G34" s="96">
        <f>PROP_InOut!$C$4</f>
        <v>19.5</v>
      </c>
      <c r="H34" s="110">
        <f>PROP_InOut!$C$8*'PROP_Table (2)'!C34</f>
        <v>116.75152091215756</v>
      </c>
      <c r="I34" s="111">
        <f t="shared" si="5"/>
        <v>118.3687781270972</v>
      </c>
      <c r="J34" s="112">
        <f>I34/PROP_InOut!$D$8</f>
        <v>0.34199109011629475</v>
      </c>
      <c r="K34" s="110">
        <f t="shared" si="6"/>
        <v>0.16549378287119279</v>
      </c>
      <c r="L34" s="111">
        <f t="shared" si="7"/>
        <v>9.4820952941737815</v>
      </c>
      <c r="M34" s="90">
        <f t="shared" si="15"/>
        <v>3.703870407185534E-2</v>
      </c>
      <c r="N34" s="90">
        <f t="shared" si="16"/>
        <v>2.1221614219513278</v>
      </c>
      <c r="O34" s="110">
        <f t="shared" si="8"/>
        <v>0.23146207474098399</v>
      </c>
      <c r="P34" s="87">
        <v>13.261799999999999</v>
      </c>
      <c r="Q34" s="110">
        <f t="shared" si="31"/>
        <v>2.8929587797935859E-2</v>
      </c>
      <c r="R34" s="112">
        <f t="shared" si="10"/>
        <v>1.6575432838748898</v>
      </c>
      <c r="S34" s="127">
        <f t="shared" si="17"/>
        <v>4.4161466413409496</v>
      </c>
      <c r="T34" s="127">
        <f t="shared" si="18"/>
        <v>119.17591915026193</v>
      </c>
      <c r="U34" s="122">
        <v>4.4161466379474383</v>
      </c>
      <c r="V34" s="122">
        <v>2.1221614219513278</v>
      </c>
      <c r="W34" s="123">
        <f t="shared" si="19"/>
        <v>1.6575432838748898</v>
      </c>
      <c r="X34" s="122">
        <f t="shared" si="20"/>
        <v>119.17591915026193</v>
      </c>
      <c r="Y34" s="128">
        <v>0.93176000000000003</v>
      </c>
      <c r="Z34" s="127">
        <v>1.1560000000000001E-2</v>
      </c>
      <c r="AA34" s="122">
        <f t="shared" si="21"/>
        <v>-4.8932099616649793E-7</v>
      </c>
      <c r="AB34" s="122">
        <f t="shared" si="22"/>
        <v>144.19313419300704</v>
      </c>
      <c r="AC34" s="122">
        <f t="shared" si="23"/>
        <v>4.4161466413409496</v>
      </c>
      <c r="AD34" s="138">
        <f t="shared" si="24"/>
        <v>3.3935112497829323E-9</v>
      </c>
      <c r="AE34" s="122">
        <f t="shared" si="25"/>
        <v>3.7038749354207944E-2</v>
      </c>
      <c r="AF34" s="122">
        <f t="shared" si="26"/>
        <v>2.1221640164390188</v>
      </c>
      <c r="AG34" s="143">
        <f t="shared" si="27"/>
        <v>0.34199109011629475</v>
      </c>
      <c r="AH34" s="50"/>
      <c r="AI34" s="50"/>
      <c r="AJ34" s="50"/>
      <c r="AK34" s="50"/>
      <c r="AL34" s="50"/>
      <c r="AM34" s="50"/>
      <c r="AN34" s="131">
        <v>2.1221614219513278</v>
      </c>
      <c r="AO34" s="113">
        <f>PROP_InOut!$F$8*'PROP_Table (2)'!I34*'PROP_Table (2)'!E34</f>
        <v>175412.50386198959</v>
      </c>
      <c r="AP34" s="91">
        <f t="shared" si="28"/>
        <v>0.93176000000000003</v>
      </c>
      <c r="AQ34" s="91">
        <f t="shared" si="29"/>
        <v>1.1560000000000001E-2</v>
      </c>
      <c r="AR34" s="8">
        <f>0.5*PROP_InOut!$J$8*I34^2*E34*AP34*(C34-C33)</f>
        <v>1.2571154511148059</v>
      </c>
      <c r="AS34" s="8">
        <f>0.5*PROP_InOut!$J$8*I34^2*E34*AQ34*(C34-C33)</f>
        <v>1.5596564152665018E-2</v>
      </c>
      <c r="AT34" s="110">
        <f t="shared" si="0"/>
        <v>1.2450912503910043</v>
      </c>
      <c r="AU34" s="110">
        <f t="shared" si="1"/>
        <v>6.0609436338094715E-2</v>
      </c>
      <c r="AV34" s="95">
        <f t="shared" si="2"/>
        <v>31.735026656329435</v>
      </c>
      <c r="AW34" s="88">
        <f>PROP_InOut!$G$4/2*((PROP_InOut!$E$8-'PROP_Table (2)'!C34)/('PROP_Table (2)'!C34*SIN('PROP_Table (2)'!K34)))</f>
        <v>1.1902245779056266</v>
      </c>
      <c r="AX34" s="88">
        <f t="shared" si="11"/>
        <v>0.80325321513687409</v>
      </c>
      <c r="AY34" s="88">
        <f>PROP_InOut!$G$4/2*((C34-PROP_InOut!$J$12/2)/(C34*SIN('PROP_Table (2)'!K34)))</f>
        <v>5.6380259924877176</v>
      </c>
      <c r="AZ34" s="88">
        <f t="shared" si="12"/>
        <v>0.99773369966543368</v>
      </c>
      <c r="BA34" s="88">
        <f t="shared" si="13"/>
        <v>0.8014328021066679</v>
      </c>
      <c r="BB34" s="25">
        <f>0.5*PROP_InOut!$J$8*T34^2*E34*AP34*(C34-C33)</f>
        <v>1.2743181107328199</v>
      </c>
      <c r="BC34" s="25">
        <f>0.5*PROP_InOut!$J$8*T34^2*E34*AQ34*(C34-C33)</f>
        <v>1.5809991156597619E-2</v>
      </c>
      <c r="BD34" s="108">
        <f t="shared" si="3"/>
        <v>0.99785696967935744</v>
      </c>
      <c r="BE34" s="108">
        <f t="shared" si="4"/>
        <v>4.8574390398544949E-2</v>
      </c>
      <c r="BF34" s="88">
        <f t="shared" si="30"/>
        <v>25.433491338111899</v>
      </c>
    </row>
    <row r="35" spans="1:58" s="96" customFormat="1" ht="15.75" thickBot="1" x14ac:dyDescent="0.3">
      <c r="A35" s="176"/>
      <c r="B35" s="107">
        <v>32</v>
      </c>
      <c r="C35" s="87">
        <v>0.23005287999999999</v>
      </c>
      <c r="D35" s="108">
        <f>C35/PROP_InOut!$E$8</f>
        <v>0.86259047619047613</v>
      </c>
      <c r="E35" s="88">
        <v>2.117598E-2</v>
      </c>
      <c r="F35" s="109">
        <f>E35*PROP_InOut!$G$8</f>
        <v>1.327866295875E-4</v>
      </c>
      <c r="G35" s="96">
        <f>PROP_InOut!$C$4</f>
        <v>19.5</v>
      </c>
      <c r="H35" s="110">
        <f>PROP_InOut!$C$8*'PROP_Table (2)'!C35</f>
        <v>120.45540629086237</v>
      </c>
      <c r="I35" s="111">
        <f t="shared" si="5"/>
        <v>122.02358339557451</v>
      </c>
      <c r="J35" s="112">
        <f>I35/PROP_InOut!$D$8</f>
        <v>0.35255055400285484</v>
      </c>
      <c r="K35" s="110">
        <f t="shared" si="6"/>
        <v>0.16049328760343137</v>
      </c>
      <c r="L35" s="111">
        <f t="shared" si="7"/>
        <v>9.1955880198559132</v>
      </c>
      <c r="M35" s="90">
        <f t="shared" si="15"/>
        <v>3.4627964981282011E-2</v>
      </c>
      <c r="N35" s="90">
        <f t="shared" si="16"/>
        <v>1.98403624655427</v>
      </c>
      <c r="O35" s="110">
        <f t="shared" si="8"/>
        <v>0.22458547748812635</v>
      </c>
      <c r="P35" s="87">
        <v>12.867800000000001</v>
      </c>
      <c r="Q35" s="110">
        <f t="shared" si="31"/>
        <v>2.9464224903412949E-2</v>
      </c>
      <c r="R35" s="112">
        <f t="shared" si="10"/>
        <v>1.6881757335898175</v>
      </c>
      <c r="S35" s="127">
        <f t="shared" si="17"/>
        <v>4.248425753267477</v>
      </c>
      <c r="T35" s="127">
        <f t="shared" si="18"/>
        <v>122.77340157823792</v>
      </c>
      <c r="U35" s="122">
        <f>U34+(U36-U34)*((C35-C34)/(C36-C34))</f>
        <v>4.2445410651490327</v>
      </c>
      <c r="V35" s="122">
        <f>V34+(V36-V34)*((C35-C34)/(C36-C34))</f>
        <v>1.98403624655427</v>
      </c>
      <c r="W35" s="123">
        <f t="shared" si="19"/>
        <v>1.6881757335898175</v>
      </c>
      <c r="X35" s="122">
        <f t="shared" si="20"/>
        <v>122.77340157823792</v>
      </c>
      <c r="Y35" s="122">
        <f>Y34+(Y36-Y34)*((C35-C34)/(C36-C34))</f>
        <v>0.93372999999999995</v>
      </c>
      <c r="Z35" s="122">
        <f>Z34+(Z36-Z34)*((C35-C34)/(C36-C34))</f>
        <v>1.1955E-2</v>
      </c>
      <c r="AA35" s="122">
        <f t="shared" si="21"/>
        <v>-0.62192887912999595</v>
      </c>
      <c r="AB35" s="122">
        <f t="shared" si="22"/>
        <v>160.09750594317705</v>
      </c>
      <c r="AC35" s="122">
        <f t="shared" si="23"/>
        <v>4.248425753267477</v>
      </c>
      <c r="AD35" s="138">
        <f t="shared" si="24"/>
        <v>3.8846881184442239E-3</v>
      </c>
      <c r="AE35" s="122">
        <f t="shared" si="25"/>
        <v>3.4589994212489983E-2</v>
      </c>
      <c r="AF35" s="122">
        <f t="shared" si="26"/>
        <v>1.9818606817576196</v>
      </c>
      <c r="AG35" s="143">
        <f t="shared" si="27"/>
        <v>0.35255055400285484</v>
      </c>
      <c r="AH35" s="50"/>
      <c r="AI35" s="50"/>
      <c r="AJ35" s="50"/>
      <c r="AK35" s="50"/>
      <c r="AL35" s="50"/>
      <c r="AM35" s="50"/>
      <c r="AN35" s="131"/>
      <c r="AO35" s="113">
        <f>PROP_InOut!$F$8*'PROP_Table (2)'!I35*'PROP_Table (2)'!E35</f>
        <v>167321.66140827697</v>
      </c>
      <c r="AP35" s="91">
        <f t="shared" si="28"/>
        <v>0.93372999999999995</v>
      </c>
      <c r="AQ35" s="91">
        <f t="shared" si="29"/>
        <v>1.1955E-2</v>
      </c>
      <c r="AR35" s="8">
        <f>0.5*PROP_InOut!$J$8*I35^2*E35*AP35*(C35-C34)</f>
        <v>1.2387699016680187</v>
      </c>
      <c r="AS35" s="8">
        <f>0.5*PROP_InOut!$J$8*I35^2*E35*AQ35*(C35-C34)</f>
        <v>1.5860574442763075E-2</v>
      </c>
      <c r="AT35" s="110">
        <f t="shared" si="0"/>
        <v>1.2271313068120295</v>
      </c>
      <c r="AU35" s="110">
        <f t="shared" si="1"/>
        <v>5.9558789007209977E-2</v>
      </c>
      <c r="AV35" s="95">
        <f t="shared" si="2"/>
        <v>31.184909000292567</v>
      </c>
      <c r="AW35" s="88">
        <f>PROP_InOut!$G$4/2*((PROP_InOut!$E$8-'PROP_Table (2)'!C35)/('PROP_Table (2)'!C35*SIN('PROP_Table (2)'!K35)))</f>
        <v>0.99683054888268485</v>
      </c>
      <c r="AX35" s="88">
        <f t="shared" si="11"/>
        <v>0.75936809158521423</v>
      </c>
      <c r="AY35" s="88">
        <f>PROP_InOut!$G$4/2*((C35-PROP_InOut!$J$12/2)/(C35*SIN('PROP_Table (2)'!K35)))</f>
        <v>5.8258071487999539</v>
      </c>
      <c r="AZ35" s="88">
        <f t="shared" si="12"/>
        <v>0.99812170044460946</v>
      </c>
      <c r="BA35" s="88">
        <f t="shared" si="13"/>
        <v>0.75794177083641201</v>
      </c>
      <c r="BB35" s="25">
        <f>0.5*PROP_InOut!$J$8*T35^2*E35*AP35*(C35-C34)</f>
        <v>1.25404081906203</v>
      </c>
      <c r="BC35" s="25">
        <f>0.5*PROP_InOut!$J$8*T35^2*E35*AQ35*(C35-C34)</f>
        <v>1.6056095436460829E-2</v>
      </c>
      <c r="BD35" s="108">
        <f t="shared" si="3"/>
        <v>0.93009407573391012</v>
      </c>
      <c r="BE35" s="108">
        <f t="shared" si="4"/>
        <v>4.5142094008996957E-2</v>
      </c>
      <c r="BF35" s="88">
        <f t="shared" si="30"/>
        <v>23.636345151054112</v>
      </c>
    </row>
    <row r="36" spans="1:58" s="96" customFormat="1" ht="15.75" thickBot="1" x14ac:dyDescent="0.3">
      <c r="A36" s="176"/>
      <c r="B36" s="107">
        <v>33</v>
      </c>
      <c r="C36" s="87">
        <v>0.23712677999999998</v>
      </c>
      <c r="D36" s="108">
        <f>C36/PROP_InOut!$E$8</f>
        <v>0.88911428571428563</v>
      </c>
      <c r="E36" s="88">
        <v>1.9535139999999999E-2</v>
      </c>
      <c r="F36" s="109">
        <f>E36*PROP_InOut!$G$8</f>
        <v>1.2249753726249998E-4</v>
      </c>
      <c r="G36" s="96">
        <f>PROP_InOut!$C$4</f>
        <v>19.5</v>
      </c>
      <c r="H36" s="110">
        <f>PROP_InOut!$C$8*'PROP_Table (2)'!C36</f>
        <v>124.15929166956717</v>
      </c>
      <c r="I36" s="111">
        <f t="shared" si="5"/>
        <v>125.68126235795314</v>
      </c>
      <c r="J36" s="112">
        <f>I36/PROP_InOut!$D$8</f>
        <v>0.36311832056623172</v>
      </c>
      <c r="K36" s="110">
        <f t="shared" si="6"/>
        <v>0.15578373722914457</v>
      </c>
      <c r="L36" s="111">
        <f t="shared" si="7"/>
        <v>8.925750660005022</v>
      </c>
      <c r="M36" s="90">
        <f t="shared" si="15"/>
        <v>3.2217225890708683E-2</v>
      </c>
      <c r="N36" s="90">
        <f t="shared" si="16"/>
        <v>1.845911071157212</v>
      </c>
      <c r="O36" s="110">
        <f t="shared" si="8"/>
        <v>0.2180998339877154</v>
      </c>
      <c r="P36" s="87">
        <v>12.4962</v>
      </c>
      <c r="Q36" s="110">
        <f t="shared" si="31"/>
        <v>3.009887086786214E-2</v>
      </c>
      <c r="R36" s="112">
        <f t="shared" si="10"/>
        <v>1.724538268837766</v>
      </c>
      <c r="S36" s="127">
        <f t="shared" si="17"/>
        <v>4.072935492661669</v>
      </c>
      <c r="T36" s="127">
        <f t="shared" si="18"/>
        <v>126.37726455187727</v>
      </c>
      <c r="U36" s="122">
        <v>4.072935492350628</v>
      </c>
      <c r="V36" s="122">
        <v>1.845911071157212</v>
      </c>
      <c r="W36" s="123">
        <f t="shared" si="19"/>
        <v>1.724538268837766</v>
      </c>
      <c r="X36" s="122">
        <f t="shared" si="20"/>
        <v>126.37726455187727</v>
      </c>
      <c r="Y36" s="128">
        <v>0.93569999999999998</v>
      </c>
      <c r="Z36" s="127">
        <v>1.235E-2</v>
      </c>
      <c r="AA36" s="122">
        <f t="shared" si="21"/>
        <v>-5.5378109209414106E-8</v>
      </c>
      <c r="AB36" s="122">
        <f t="shared" si="22"/>
        <v>178.04108282559471</v>
      </c>
      <c r="AC36" s="122">
        <f t="shared" si="23"/>
        <v>4.072935492661669</v>
      </c>
      <c r="AD36" s="138">
        <f t="shared" si="24"/>
        <v>3.1104097075740356E-10</v>
      </c>
      <c r="AE36" s="122">
        <f t="shared" si="25"/>
        <v>3.2217236552253746E-2</v>
      </c>
      <c r="AF36" s="122">
        <f t="shared" si="26"/>
        <v>1.8459116820187471</v>
      </c>
      <c r="AG36" s="143">
        <f t="shared" si="27"/>
        <v>0.36311832056623172</v>
      </c>
      <c r="AH36" s="50"/>
      <c r="AI36" s="50"/>
      <c r="AJ36" s="50"/>
      <c r="AK36" s="50"/>
      <c r="AL36" s="50"/>
      <c r="AM36" s="50"/>
      <c r="AN36" s="131">
        <v>1.845911071157212</v>
      </c>
      <c r="AO36" s="113">
        <f>PROP_InOut!$F$8*'PROP_Table (2)'!I36*'PROP_Table (2)'!E36</f>
        <v>158983.4575503777</v>
      </c>
      <c r="AP36" s="91">
        <f t="shared" si="28"/>
        <v>0.93569999999999998</v>
      </c>
      <c r="AQ36" s="91">
        <f t="shared" si="29"/>
        <v>1.235E-2</v>
      </c>
      <c r="AR36" s="8">
        <f>0.5*PROP_InOut!$J$8*I36^2*E36*AP36*(C36-C35)</f>
        <v>1.2148775056010463</v>
      </c>
      <c r="AS36" s="8">
        <f>0.5*PROP_InOut!$J$8*I36^2*E36*AQ36*(C36-C35)</f>
        <v>1.6034773104812355E-2</v>
      </c>
      <c r="AT36" s="110">
        <f t="shared" si="0"/>
        <v>1.2036961167148508</v>
      </c>
      <c r="AU36" s="110">
        <f t="shared" si="1"/>
        <v>5.8215578575268087E-2</v>
      </c>
      <c r="AV36" s="95">
        <f t="shared" si="2"/>
        <v>30.48160566275693</v>
      </c>
      <c r="AW36" s="88">
        <f>PROP_InOut!$G$4/2*((PROP_InOut!$E$8-'PROP_Table (2)'!C36)/('PROP_Table (2)'!C36*SIN('PROP_Table (2)'!K36)))</f>
        <v>0.8038109773997687</v>
      </c>
      <c r="AX36" s="88">
        <f t="shared" si="11"/>
        <v>0.70454358196397238</v>
      </c>
      <c r="AY36" s="88">
        <f>PROP_InOut!$G$4/2*((C36-PROP_InOut!$J$12/2)/(C36*SIN('PROP_Table (2)'!K36)))</f>
        <v>6.0137046129315141</v>
      </c>
      <c r="AZ36" s="88">
        <f t="shared" si="12"/>
        <v>0.99844345447760485</v>
      </c>
      <c r="BA36" s="88">
        <f t="shared" si="13"/>
        <v>0.70344692780613416</v>
      </c>
      <c r="BB36" s="25">
        <f>0.5*PROP_InOut!$J$8*T36^2*E36*AP36*(C36-C35)</f>
        <v>1.2283703472925618</v>
      </c>
      <c r="BC36" s="25">
        <f>0.5*PROP_InOut!$J$8*T36^2*E36*AQ36*(C36-C35)</f>
        <v>1.6212860734277156E-2</v>
      </c>
      <c r="BD36" s="108">
        <f t="shared" si="3"/>
        <v>0.84673633531523562</v>
      </c>
      <c r="BE36" s="108">
        <f t="shared" si="4"/>
        <v>4.0951569899228941E-2</v>
      </c>
      <c r="BF36" s="88">
        <f t="shared" si="30"/>
        <v>21.442191858064426</v>
      </c>
    </row>
    <row r="37" spans="1:58" s="96" customFormat="1" ht="15.75" thickBot="1" x14ac:dyDescent="0.3">
      <c r="A37" s="176"/>
      <c r="B37" s="107">
        <v>34</v>
      </c>
      <c r="C37" s="87">
        <v>0.24420068</v>
      </c>
      <c r="D37" s="108">
        <f>C37/PROP_InOut!$E$8</f>
        <v>0.91563809523809525</v>
      </c>
      <c r="E37" s="88">
        <v>1.7980659999999999E-2</v>
      </c>
      <c r="F37" s="109">
        <f>E37*PROP_InOut!$G$8</f>
        <v>1.1274997611249998E-4</v>
      </c>
      <c r="G37" s="96">
        <f>PROP_InOut!$C$4</f>
        <v>19.5</v>
      </c>
      <c r="H37" s="110">
        <f>PROP_InOut!$C$8*'PROP_Table (2)'!C37</f>
        <v>127.86317704827199</v>
      </c>
      <c r="I37" s="111">
        <f t="shared" si="5"/>
        <v>129.34157121698246</v>
      </c>
      <c r="J37" s="112">
        <f>I37/PROP_InOut!$D$8</f>
        <v>0.37369368542737497</v>
      </c>
      <c r="K37" s="110">
        <f t="shared" si="6"/>
        <v>0.15134064925785248</v>
      </c>
      <c r="L37" s="111">
        <f t="shared" si="7"/>
        <v>8.6711804712446412</v>
      </c>
      <c r="M37" s="90">
        <f t="shared" si="15"/>
        <v>2.9966005039807116E-2</v>
      </c>
      <c r="N37" s="90">
        <f t="shared" si="16"/>
        <v>1.7169256176487022</v>
      </c>
      <c r="O37" s="110">
        <f t="shared" si="8"/>
        <v>0.2119719829839633</v>
      </c>
      <c r="P37" s="87">
        <v>12.145099999999999</v>
      </c>
      <c r="Q37" s="110">
        <f t="shared" si="31"/>
        <v>3.0665328686303714E-2</v>
      </c>
      <c r="R37" s="112">
        <f t="shared" si="10"/>
        <v>1.7569939111066559</v>
      </c>
      <c r="S37" s="127">
        <f t="shared" si="17"/>
        <v>3.8873106648804603</v>
      </c>
      <c r="T37" s="127">
        <f t="shared" si="18"/>
        <v>129.98462453855791</v>
      </c>
      <c r="U37" s="122">
        <f>U36+(U38-U36)*((C37-C36)/(C38-C36))</f>
        <v>3.8882571294253832</v>
      </c>
      <c r="V37" s="122">
        <f>V36+(V38-V36)*((C37-C36)/(C38-C36))</f>
        <v>1.7169256176487022</v>
      </c>
      <c r="W37" s="123">
        <f t="shared" si="19"/>
        <v>1.7569939111066559</v>
      </c>
      <c r="X37" s="122">
        <f t="shared" si="20"/>
        <v>129.98462453855791</v>
      </c>
      <c r="Y37" s="122">
        <f>Y36+(Y38-Y36)*((C37-C36)/(C38-C36))</f>
        <v>0.93591999999999997</v>
      </c>
      <c r="Z37" s="122">
        <f>Z36+(Z38-Z36)*((C37-C36)/(C38-C36))</f>
        <v>1.2885000000000002E-2</v>
      </c>
      <c r="AA37" s="122">
        <f t="shared" si="21"/>
        <v>0.18757608529210756</v>
      </c>
      <c r="AB37" s="122">
        <f t="shared" si="22"/>
        <v>198.18606655504101</v>
      </c>
      <c r="AC37" s="122">
        <f t="shared" si="23"/>
        <v>3.8873106648804603</v>
      </c>
      <c r="AD37" s="138">
        <f t="shared" si="24"/>
        <v>-9.464645449228648E-4</v>
      </c>
      <c r="AE37" s="122">
        <f t="shared" si="25"/>
        <v>2.9897015968857975E-2</v>
      </c>
      <c r="AF37" s="122">
        <f t="shared" si="26"/>
        <v>1.7129728350507878</v>
      </c>
      <c r="AG37" s="143">
        <f t="shared" si="27"/>
        <v>0.37369368542737497</v>
      </c>
      <c r="AH37" s="50"/>
      <c r="AI37" s="50"/>
      <c r="AJ37" s="50"/>
      <c r="AK37" s="50"/>
      <c r="AL37" s="50"/>
      <c r="AM37" s="50"/>
      <c r="AN37" s="131"/>
      <c r="AO37" s="113">
        <f>PROP_InOut!$F$8*'PROP_Table (2)'!I37*'PROP_Table (2)'!E37</f>
        <v>150594.33564576381</v>
      </c>
      <c r="AP37" s="91">
        <f t="shared" si="28"/>
        <v>0.93591999999999997</v>
      </c>
      <c r="AQ37" s="91">
        <f t="shared" si="29"/>
        <v>1.2885000000000002E-2</v>
      </c>
      <c r="AR37" s="8">
        <f>0.5*PROP_InOut!$J$8*I37^2*E37*AP37*(C37-C36)</f>
        <v>1.1845649732645001</v>
      </c>
      <c r="AS37" s="8">
        <f>0.5*PROP_InOut!$J$8*I37^2*E37*AQ37*(C37-C36)</f>
        <v>1.6308145654022874E-2</v>
      </c>
      <c r="AT37" s="110">
        <f t="shared" si="0"/>
        <v>1.1737932074648032</v>
      </c>
      <c r="AU37" s="110">
        <f t="shared" si="1"/>
        <v>5.6636165463548722E-2</v>
      </c>
      <c r="AV37" s="95">
        <f t="shared" si="2"/>
        <v>29.654626891296772</v>
      </c>
      <c r="AW37" s="88">
        <f>PROP_InOut!$G$4/2*((PROP_InOut!$E$8-'PROP_Table (2)'!C37)/('PROP_Table (2)'!C37*SIN('PROP_Table (2)'!K37)))</f>
        <v>0.61111936342025608</v>
      </c>
      <c r="AX37" s="88">
        <f t="shared" si="11"/>
        <v>0.6347715240117523</v>
      </c>
      <c r="AY37" s="88">
        <f>PROP_InOut!$G$4/2*((C37-PROP_InOut!$J$12/2)/(C37*SIN('PROP_Table (2)'!K37)))</f>
        <v>6.2017093945104635</v>
      </c>
      <c r="AZ37" s="88">
        <f t="shared" si="12"/>
        <v>0.99871023005756454</v>
      </c>
      <c r="BA37" s="88">
        <f t="shared" si="13"/>
        <v>0.63395281477976795</v>
      </c>
      <c r="BB37" s="25">
        <f>0.5*PROP_InOut!$J$8*T37^2*E37*AP37*(C37-C36)</f>
        <v>1.1963729638149567</v>
      </c>
      <c r="BC37" s="25">
        <f>0.5*PROP_InOut!$J$8*T37^2*E37*AQ37*(C37-C36)</f>
        <v>1.6470708648982521E-2</v>
      </c>
      <c r="BD37" s="108">
        <f t="shared" si="3"/>
        <v>0.74412950784168408</v>
      </c>
      <c r="BE37" s="108">
        <f t="shared" si="4"/>
        <v>3.5904656513949397E-2</v>
      </c>
      <c r="BF37" s="88">
        <f t="shared" si="30"/>
        <v>18.79963418898139</v>
      </c>
    </row>
    <row r="38" spans="1:58" s="96" customFormat="1" ht="15.75" thickBot="1" x14ac:dyDescent="0.3">
      <c r="A38" s="176"/>
      <c r="B38" s="107">
        <v>35</v>
      </c>
      <c r="C38" s="87">
        <v>0.25127457999999997</v>
      </c>
      <c r="D38" s="108">
        <f>C38/PROP_InOut!$E$8</f>
        <v>0.94216190476190464</v>
      </c>
      <c r="E38" s="88">
        <v>1.653286E-2</v>
      </c>
      <c r="F38" s="109">
        <f>E38*PROP_InOut!$G$8</f>
        <v>1.0367136523749998E-4</v>
      </c>
      <c r="G38" s="96">
        <f>PROP_InOut!$C$4</f>
        <v>19.5</v>
      </c>
      <c r="H38" s="110">
        <f>PROP_InOut!$C$8*'PROP_Table (2)'!C38</f>
        <v>131.56706242697678</v>
      </c>
      <c r="I38" s="111">
        <f t="shared" si="5"/>
        <v>133.00429284674988</v>
      </c>
      <c r="J38" s="112">
        <f>I38/PROP_InOut!$D$8</f>
        <v>0.38427602126606802</v>
      </c>
      <c r="K38" s="110">
        <f t="shared" si="6"/>
        <v>0.14714219298023778</v>
      </c>
      <c r="L38" s="111">
        <f t="shared" si="7"/>
        <v>8.4306266460671129</v>
      </c>
      <c r="M38" s="90">
        <f t="shared" si="15"/>
        <v>2.7714784188905568E-2</v>
      </c>
      <c r="N38" s="90">
        <f t="shared" si="16"/>
        <v>1.5879401641401936</v>
      </c>
      <c r="O38" s="110">
        <f t="shared" si="8"/>
        <v>0.20617399920883817</v>
      </c>
      <c r="P38" s="87">
        <v>11.812900000000001</v>
      </c>
      <c r="Q38" s="110">
        <f t="shared" si="31"/>
        <v>3.1317022039694824E-2</v>
      </c>
      <c r="R38" s="112">
        <f t="shared" si="10"/>
        <v>1.7943331897926944</v>
      </c>
      <c r="S38" s="127">
        <f t="shared" si="17"/>
        <v>3.7035787704895933</v>
      </c>
      <c r="T38" s="127">
        <f t="shared" si="18"/>
        <v>133.5975223693807</v>
      </c>
      <c r="U38" s="122">
        <v>3.7035787665001396</v>
      </c>
      <c r="V38" s="148">
        <v>1.5879401641401936</v>
      </c>
      <c r="W38" s="123">
        <f t="shared" si="19"/>
        <v>1.7943331897926944</v>
      </c>
      <c r="X38" s="122">
        <f t="shared" si="20"/>
        <v>133.5975223693807</v>
      </c>
      <c r="Y38" s="128">
        <v>0.93613999999999997</v>
      </c>
      <c r="Z38" s="127">
        <v>1.342E-2</v>
      </c>
      <c r="AA38" s="122">
        <f t="shared" si="21"/>
        <v>-8.8020101429719944E-7</v>
      </c>
      <c r="AB38" s="122">
        <f t="shared" si="22"/>
        <v>220.63195665986007</v>
      </c>
      <c r="AC38" s="122">
        <f t="shared" si="23"/>
        <v>3.7035787704895933</v>
      </c>
      <c r="AD38" s="138">
        <f t="shared" si="24"/>
        <v>3.9894536563167549E-9</v>
      </c>
      <c r="AE38" s="122">
        <f t="shared" si="25"/>
        <v>2.771481389157638E-2</v>
      </c>
      <c r="AF38" s="122">
        <f t="shared" si="26"/>
        <v>1.5879418659778712</v>
      </c>
      <c r="AG38" s="143">
        <f t="shared" si="27"/>
        <v>0.38427602126606802</v>
      </c>
      <c r="AH38" s="50"/>
      <c r="AI38" s="50"/>
      <c r="AJ38" s="50"/>
      <c r="AK38" s="50"/>
      <c r="AL38" s="50"/>
      <c r="AM38" s="50"/>
      <c r="AN38" s="131">
        <v>1.5879401641401936</v>
      </c>
      <c r="AO38" s="113">
        <f>PROP_InOut!$F$8*'PROP_Table (2)'!I38*'PROP_Table (2)'!E38</f>
        <v>142389.68269712818</v>
      </c>
      <c r="AP38" s="91">
        <f t="shared" si="28"/>
        <v>0.93613999999999997</v>
      </c>
      <c r="AQ38" s="91">
        <f t="shared" si="29"/>
        <v>1.342E-2</v>
      </c>
      <c r="AR38" s="8">
        <f>0.5*PROP_InOut!$J$8*I38^2*E38*AP38*(C38-C37)</f>
        <v>1.1520156332355944</v>
      </c>
      <c r="AS38" s="8">
        <f>0.5*PROP_InOut!$J$8*I38^2*E38*AQ38*(C38-C37)</f>
        <v>1.6514677076101519E-2</v>
      </c>
      <c r="AT38" s="110">
        <f t="shared" si="0"/>
        <v>1.1416927150012539</v>
      </c>
      <c r="AU38" s="110">
        <f t="shared" si="1"/>
        <v>5.4931903991012047E-2</v>
      </c>
      <c r="AV38" s="95">
        <f t="shared" si="2"/>
        <v>28.762277670977213</v>
      </c>
      <c r="AW38" s="88">
        <f>PROP_InOut!$G$4/2*((PROP_InOut!$E$8-'PROP_Table (2)'!C38)/('PROP_Table (2)'!C38*SIN('PROP_Table (2)'!K38)))</f>
        <v>0.41871593503850857</v>
      </c>
      <c r="AX38" s="88">
        <f t="shared" si="11"/>
        <v>0.54289744314957022</v>
      </c>
      <c r="AY38" s="88">
        <f>PROP_InOut!$G$4/2*((C38-PROP_InOut!$J$12/2)/(C38*SIN('PROP_Table (2)'!K38)))</f>
        <v>6.3898133890274655</v>
      </c>
      <c r="AZ38" s="88">
        <f t="shared" si="12"/>
        <v>0.99893138902144285</v>
      </c>
      <c r="BA38" s="88">
        <f t="shared" si="13"/>
        <v>0.54231729698159004</v>
      </c>
      <c r="BB38" s="25">
        <f>0.5*PROP_InOut!$J$8*T38^2*E38*AP38*(C38-C37)</f>
        <v>1.1623150566774174</v>
      </c>
      <c r="BC38" s="25">
        <f>0.5*PROP_InOut!$J$8*T38^2*E38*AQ38*(C38-C37)</f>
        <v>1.6662324076111415E-2</v>
      </c>
      <c r="BD38" s="108">
        <f t="shared" si="3"/>
        <v>0.6191597071830528</v>
      </c>
      <c r="BE38" s="108">
        <f t="shared" si="4"/>
        <v>2.9790521690457872E-2</v>
      </c>
      <c r="BF38" s="88">
        <f t="shared" si="30"/>
        <v>15.598280681558304</v>
      </c>
    </row>
    <row r="39" spans="1:58" s="96" customFormat="1" ht="15.75" thickBot="1" x14ac:dyDescent="0.3">
      <c r="A39" s="176"/>
      <c r="B39" s="107">
        <v>36</v>
      </c>
      <c r="C39" s="87">
        <v>0.2583434</v>
      </c>
      <c r="D39" s="108">
        <f>C39/PROP_InOut!$E$8</f>
        <v>0.96866666666666668</v>
      </c>
      <c r="E39" s="88">
        <v>1.48971E-2</v>
      </c>
      <c r="F39" s="109">
        <f>E39*PROP_InOut!$G$8</f>
        <v>9.3414127687499988E-5</v>
      </c>
      <c r="G39" s="96">
        <f>PROP_InOut!$C$4</f>
        <v>19.5</v>
      </c>
      <c r="H39" s="110">
        <f>PROP_InOut!$C$8*'PROP_Table (2)'!C39</f>
        <v>135.26828792390157</v>
      </c>
      <c r="I39" s="111">
        <f t="shared" si="5"/>
        <v>136.6666005937937</v>
      </c>
      <c r="J39" s="112">
        <f>I39/PROP_InOut!$D$8</f>
        <v>0.39485716131473897</v>
      </c>
      <c r="K39" s="110">
        <f t="shared" si="6"/>
        <v>0.14317161941152276</v>
      </c>
      <c r="L39" s="111">
        <f t="shared" si="7"/>
        <v>8.2031295383335454</v>
      </c>
      <c r="M39" s="90">
        <f t="shared" si="15"/>
        <v>2.5223716481538754E-2</v>
      </c>
      <c r="N39" s="90">
        <f t="shared" si="16"/>
        <v>1.4452124980267451</v>
      </c>
      <c r="O39" s="110">
        <f t="shared" si="8"/>
        <v>0.20068493871131599</v>
      </c>
      <c r="P39" s="87">
        <v>11.4984</v>
      </c>
      <c r="Q39" s="110">
        <f t="shared" si="31"/>
        <v>3.2289602818254472E-2</v>
      </c>
      <c r="R39" s="112">
        <f t="shared" si="10"/>
        <v>1.8500579636397096</v>
      </c>
      <c r="S39" s="127">
        <f t="shared" si="17"/>
        <v>3.4615144077719227</v>
      </c>
      <c r="T39" s="127">
        <f t="shared" si="18"/>
        <v>137.20328298396598</v>
      </c>
      <c r="U39" s="122">
        <v>3.4615144037739336</v>
      </c>
      <c r="V39" s="122">
        <v>1.4452124980267451</v>
      </c>
      <c r="W39" s="123">
        <f t="shared" si="19"/>
        <v>1.8500579636397096</v>
      </c>
      <c r="X39" s="122">
        <f t="shared" si="20"/>
        <v>137.20328298396598</v>
      </c>
      <c r="Y39" s="128">
        <v>0.93569999999999998</v>
      </c>
      <c r="Z39" s="127">
        <v>1.426E-2</v>
      </c>
      <c r="AA39" s="122">
        <f t="shared" si="21"/>
        <v>-9.9926546681672335E-7</v>
      </c>
      <c r="AB39" s="122">
        <f t="shared" si="22"/>
        <v>249.94201595821482</v>
      </c>
      <c r="AC39" s="122">
        <f t="shared" si="23"/>
        <v>3.4615144077719227</v>
      </c>
      <c r="AD39" s="138">
        <f t="shared" si="24"/>
        <v>3.9979890509300731E-9</v>
      </c>
      <c r="AE39" s="122">
        <f t="shared" si="25"/>
        <v>2.5223742367125247E-2</v>
      </c>
      <c r="AF39" s="122">
        <f t="shared" si="26"/>
        <v>1.4452139811616014</v>
      </c>
      <c r="AG39" s="143">
        <f t="shared" si="27"/>
        <v>0.39485716131473897</v>
      </c>
      <c r="AH39" s="50"/>
      <c r="AI39" s="50"/>
      <c r="AJ39" s="50"/>
      <c r="AK39" s="50"/>
      <c r="AL39" s="50"/>
      <c r="AM39" s="50"/>
      <c r="AN39" s="131">
        <v>1.4452124980267451</v>
      </c>
      <c r="AO39" s="113">
        <f>PROP_InOut!$F$8*'PROP_Table (2)'!I39*'PROP_Table (2)'!E39</f>
        <v>131834.47701685049</v>
      </c>
      <c r="AP39" s="91">
        <f t="shared" si="28"/>
        <v>0.93569999999999998</v>
      </c>
      <c r="AQ39" s="91">
        <f t="shared" si="29"/>
        <v>1.426E-2</v>
      </c>
      <c r="AR39" s="8">
        <f>0.5*PROP_InOut!$J$8*I39^2*E39*AP39*(C39-C38)</f>
        <v>1.0946856335158528</v>
      </c>
      <c r="AS39" s="8">
        <f>0.5*PROP_InOut!$J$8*I39^2*E39*AQ39*(C39-C38)</f>
        <v>1.6682929500840077E-2</v>
      </c>
      <c r="AT39" s="110">
        <f t="shared" si="0"/>
        <v>1.0848757828545483</v>
      </c>
      <c r="AU39" s="110">
        <f t="shared" si="1"/>
        <v>5.2053644304163531E-2</v>
      </c>
      <c r="AV39" s="95">
        <f t="shared" si="2"/>
        <v>27.255224423089388</v>
      </c>
      <c r="AW39" s="88">
        <f>PROP_InOut!$G$4/2*((PROP_InOut!$E$8-'PROP_Table (2)'!C39)/('PROP_Table (2)'!C39*SIN('PROP_Table (2)'!K39)))</f>
        <v>0.22670443919418001</v>
      </c>
      <c r="AX39" s="88">
        <f t="shared" si="11"/>
        <v>0.41267326750917604</v>
      </c>
      <c r="AY39" s="88">
        <f>PROP_InOut!$G$4/2*((C39-PROP_InOut!$J$12/2)/(C39*SIN('PROP_Table (2)'!K39)))</f>
        <v>6.5778740928499833</v>
      </c>
      <c r="AZ39" s="88">
        <f t="shared" si="12"/>
        <v>0.99911458710678591</v>
      </c>
      <c r="BA39" s="88">
        <f t="shared" si="13"/>
        <v>0.41230788127743861</v>
      </c>
      <c r="BB39" s="25">
        <f>0.5*PROP_InOut!$J$8*T39^2*E39*AP39*(C39-C38)</f>
        <v>1.1033000577751146</v>
      </c>
      <c r="BC39" s="25">
        <f>0.5*PROP_InOut!$J$8*T39^2*E39*AQ39*(C39-C38)</f>
        <v>1.6814212700516338E-2</v>
      </c>
      <c r="BD39" s="108">
        <f t="shared" si="3"/>
        <v>0.4473028354779614</v>
      </c>
      <c r="BE39" s="108">
        <f t="shared" si="4"/>
        <v>2.1462127795819075E-2</v>
      </c>
      <c r="BF39" s="88">
        <f t="shared" si="30"/>
        <v>11.237543835625084</v>
      </c>
    </row>
    <row r="40" spans="1:58" s="96" customFormat="1" ht="15.75" thickBot="1" x14ac:dyDescent="0.3">
      <c r="A40" s="176"/>
      <c r="B40" s="107">
        <v>37</v>
      </c>
      <c r="C40" s="87">
        <v>0.26524458000000001</v>
      </c>
      <c r="D40" s="108">
        <f>C40/PROP_InOut!$E$8</f>
        <v>0.99454285714285717</v>
      </c>
      <c r="E40" s="88">
        <v>6.2712599999999999E-3</v>
      </c>
      <c r="F40" s="109">
        <f>E40*PROP_InOut!$G$8</f>
        <v>3.9324719737499991E-5</v>
      </c>
      <c r="G40" s="96">
        <f>PROP_InOut!$C$4</f>
        <v>19.5</v>
      </c>
      <c r="H40" s="110">
        <f>PROP_InOut!$C$8*'PROP_Table (2)'!C40</f>
        <v>138.88173732208503</v>
      </c>
      <c r="I40" s="111">
        <f t="shared" si="5"/>
        <v>140.24402647385958</v>
      </c>
      <c r="J40" s="112">
        <f>I40/PROP_InOut!$D$8</f>
        <v>0.40519306066161154</v>
      </c>
      <c r="K40" s="110">
        <f t="shared" si="6"/>
        <v>0.13949532060819883</v>
      </c>
      <c r="L40" s="111">
        <f t="shared" si="7"/>
        <v>7.9924931326740891</v>
      </c>
      <c r="M40" s="90">
        <f t="shared" si="15"/>
        <v>9.8432191729920463E-3</v>
      </c>
      <c r="N40" s="90">
        <f t="shared" si="16"/>
        <v>0.5639749154346968</v>
      </c>
      <c r="O40" s="110">
        <f t="shared" si="8"/>
        <v>0.19559730394175251</v>
      </c>
      <c r="P40" s="87">
        <v>11.206899999999999</v>
      </c>
      <c r="Q40" s="110">
        <f t="shared" si="31"/>
        <v>4.625876416056162E-2</v>
      </c>
      <c r="R40" s="112">
        <f t="shared" si="10"/>
        <v>2.6504319518912132</v>
      </c>
      <c r="S40" s="127">
        <f t="shared" si="17"/>
        <v>1.3824563585409919</v>
      </c>
      <c r="T40" s="127">
        <f t="shared" si="18"/>
        <v>140.44292059436617</v>
      </c>
      <c r="U40" s="122">
        <v>1.3824563563487882</v>
      </c>
      <c r="V40" s="122">
        <v>0.5639749154346968</v>
      </c>
      <c r="W40" s="123">
        <f t="shared" si="19"/>
        <v>2.6504319518912132</v>
      </c>
      <c r="X40" s="122">
        <f t="shared" si="20"/>
        <v>140.44292059436617</v>
      </c>
      <c r="Y40" s="128">
        <v>0.79203999999999997</v>
      </c>
      <c r="Z40" s="127">
        <v>3.5749999999999997E-2</v>
      </c>
      <c r="AA40" s="122">
        <f t="shared" si="21"/>
        <v>-1.2411086345309741E-6</v>
      </c>
      <c r="AB40" s="122">
        <f t="shared" si="22"/>
        <v>566.14656477992605</v>
      </c>
      <c r="AC40" s="122">
        <f t="shared" si="23"/>
        <v>1.3824563585409919</v>
      </c>
      <c r="AD40" s="138">
        <f t="shared" si="24"/>
        <v>2.1922037518606885E-9</v>
      </c>
      <c r="AE40" s="122">
        <f t="shared" si="25"/>
        <v>9.8432281532312409E-3</v>
      </c>
      <c r="AF40" s="122">
        <f t="shared" si="26"/>
        <v>0.56397542996450167</v>
      </c>
      <c r="AG40" s="143">
        <f t="shared" si="27"/>
        <v>0.40519306066161154</v>
      </c>
      <c r="AL40" s="50"/>
      <c r="AM40" s="50"/>
      <c r="AN40" s="96">
        <v>0.5639749154346968</v>
      </c>
      <c r="AO40" s="113">
        <f>PROP_InOut!$F$8*'PROP_Table (2)'!I40*'PROP_Table (2)'!E40</f>
        <v>56951.354060887912</v>
      </c>
      <c r="AP40" s="91">
        <f t="shared" si="28"/>
        <v>0.79203999999999997</v>
      </c>
      <c r="AQ40" s="91">
        <f t="shared" si="29"/>
        <v>3.5749999999999997E-2</v>
      </c>
      <c r="AR40" s="8">
        <f>0.5*PROP_InOut!$J$8*I40^2*E40*AP40*(C40-C39)</f>
        <v>0.40102677501787171</v>
      </c>
      <c r="AS40" s="8">
        <f>0.5*PROP_InOut!$J$8*I40^2*E40*AQ40*(C40-C39)</f>
        <v>1.8100988847645209E-2</v>
      </c>
      <c r="AT40" s="110">
        <f t="shared" si="0"/>
        <v>0.39498805712641116</v>
      </c>
      <c r="AU40" s="110">
        <f t="shared" si="1"/>
        <v>2.0632335639148427E-2</v>
      </c>
      <c r="AV40" s="95">
        <f t="shared" si="2"/>
        <v>10.803065678391262</v>
      </c>
      <c r="AW40" s="88">
        <f>PROP_InOut!$G$4/2*((PROP_InOut!$E$8-'PROP_Table (2)'!C40)/('PROP_Table (2)'!C40*SIN('PROP_Table (2)'!K40)))</f>
        <v>3.9463134801575629E-2</v>
      </c>
      <c r="AX40" s="88">
        <f t="shared" si="11"/>
        <v>0.17767682809550911</v>
      </c>
      <c r="AY40" s="88">
        <f>PROP_InOut!$G$4/2*((C40-PROP_InOut!$J$12/2)/(C40*SIN('PROP_Table (2)'!K40)))</f>
        <v>6.7615570426079072</v>
      </c>
      <c r="AZ40" s="88">
        <f t="shared" si="12"/>
        <v>0.99926315980764402</v>
      </c>
      <c r="BA40" s="88">
        <f t="shared" si="13"/>
        <v>0.17754590866731801</v>
      </c>
      <c r="BB40" s="25">
        <f>0.5*PROP_InOut!$J$8*T40^2*E40*AP40*(C40-C39)</f>
        <v>0.40216505418563414</v>
      </c>
      <c r="BC40" s="25">
        <f>0.5*PROP_InOut!$J$8*T40^2*E40*AQ40*(C40-C39)</f>
        <v>1.8152366909671761E-2</v>
      </c>
      <c r="BD40" s="108">
        <f t="shared" si="3"/>
        <v>7.0128513515247182E-2</v>
      </c>
      <c r="BE40" s="108">
        <f t="shared" si="4"/>
        <v>3.663186778981697E-3</v>
      </c>
      <c r="BF40" s="88">
        <f t="shared" si="30"/>
        <v>1.9180401122626929</v>
      </c>
    </row>
    <row r="41" spans="1:58" s="96" customFormat="1" x14ac:dyDescent="0.25">
      <c r="A41" s="176"/>
      <c r="B41" s="107">
        <v>38</v>
      </c>
      <c r="C41" s="87">
        <v>0.26669999999999999</v>
      </c>
      <c r="D41" s="108">
        <f>C41/PROP_InOut!$E$8</f>
        <v>1</v>
      </c>
      <c r="E41" s="88">
        <v>5.0000000000000001E-3</v>
      </c>
      <c r="F41" s="109">
        <f>E41*PROP_InOut!$G$8</f>
        <v>3.1353124999999998E-5</v>
      </c>
      <c r="G41" s="96">
        <f>PROP_InOut!$C$4</f>
        <v>19.5</v>
      </c>
      <c r="H41" s="110">
        <f>PROP_InOut!$C$8*'PROP_Table (2)'!C41</f>
        <v>139.64379345206629</v>
      </c>
      <c r="I41" s="111">
        <f t="shared" si="5"/>
        <v>140.99872002852845</v>
      </c>
      <c r="J41" s="112">
        <f>I41/PROP_InOut!$D$8</f>
        <v>0.40737352138401439</v>
      </c>
      <c r="K41" s="110">
        <f t="shared" si="6"/>
        <v>0.13874383257212369</v>
      </c>
      <c r="L41" s="111">
        <f t="shared" si="7"/>
        <v>7.9494360398524089</v>
      </c>
      <c r="M41" s="90">
        <f t="shared" si="15"/>
        <v>6.9079123169143372E-3</v>
      </c>
      <c r="N41" s="90">
        <f t="shared" si="16"/>
        <v>0.3957942210056295</v>
      </c>
      <c r="O41" s="110">
        <f t="shared" si="8"/>
        <v>0.19198621771937624</v>
      </c>
      <c r="P41" s="87">
        <v>11</v>
      </c>
      <c r="Q41" s="110">
        <f t="shared" si="31"/>
        <v>4.6334472830338216E-2</v>
      </c>
      <c r="R41" s="112">
        <f t="shared" si="10"/>
        <v>2.6547697391419618</v>
      </c>
      <c r="S41" s="127">
        <f t="shared" si="17"/>
        <v>0.97497646331344412</v>
      </c>
      <c r="T41" s="127">
        <f t="shared" si="18"/>
        <v>141.1368616303179</v>
      </c>
      <c r="U41" s="122">
        <v>0.9749764632867306</v>
      </c>
      <c r="V41" s="122">
        <v>0.3957942210056295</v>
      </c>
      <c r="W41" s="123">
        <f t="shared" si="19"/>
        <v>2.6547697391419618</v>
      </c>
      <c r="X41" s="122">
        <f t="shared" si="20"/>
        <v>141.1368616303179</v>
      </c>
      <c r="Y41" s="128">
        <v>0.6855</v>
      </c>
      <c r="Z41" s="127">
        <v>4.4880000000000003E-2</v>
      </c>
      <c r="AA41" s="122">
        <f t="shared" si="21"/>
        <v>-1.8748778529698029E-8</v>
      </c>
      <c r="AB41" s="122">
        <f t="shared" si="22"/>
        <v>701.84568282047258</v>
      </c>
      <c r="AC41" s="122">
        <f t="shared" si="23"/>
        <v>0.97497646331344412</v>
      </c>
      <c r="AD41" s="138">
        <f t="shared" si="24"/>
        <v>2.6713520284715742E-11</v>
      </c>
      <c r="AE41" s="122">
        <f t="shared" si="25"/>
        <v>6.9079115379413261E-3</v>
      </c>
      <c r="AF41" s="122">
        <f t="shared" si="26"/>
        <v>0.39579417637376363</v>
      </c>
      <c r="AG41" s="143">
        <f t="shared" si="27"/>
        <v>0.40737352138401439</v>
      </c>
      <c r="AH41" s="50"/>
      <c r="AI41" s="50"/>
      <c r="AJ41" s="50"/>
      <c r="AK41" s="50"/>
      <c r="AL41" s="50"/>
      <c r="AM41" s="50"/>
      <c r="AN41" s="131">
        <v>0.3957942210056295</v>
      </c>
      <c r="AO41" s="113">
        <f>PROP_InOut!$F$8*'PROP_Table (2)'!I41*'PROP_Table (2)'!E41</f>
        <v>45650.974224163525</v>
      </c>
      <c r="AP41" s="91">
        <f t="shared" si="28"/>
        <v>0.6855</v>
      </c>
      <c r="AQ41" s="91">
        <f t="shared" si="29"/>
        <v>4.4880000000000003E-2</v>
      </c>
      <c r="AR41" s="8">
        <f>0.5*PROP_InOut!$J$8*I41^2*E41*AP41*(C41-C40)</f>
        <v>5.898960544402921E-2</v>
      </c>
      <c r="AS41" s="8">
        <f>0.5*PROP_InOut!$J$8*I41^2*E41*AQ41*(C41-C40)</f>
        <v>3.862076575241475E-3</v>
      </c>
      <c r="AT41" s="110">
        <f t="shared" si="0"/>
        <v>5.7917785790423365E-2</v>
      </c>
      <c r="AU41" s="110">
        <f t="shared" si="1"/>
        <v>3.3089604993928497E-3</v>
      </c>
      <c r="AV41" s="95">
        <f t="shared" si="2"/>
        <v>1.7325676659852314</v>
      </c>
      <c r="AW41" s="88">
        <f>PROP_InOut!$G$4/2*((PROP_InOut!$E$8-'PROP_Table (2)'!C41)/('PROP_Table (2)'!C41*SIN('PROP_Table (2)'!K41)))</f>
        <v>0</v>
      </c>
      <c r="AX41" s="88">
        <f t="shared" si="11"/>
        <v>0</v>
      </c>
      <c r="AY41" s="88">
        <f>PROP_InOut!$G$4/2*((C41-PROP_InOut!$J$12/2)/(C41*SIN('PROP_Table (2)'!K41)))</f>
        <v>6.8003045679204801</v>
      </c>
      <c r="AZ41" s="88">
        <f t="shared" si="12"/>
        <v>0.99929116449383959</v>
      </c>
      <c r="BA41" s="88">
        <f t="shared" si="13"/>
        <v>0</v>
      </c>
      <c r="BB41" s="25">
        <f>0.5*PROP_InOut!$J$8*T41^2*E41*AP41*(C41-C40)</f>
        <v>5.9105250614142402E-2</v>
      </c>
      <c r="BC41" s="25">
        <f>0.5*PROP_InOut!$J$8*T41^2*E41*AQ41*(C41-C40)</f>
        <v>3.8696479176698927E-3</v>
      </c>
      <c r="BD41" s="108">
        <f t="shared" si="3"/>
        <v>0</v>
      </c>
      <c r="BE41" s="108">
        <f t="shared" si="4"/>
        <v>0</v>
      </c>
      <c r="BF41" s="88">
        <f t="shared" si="30"/>
        <v>0</v>
      </c>
    </row>
    <row r="42" spans="1:58" ht="15.75" thickBot="1" x14ac:dyDescent="0.3">
      <c r="A42" s="176"/>
      <c r="B42" s="3">
        <v>39</v>
      </c>
      <c r="C42" s="114"/>
      <c r="D42" s="25"/>
      <c r="E42" s="72"/>
      <c r="F42" s="26"/>
      <c r="H42" s="8"/>
      <c r="I42" s="27"/>
      <c r="J42" s="68"/>
      <c r="K42" s="8"/>
      <c r="L42" s="27"/>
      <c r="M42" s="90"/>
      <c r="N42" s="90"/>
      <c r="O42" s="8"/>
      <c r="P42" s="27"/>
      <c r="Q42" s="8"/>
      <c r="R42" s="68"/>
      <c r="S42" s="127"/>
      <c r="T42" s="127"/>
      <c r="U42" s="122"/>
      <c r="V42" s="122"/>
      <c r="W42" s="123"/>
      <c r="X42" s="122"/>
      <c r="Y42" s="128"/>
      <c r="Z42" s="127"/>
      <c r="AA42" s="122"/>
      <c r="AB42" s="122"/>
      <c r="AC42" s="122"/>
      <c r="AD42" s="138"/>
      <c r="AE42" s="122"/>
      <c r="AF42" s="122"/>
      <c r="AG42" s="144"/>
      <c r="AH42" s="132"/>
      <c r="AI42" s="132"/>
      <c r="AJ42" s="132"/>
      <c r="AK42" s="132"/>
      <c r="AL42" s="132"/>
      <c r="AM42" s="132"/>
      <c r="AN42" s="133"/>
      <c r="AO42" s="67"/>
      <c r="AP42" s="91"/>
      <c r="AQ42" s="91"/>
      <c r="AR42" s="8"/>
      <c r="AS42" s="8"/>
      <c r="AT42" s="8"/>
      <c r="AU42" s="8"/>
      <c r="AV42" s="55"/>
      <c r="AW42" s="79"/>
      <c r="AX42" s="79"/>
      <c r="AY42" s="79"/>
      <c r="AZ42" s="79"/>
      <c r="BA42" s="79"/>
      <c r="BB42" s="25"/>
      <c r="BC42" s="25"/>
      <c r="BD42" s="25"/>
      <c r="BE42" s="25"/>
      <c r="BF42" s="25"/>
    </row>
    <row r="43" spans="1:58" x14ac:dyDescent="0.25">
      <c r="C43" s="8"/>
      <c r="D43" s="25"/>
      <c r="E43" s="25"/>
      <c r="F43" s="26"/>
      <c r="H43" s="8"/>
      <c r="I43" s="27"/>
      <c r="J43" s="68"/>
      <c r="K43" s="8"/>
      <c r="L43" s="27"/>
      <c r="O43" s="8"/>
      <c r="P43" s="27"/>
      <c r="Q43" s="8"/>
      <c r="R43" s="68"/>
      <c r="V43" s="139"/>
      <c r="AO43" s="67"/>
      <c r="AP43" s="8"/>
      <c r="AQ43" s="8"/>
      <c r="AR43" s="8"/>
      <c r="AS43" s="8"/>
      <c r="AT43" s="8"/>
      <c r="AU43" s="8"/>
      <c r="AV43" s="55"/>
      <c r="AW43" s="50"/>
      <c r="AX43" s="50"/>
      <c r="AY43" s="50"/>
      <c r="AZ43" s="50"/>
      <c r="BA43" s="50"/>
    </row>
    <row r="44" spans="1:58" x14ac:dyDescent="0.25">
      <c r="W44" s="140">
        <f>W22</f>
        <v>1.9827421188365868</v>
      </c>
    </row>
  </sheetData>
  <mergeCells count="15">
    <mergeCell ref="AH9:AM9"/>
    <mergeCell ref="AO2:AO3"/>
    <mergeCell ref="AP2:AP3"/>
    <mergeCell ref="AQ2:AQ3"/>
    <mergeCell ref="B1:B2"/>
    <mergeCell ref="C1:F1"/>
    <mergeCell ref="G1:J1"/>
    <mergeCell ref="K1:R1"/>
    <mergeCell ref="AG2:AN2"/>
    <mergeCell ref="Q2:R2"/>
    <mergeCell ref="A4:A23"/>
    <mergeCell ref="A24:A42"/>
    <mergeCell ref="K2:L2"/>
    <mergeCell ref="M2:N2"/>
    <mergeCell ref="O2:P2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x B F 5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Y Y G 2 + j D u D b 6 U C / Y A Q A A A P / / A w B Q S w M E F A A C A A g A A A A h A J M H M b u 3 A Q A A F g g A A B M A A A B G b 3 J t d W x h c y 9 T Z W N 0 a W 9 u M S 5 t 7 J T f i h M x F M b v C 3 2 H w + x N C 9 N i W 2 t h Z S 7 q z C 7 e + G f p C A s d k e z k b B v M 5 A x J p r a U P o z s h Q / g I / T F T J 2 W R c w o q I i i u Z n M 7 w s 5 O X x f Y j C 3 g h T M 6 u / g c b v V b p k l 0 8 j h L F j f 9 n L J 9 N t N T 8 j e 4 M H n E U A E E m 2 7 B W 7 M q N I 5 O h K b V T + h v C p Q 2 c 6 l k N i P S V n 3 Y z p B f J 6 9 M q h N V i L X l C X 0 T k l i 3 G S + 7 f u 5 W Q X d c J 6 g F I W w q K M g D E K I S V a F M t E k h A u V E x d q E Q 2 G 4 2 E I V x V Z n N m N x O h + 2 n 9 O C l 9 3 w / q U Z 0 G 8 Z G r h W k o 3 J R 4 a S N m N W 5 R q p s w t 6 a L e / S C a T t 1 S u N 0 G N R 2 4 6 t Y p Y H F t d y G c + L C B j x r 4 w w Y + b u C P G v j k C 7 7 r t l t C e d v 8 v p X Q G X b / W T t V V d y g 9 h n 6 l T J q V P 4 8 U 3 / a z x c K E y 1 W m I 1 7 k A j j F M v 2 H / Z 3 B B z h G R q r G a d s B F O 1 f y + F Q U h x / 1 G L n M F L T W U l j V v q i 8 L / i / 3 b M v B L 7 v X f l Q N X s 3 A a h 6 f I u G v i P g t H 5 c h P K Y D 5 k U + l n O X M n d F E V l c / G C 1 P / U P O p r J c M t / b I X 2 Q e 2 H p o 4 U H p l S + u b b a o z w h 6 1 G + F b B P A A A A / / 8 D A F B L A Q I t A B Q A B g A I A A A A I Q A q 3 a p A 0 g A A A D c B A A A T A A A A A A A A A A A A A A A A A A A A A A B b Q 2 9 u d G V u d F 9 U e X B l c 1 0 u e G 1 s U E s B A i 0 A F A A C A A g A A A A h A L 8 Q R e W s A A A A 9 g A A A B I A A A A A A A A A A A A A A A A A C w M A A E N v b m Z p Z y 9 Q Y W N r Y W d l L n h t b F B L A Q I t A B Q A A g A I A A A A I Q C T B z G 7 t w E A A B Y I A A A T A A A A A A A A A A A A A A A A A O c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w A A A A A A A H E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e G Y t Y 2 x h c m t 5 L W l s L T E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Z U M T U 6 M D M 6 M j c u M z g 5 N D Y x N F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9 D a G F u Z 2 V k I F R 5 c G U u e 0 N v b H V t b j E s M H 0 m c X V v d D s s J n F 1 b 3 Q 7 U 2 V j d G l v b j E v e G Y t Y 2 x h c m t 5 L W l s L T E w M D A w M D A v Q 2 h h b m d l Z C B U e X B l L n t D b 2 x 1 b W 4 y L D F 9 J n F 1 b 3 Q 7 L C Z x d W 9 0 O 1 N l Y 3 R p b 2 4 x L 3 h m L W N s Y X J r e S 1 p b C 0 x M D A w M D A w L 0 N o Y W 5 n Z W Q g V H l w Z S 5 7 Q 2 9 s d W 1 u M y w y f S Z x d W 9 0 O y w m c X V v d D t T Z W N 0 a W 9 u M S 9 4 Z i 1 j b G F y a 3 k t a W w t M T A w M D A w M C 9 D a G F u Z 2 V k I F R 5 c G U u e 0 N v b H V t b j Q s M 3 0 m c X V v d D s s J n F 1 b 3 Q 7 U 2 V j d G l v b j E v e G Y t Y 2 x h c m t 5 L W l s L T E w M D A w M D A v Q 2 h h b m d l Z C B U e X B l L n t D b 2 x 1 b W 4 1 L D R 9 J n F 1 b 3 Q 7 L C Z x d W 9 0 O 1 N l Y 3 R p b 2 4 x L 3 h m L W N s Y X J r e S 1 p b C 0 x M D A w M D A w L 0 N o Y W 5 n Z W Q g V H l w Z S 5 7 Q 2 9 s d W 1 u N i w 1 f S Z x d W 9 0 O y w m c X V v d D t T Z W N 0 a W 9 u M S 9 4 Z i 1 j b G F y a 3 k t a W w t M T A w M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D A v Q 2 h h b m d l Z C B U e X B l L n t D b 2 x 1 b W 4 x L D B 9 J n F 1 b 3 Q 7 L C Z x d W 9 0 O 1 N l Y 3 R p b 2 4 x L 3 h m L W N s Y X J r e S 1 p b C 0 x M D A w M D A w L 0 N o Y W 5 n Z W Q g V H l w Z S 5 7 Q 2 9 s d W 1 u M i w x f S Z x d W 9 0 O y w m c X V v d D t T Z W N 0 a W 9 u M S 9 4 Z i 1 j b G F y a 3 k t a W w t M T A w M D A w M C 9 D a G F u Z 2 V k I F R 5 c G U u e 0 N v b H V t b j M s M n 0 m c X V v d D s s J n F 1 b 3 Q 7 U 2 V j d G l v b j E v e G Y t Y 2 x h c m t 5 L W l s L T E w M D A w M D A v Q 2 h h b m d l Z C B U e X B l L n t D b 2 x 1 b W 4 0 L D N 9 J n F 1 b 3 Q 7 L C Z x d W 9 0 O 1 N l Y 3 R p b 2 4 x L 3 h m L W N s Y X J r e S 1 p b C 0 x M D A w M D A w L 0 N o Y W 5 n Z W Q g V H l w Z S 5 7 Q 2 9 s d W 1 u N S w 0 f S Z x d W 9 0 O y w m c X V v d D t T Z W N 0 a W 9 u M S 9 4 Z i 1 j b G F y a 3 k t a W w t M T A w M D A w M C 9 D a G F u Z 2 V k I F R 5 c G U u e 0 N v b H V t b j Y s N X 0 m c X V v d D s s J n F 1 b 3 Q 7 U 2 V j d G l v b j E v e G Y t Y 2 x h c m t 5 L W l s L T E w M D A w M D A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i L z 4 8 R W 5 0 c n k g V H l w Z T 0 i R m l s b E x h c 3 R V c G R h d G V k I i B W Y W x 1 Z T 0 i Z D I w M j A t M T A t M j Z U M T U 6 M T Q 6 M T U u N j g y N D A 1 M 1 o i L z 4 8 R W 5 0 c n k g V H l w Z T 0 i R m l s b E N v b H V t b l R 5 c G V z I i B W Y W x 1 Z T 0 i c 0 J R V U Z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A o M i k v Q 2 h h b m d l Z C B U e X B l L n t D b 2 x 1 b W 4 x L D B 9 J n F 1 b 3 Q 7 L C Z x d W 9 0 O 1 N l Y 3 R p b 2 4 x L 3 h m L W N s Y X J r e S 1 p b C 0 x M D A w M D A w I C g y K S 9 D a G F u Z 2 V k I F R 5 c G U u e 0 N v b H V t b j I s M X 0 m c X V v d D s s J n F 1 b 3 Q 7 U 2 V j d G l v b j E v e G Y t Y 2 x h c m t 5 L W l s L T E w M D A w M D A g K D I p L 0 N o Y W 5 n Z W Q g V H l w Z S 5 7 Q 2 9 s d W 1 u M y w y f S Z x d W 9 0 O y w m c X V v d D t T Z W N 0 a W 9 u M S 9 4 Z i 1 j b G F y a 3 k t a W w t M T A w M D A w M C A o M i k v Q 2 h h b m d l Z C B U e X B l L n t D b 2 x 1 b W 4 0 L D N 9 J n F 1 b 3 Q 7 L C Z x d W 9 0 O 1 N l Y 3 R p b 2 4 x L 3 h m L W N s Y X J r e S 1 p b C 0 x M D A w M D A w I C g y K S 9 D a G F u Z 2 V k I F R 5 c G U u e 0 N v b H V t b j U s N H 0 m c X V v d D s s J n F 1 b 3 Q 7 U 2 V j d G l v b j E v e G Y t Y 2 x h c m t 5 L W l s L T E w M D A w M D A g K D I p L 0 N o Y W 5 n Z W Q g V H l w Z S 5 7 Q 2 9 s d W 1 u N i w 1 f S Z x d W 9 0 O y w m c X V v d D t T Z W N 0 a W 9 u M S 9 4 Z i 1 j b G F y a 3 k t a W w t M T A w M D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m L W N s Y X J r e S 1 p b C 0 x M D A w M D A w I C g y K S 9 D a G F u Z 2 V k I F R 5 c G U u e 0 N v b H V t b j E s M H 0 m c X V v d D s s J n F 1 b 3 Q 7 U 2 V j d G l v b j E v e G Y t Y 2 x h c m t 5 L W l s L T E w M D A w M D A g K D I p L 0 N o Y W 5 n Z W Q g V H l w Z S 5 7 Q 2 9 s d W 1 u M i w x f S Z x d W 9 0 O y w m c X V v d D t T Z W N 0 a W 9 u M S 9 4 Z i 1 j b G F y a 3 k t a W w t M T A w M D A w M C A o M i k v Q 2 h h b m d l Z C B U e X B l L n t D b 2 x 1 b W 4 z L D J 9 J n F 1 b 3 Q 7 L C Z x d W 9 0 O 1 N l Y 3 R p b 2 4 x L 3 h m L W N s Y X J r e S 1 p b C 0 x M D A w M D A w I C g y K S 9 D a G F u Z 2 V k I F R 5 c G U u e 0 N v b H V t b j Q s M 3 0 m c X V v d D s s J n F 1 b 3 Q 7 U 2 V j d G l v b j E v e G Y t Y 2 x h c m t 5 L W l s L T E w M D A w M D A g K D I p L 0 N o Y W 5 n Z W Q g V H l w Z S 5 7 Q 2 9 s d W 1 u N S w 0 f S Z x d W 9 0 O y w m c X V v d D t T Z W N 0 a W 9 u M S 9 4 Z i 1 j b G F y a 3 k t a W w t M T A w M D A w M C A o M i k v Q 2 h h b m d l Z C B U e X B l L n t D b 2 x 1 b W 4 2 L D V 9 J n F 1 b 3 Q 7 L C Z x d W 9 0 O 1 N l Y 3 R p b 2 4 x L 3 h m L W N s Y X J r e S 1 p b C 0 x M D A w M D A w I C g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h m L W N s Y X J r e S 1 p b C 0 x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T h U M j I 6 N T E 6 N D c u O T Y z M j I x M l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L 0 F 1 d G 9 S Z W 1 v d m V k Q 2 9 s d W 1 u c z E u e 0 N v b H V t b j E s M H 0 m c X V v d D s s J n F 1 b 3 Q 7 U 2 V j d G l v b j E v e G Y t Y 2 x h c m t 5 L W l s L T E w M D A w M C 9 B d X R v U m V t b 3 Z l Z E N v b H V t b n M x L n t D b 2 x 1 b W 4 y L D F 9 J n F 1 b 3 Q 7 L C Z x d W 9 0 O 1 N l Y 3 R p b 2 4 x L 3 h m L W N s Y X J r e S 1 p b C 0 x M D A w M D A v Q X V 0 b 1 J l b W 9 2 Z W R D b 2 x 1 b W 5 z M S 5 7 Q 2 9 s d W 1 u M y w y f S Z x d W 9 0 O y w m c X V v d D t T Z W N 0 a W 9 u M S 9 4 Z i 1 j b G F y a 3 k t a W w t M T A w M D A w L 0 F 1 d G 9 S Z W 1 v d m V k Q 2 9 s d W 1 u c z E u e 0 N v b H V t b j Q s M 3 0 m c X V v d D s s J n F 1 b 3 Q 7 U 2 V j d G l v b j E v e G Y t Y 2 x h c m t 5 L W l s L T E w M D A w M C 9 B d X R v U m V t b 3 Z l Z E N v b H V t b n M x L n t D b 2 x 1 b W 4 1 L D R 9 J n F 1 b 3 Q 7 L C Z x d W 9 0 O 1 N l Y 3 R p b 2 4 x L 3 h m L W N s Y X J r e S 1 p b C 0 x M D A w M D A v Q X V 0 b 1 J l b W 9 2 Z W R D b 2 x 1 b W 5 z M S 5 7 Q 2 9 s d W 1 u N i w 1 f S Z x d W 9 0 O y w m c X V v d D t T Z W N 0 a W 9 u M S 9 4 Z i 1 j b G F y a 3 k t a W w t M T A w M D A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C 9 B d X R v U m V t b 3 Z l Z E N v b H V t b n M x L n t D b 2 x 1 b W 4 x L D B 9 J n F 1 b 3 Q 7 L C Z x d W 9 0 O 1 N l Y 3 R p b 2 4 x L 3 h m L W N s Y X J r e S 1 p b C 0 x M D A w M D A v Q X V 0 b 1 J l b W 9 2 Z W R D b 2 x 1 b W 5 z M S 5 7 Q 2 9 s d W 1 u M i w x f S Z x d W 9 0 O y w m c X V v d D t T Z W N 0 a W 9 u M S 9 4 Z i 1 j b G F y a 3 k t a W w t M T A w M D A w L 0 F 1 d G 9 S Z W 1 v d m V k Q 2 9 s d W 1 u c z E u e 0 N v b H V t b j M s M n 0 m c X V v d D s s J n F 1 b 3 Q 7 U 2 V j d G l v b j E v e G Y t Y 2 x h c m t 5 L W l s L T E w M D A w M C 9 B d X R v U m V t b 3 Z l Z E N v b H V t b n M x L n t D b 2 x 1 b W 4 0 L D N 9 J n F 1 b 3 Q 7 L C Z x d W 9 0 O 1 N l Y 3 R p b 2 4 x L 3 h m L W N s Y X J r e S 1 p b C 0 x M D A w M D A v Q X V 0 b 1 J l b W 9 2 Z W R D b 2 x 1 b W 5 z M S 5 7 Q 2 9 s d W 1 u N S w 0 f S Z x d W 9 0 O y w m c X V v d D t T Z W N 0 a W 9 u M S 9 4 Z i 1 j b G F y a 3 k t a W w t M T A w M D A w L 0 F 1 d G 9 S Z W 1 v d m V k Q 2 9 s d W 1 u c z E u e 0 N v b H V t b j Y s N X 0 m c X V v d D s s J n F 1 b 3 Q 7 U 2 V j d G l v b j E v e G Y t Y 2 x h c m t 5 L W l s L T E w M D A w M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E 4 V D I y O j U 2 O j E y L j Y x N T I 5 M j R a I i 8 + P E V u d H J 5 I F R 5 c G U 9 I k Z p b G x D b 2 x 1 b W 5 U e X B l c y I g V m F s d W U 9 I n N C U V V G Q l F V R k J R P T 0 i L z 4 8 R W 5 0 c n k g V H l w Z T 0 i R m l s b E N v b H V t b k 5 h b W V z I i B W Y W x 1 Z T 0 i c 1 s m c X V v d D t B b H B o Y S Z x d W 9 0 O y w m c X V v d D t D b C Z x d W 9 0 O y w m c X V v d D t D Z C Z x d W 9 0 O y w m c X V v d D t D Z H A m c X V v d D s s J n F 1 b 3 Q 7 Q 2 0 m c X V v d D s s J n F 1 b 3 Q 7 V G 9 w X 1 h 0 c i Z x d W 9 0 O y w m c X V v d D t C b 3 R f W H R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Y t Y 2 x h c m t 5 L W l s L T E w M D A w M C A o M i k v Q X V 0 b 1 J l b W 9 2 Z W R D b 2 x 1 b W 5 z M S 5 7 Q W x w a G E s M H 0 m c X V v d D s s J n F 1 b 3 Q 7 U 2 V j d G l v b j E v e G Y t Y 2 x h c m t 5 L W l s L T E w M D A w M C A o M i k v Q X V 0 b 1 J l b W 9 2 Z W R D b 2 x 1 b W 5 z M S 5 7 Q 2 w s M X 0 m c X V v d D s s J n F 1 b 3 Q 7 U 2 V j d G l v b j E v e G Y t Y 2 x h c m t 5 L W l s L T E w M D A w M C A o M i k v Q X V 0 b 1 J l b W 9 2 Z W R D b 2 x 1 b W 5 z M S 5 7 Q 2 Q s M n 0 m c X V v d D s s J n F 1 b 3 Q 7 U 2 V j d G l v b j E v e G Y t Y 2 x h c m t 5 L W l s L T E w M D A w M C A o M i k v Q X V 0 b 1 J l b W 9 2 Z W R D b 2 x 1 b W 5 z M S 5 7 Q 2 R w L D N 9 J n F 1 b 3 Q 7 L C Z x d W 9 0 O 1 N l Y 3 R p b 2 4 x L 3 h m L W N s Y X J r e S 1 p b C 0 x M D A w M D A g K D I p L 0 F 1 d G 9 S Z W 1 v d m V k Q 2 9 s d W 1 u c z E u e 0 N t L D R 9 J n F 1 b 3 Q 7 L C Z x d W 9 0 O 1 N l Y 3 R p b 2 4 x L 3 h m L W N s Y X J r e S 1 p b C 0 x M D A w M D A g K D I p L 0 F 1 d G 9 S Z W 1 v d m V k Q 2 9 s d W 1 u c z E u e 1 R v c F 9 Y d H I s N X 0 m c X V v d D s s J n F 1 b 3 Q 7 U 2 V j d G l v b j E v e G Y t Y 2 x h c m t 5 L W l s L T E w M D A w M C A o M i k v Q X V 0 b 1 J l b W 9 2 Z W R D b 2 x 1 b W 5 z M S 5 7 Q m 9 0 X 1 h 0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4 Z i 1 j b G F y a 3 k t a W w t M T A w M D A w I C g y K S 9 B d X R v U m V t b 3 Z l Z E N v b H V t b n M x L n t B b H B o Y S w w f S Z x d W 9 0 O y w m c X V v d D t T Z W N 0 a W 9 u M S 9 4 Z i 1 j b G F y a 3 k t a W w t M T A w M D A w I C g y K S 9 B d X R v U m V t b 3 Z l Z E N v b H V t b n M x L n t D b C w x f S Z x d W 9 0 O y w m c X V v d D t T Z W N 0 a W 9 u M S 9 4 Z i 1 j b G F y a 3 k t a W w t M T A w M D A w I C g y K S 9 B d X R v U m V t b 3 Z l Z E N v b H V t b n M x L n t D Z C w y f S Z x d W 9 0 O y w m c X V v d D t T Z W N 0 a W 9 u M S 9 4 Z i 1 j b G F y a 3 k t a W w t M T A w M D A w I C g y K S 9 B d X R v U m V t b 3 Z l Z E N v b H V t b n M x L n t D Z H A s M 3 0 m c X V v d D s s J n F 1 b 3 Q 7 U 2 V j d G l v b j E v e G Y t Y 2 x h c m t 5 L W l s L T E w M D A w M C A o M i k v Q X V 0 b 1 J l b W 9 2 Z W R D b 2 x 1 b W 5 z M S 5 7 Q 2 0 s N H 0 m c X V v d D s s J n F 1 b 3 Q 7 U 2 V j d G l v b j E v e G Y t Y 2 x h c m t 5 L W l s L T E w M D A w M C A o M i k v Q X V 0 b 1 J l b W 9 2 Z W R D b 2 x 1 b W 5 z M S 5 7 V G 9 w X 1 h 0 c i w 1 f S Z x d W 9 0 O y w m c X V v d D t T Z W N 0 a W 9 u M S 9 4 Z i 1 j b G F y a 3 k t a W w t M T A w M D A w I C g y K S 9 B d X R v U m V t b 3 Z l Z E N v b H V t b n M x L n t C b 3 R f W H R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Z q i n a 1 / V S o C J q o d R r n D a A A A A A A I A A A A A A B B m A A A A A Q A A I A A A A K f x s k J O W K A G V 5 W 2 r x L h / c 3 6 n L o L M 5 + K e F w v / R I B V F L C A A A A A A 6 A A A A A A g A A I A A A A B M B T M O 1 K e N 4 D k 5 w 6 K X A j V q T t 5 t n j 4 H v + i e K i / a 7 7 X f C U A A A A N E a 2 S g c p F R E C i 7 q G E 9 X j j q j l q K u n t 0 w C Q C v O 1 u P t n p p x H o c J P R D m 4 Q c J T f d B 5 K c o e P n R i 3 D O 9 1 r V / z I A r I O R K Z 7 6 x T e Q K a 6 J f U Z t 7 s o I s h 5 Q A A A A J z A f c V N 0 2 G 0 a o 0 U c D y Q y t n k C A S y o r y i 6 K A S O M n i K W m G 9 K 3 m u M d G v n O w 2 e N x R s e J 0 V r 1 e h G N q + l u m f m n U B z 8 c x U = < / D a t a M a s h u p > 
</file>

<file path=customXml/itemProps1.xml><?xml version="1.0" encoding="utf-8"?>
<ds:datastoreItem xmlns:ds="http://schemas.openxmlformats.org/officeDocument/2006/customXml" ds:itemID="{51CB1247-D78F-42D2-9ACF-913FF2B7A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PROP_InOut</vt:lpstr>
      <vt:lpstr>PROP_Table</vt:lpstr>
      <vt:lpstr>Conversor</vt:lpstr>
      <vt:lpstr>PROP_Table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Mendes</dc:creator>
  <cp:lastModifiedBy>Pedro</cp:lastModifiedBy>
  <dcterms:created xsi:type="dcterms:W3CDTF">2020-10-23T11:07:10Z</dcterms:created>
  <dcterms:modified xsi:type="dcterms:W3CDTF">2021-11-01T15:49:01Z</dcterms:modified>
</cp:coreProperties>
</file>