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edro_Afonso\Pedro\DESKTOP\BET22x12\"/>
    </mc:Choice>
  </mc:AlternateContent>
  <xr:revisionPtr revIDLastSave="0" documentId="13_ncr:1_{58637A15-4797-427B-862D-B289AB342BE3}" xr6:coauthVersionLast="47" xr6:coauthVersionMax="47" xr10:uidLastSave="{00000000-0000-0000-0000-000000000000}"/>
  <bookViews>
    <workbookView xWindow="-120" yWindow="-120" windowWidth="20730" windowHeight="11160" activeTab="2" xr2:uid="{2999A67B-CFAC-4A53-8180-99CD48303CF1}"/>
  </bookViews>
  <sheets>
    <sheet name="PROP_InOut" sheetId="1" r:id="rId1"/>
    <sheet name="Conversor" sheetId="3" r:id="rId2"/>
    <sheet name="PROP_Table (2)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13" i="4" l="1"/>
  <c r="U13" i="4"/>
  <c r="Y23" i="4"/>
  <c r="Z23" i="4"/>
  <c r="Y27" i="4"/>
  <c r="Z27" i="4"/>
  <c r="D8" i="1" l="1"/>
  <c r="N41" i="4" l="1"/>
  <c r="N40" i="4"/>
  <c r="N38" i="4"/>
  <c r="N36" i="4"/>
  <c r="N34" i="4"/>
  <c r="N32" i="4"/>
  <c r="N30" i="4"/>
  <c r="N28" i="4"/>
  <c r="N26" i="4"/>
  <c r="N24" i="4"/>
  <c r="N22" i="4"/>
  <c r="N20" i="4"/>
  <c r="N18" i="4"/>
  <c r="N16" i="4"/>
  <c r="N14" i="4"/>
  <c r="N12" i="4"/>
  <c r="N10" i="4"/>
  <c r="AQ39" i="4"/>
  <c r="AQ40" i="4"/>
  <c r="Z37" i="4"/>
  <c r="AQ37" i="4" s="1"/>
  <c r="Z35" i="4"/>
  <c r="Z33" i="4"/>
  <c r="AQ33" i="4" s="1"/>
  <c r="Z31" i="4"/>
  <c r="AQ31" i="4" s="1"/>
  <c r="Z29" i="4"/>
  <c r="AQ29" i="4" s="1"/>
  <c r="Z25" i="4"/>
  <c r="AQ25" i="4" s="1"/>
  <c r="AQ23" i="4"/>
  <c r="Z21" i="4"/>
  <c r="AQ21" i="4" s="1"/>
  <c r="Z19" i="4"/>
  <c r="AQ19" i="4" s="1"/>
  <c r="Z17" i="4"/>
  <c r="Z15" i="4"/>
  <c r="AQ15" i="4" s="1"/>
  <c r="Z13" i="4"/>
  <c r="AQ13" i="4" s="1"/>
  <c r="Z11" i="4"/>
  <c r="AQ11" i="4" s="1"/>
  <c r="AP39" i="4"/>
  <c r="Y37" i="4"/>
  <c r="AP37" i="4" s="1"/>
  <c r="Y35" i="4"/>
  <c r="AP35" i="4" s="1"/>
  <c r="Y33" i="4"/>
  <c r="AP33" i="4" s="1"/>
  <c r="Y31" i="4"/>
  <c r="AP31" i="4" s="1"/>
  <c r="Y29" i="4"/>
  <c r="AP29" i="4" s="1"/>
  <c r="AP27" i="4"/>
  <c r="Y25" i="4"/>
  <c r="AP25" i="4" s="1"/>
  <c r="AP23" i="4"/>
  <c r="Y21" i="4"/>
  <c r="AP21" i="4" s="1"/>
  <c r="Y19" i="4"/>
  <c r="AP19" i="4" s="1"/>
  <c r="Y17" i="4"/>
  <c r="AP17" i="4" s="1"/>
  <c r="Y15" i="4"/>
  <c r="AP15" i="4" s="1"/>
  <c r="Y13" i="4"/>
  <c r="AP13" i="4" s="1"/>
  <c r="Y11" i="4"/>
  <c r="AP11" i="4" s="1"/>
  <c r="N39" i="4"/>
  <c r="V37" i="4"/>
  <c r="N37" i="4" s="1"/>
  <c r="V35" i="4"/>
  <c r="N35" i="4" s="1"/>
  <c r="V33" i="4"/>
  <c r="N33" i="4" s="1"/>
  <c r="V31" i="4"/>
  <c r="N31" i="4" s="1"/>
  <c r="V29" i="4"/>
  <c r="N29" i="4" s="1"/>
  <c r="V25" i="4"/>
  <c r="N25" i="4" s="1"/>
  <c r="V23" i="4"/>
  <c r="N23" i="4" s="1"/>
  <c r="V21" i="4"/>
  <c r="N21" i="4" s="1"/>
  <c r="V19" i="4"/>
  <c r="N19" i="4" s="1"/>
  <c r="V17" i="4"/>
  <c r="N17" i="4" s="1"/>
  <c r="V15" i="4"/>
  <c r="N15" i="4" s="1"/>
  <c r="N13" i="4"/>
  <c r="V11" i="4"/>
  <c r="N11" i="4" s="1"/>
  <c r="U37" i="4"/>
  <c r="U35" i="4"/>
  <c r="U33" i="4"/>
  <c r="U31" i="4"/>
  <c r="U29" i="4"/>
  <c r="U27" i="4"/>
  <c r="U25" i="4"/>
  <c r="U23" i="4"/>
  <c r="U21" i="4"/>
  <c r="U19" i="4"/>
  <c r="U17" i="4"/>
  <c r="U15" i="4"/>
  <c r="U11" i="4"/>
  <c r="K8" i="1"/>
  <c r="AQ12" i="4"/>
  <c r="AQ14" i="4"/>
  <c r="AQ16" i="4"/>
  <c r="AQ17" i="4"/>
  <c r="AQ18" i="4"/>
  <c r="AQ20" i="4"/>
  <c r="AQ22" i="4"/>
  <c r="AQ24" i="4"/>
  <c r="AQ26" i="4"/>
  <c r="AQ27" i="4"/>
  <c r="AQ28" i="4"/>
  <c r="AQ30" i="4"/>
  <c r="AQ32" i="4"/>
  <c r="AQ34" i="4"/>
  <c r="AQ35" i="4"/>
  <c r="AQ36" i="4"/>
  <c r="AQ38" i="4"/>
  <c r="AQ41" i="4"/>
  <c r="AQ10" i="4"/>
  <c r="AP12" i="4"/>
  <c r="AP14" i="4"/>
  <c r="AP16" i="4"/>
  <c r="AP18" i="4"/>
  <c r="AP20" i="4"/>
  <c r="AP22" i="4"/>
  <c r="AP24" i="4"/>
  <c r="AP26" i="4"/>
  <c r="AP28" i="4"/>
  <c r="AP30" i="4"/>
  <c r="AP32" i="4"/>
  <c r="AP34" i="4"/>
  <c r="AP36" i="4"/>
  <c r="AP38" i="4"/>
  <c r="AP40" i="4"/>
  <c r="AP41" i="4"/>
  <c r="AP10" i="4"/>
  <c r="BC13" i="4" l="1"/>
  <c r="BB13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10" i="4"/>
  <c r="O41" i="4"/>
  <c r="G41" i="4"/>
  <c r="O40" i="4"/>
  <c r="G40" i="4"/>
  <c r="O39" i="4"/>
  <c r="G39" i="4"/>
  <c r="O38" i="4"/>
  <c r="G38" i="4"/>
  <c r="O37" i="4"/>
  <c r="G37" i="4"/>
  <c r="O36" i="4"/>
  <c r="G36" i="4"/>
  <c r="O35" i="4"/>
  <c r="G35" i="4"/>
  <c r="O34" i="4"/>
  <c r="G34" i="4"/>
  <c r="O33" i="4"/>
  <c r="G33" i="4"/>
  <c r="O32" i="4"/>
  <c r="G32" i="4"/>
  <c r="O31" i="4"/>
  <c r="G31" i="4"/>
  <c r="O30" i="4"/>
  <c r="G30" i="4"/>
  <c r="O29" i="4"/>
  <c r="G29" i="4"/>
  <c r="O28" i="4"/>
  <c r="G28" i="4"/>
  <c r="O27" i="4"/>
  <c r="G27" i="4"/>
  <c r="O26" i="4"/>
  <c r="G26" i="4"/>
  <c r="O25" i="4"/>
  <c r="G25" i="4"/>
  <c r="O24" i="4"/>
  <c r="G24" i="4"/>
  <c r="O23" i="4"/>
  <c r="G23" i="4"/>
  <c r="O22" i="4"/>
  <c r="G22" i="4"/>
  <c r="O21" i="4"/>
  <c r="G21" i="4"/>
  <c r="O20" i="4"/>
  <c r="G20" i="4"/>
  <c r="O19" i="4"/>
  <c r="G19" i="4"/>
  <c r="O18" i="4"/>
  <c r="G18" i="4"/>
  <c r="O17" i="4"/>
  <c r="G17" i="4"/>
  <c r="O16" i="4"/>
  <c r="G16" i="4"/>
  <c r="O15" i="4"/>
  <c r="G15" i="4"/>
  <c r="O14" i="4"/>
  <c r="G14" i="4"/>
  <c r="O13" i="4"/>
  <c r="G13" i="4"/>
  <c r="O12" i="4"/>
  <c r="G12" i="4"/>
  <c r="O11" i="4"/>
  <c r="G11" i="4"/>
  <c r="O10" i="4"/>
  <c r="G10" i="4"/>
  <c r="G9" i="4"/>
  <c r="G8" i="4"/>
  <c r="G7" i="4"/>
  <c r="G6" i="4"/>
  <c r="G5" i="4"/>
  <c r="G4" i="4"/>
  <c r="M8" i="1" l="1"/>
  <c r="J8" i="1" l="1"/>
  <c r="E2" i="3" l="1"/>
  <c r="L8" i="1"/>
  <c r="L12" i="1" s="1"/>
  <c r="K12" i="1" s="1"/>
  <c r="C9" i="3"/>
  <c r="P6" i="4" l="1"/>
  <c r="O6" i="4" s="1"/>
  <c r="P4" i="4"/>
  <c r="O4" i="4" s="1"/>
  <c r="P8" i="4"/>
  <c r="O8" i="4" s="1"/>
  <c r="P7" i="4"/>
  <c r="O7" i="4" s="1"/>
  <c r="P5" i="4"/>
  <c r="O5" i="4" s="1"/>
  <c r="P9" i="4"/>
  <c r="O9" i="4" s="1"/>
  <c r="C21" i="3"/>
  <c r="C19" i="3"/>
  <c r="C17" i="3"/>
  <c r="C15" i="3"/>
  <c r="C13" i="3"/>
  <c r="C11" i="3"/>
  <c r="C7" i="3"/>
  <c r="C5" i="3"/>
  <c r="C3" i="3"/>
  <c r="F8" i="1" l="1"/>
  <c r="E8" i="1"/>
  <c r="B8" i="1"/>
  <c r="H12" i="1" s="1"/>
  <c r="D9" i="4" l="1"/>
  <c r="D4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8" i="4"/>
  <c r="D7" i="4"/>
  <c r="D6" i="4"/>
  <c r="D5" i="4"/>
  <c r="G8" i="1"/>
  <c r="C8" i="1"/>
  <c r="H15" i="4" s="1"/>
  <c r="F41" i="4" l="1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H40" i="4"/>
  <c r="H36" i="4"/>
  <c r="H32" i="4"/>
  <c r="H28" i="4"/>
  <c r="H24" i="4"/>
  <c r="H20" i="4"/>
  <c r="H16" i="4"/>
  <c r="H12" i="4"/>
  <c r="H8" i="4"/>
  <c r="H4" i="4"/>
  <c r="H39" i="4"/>
  <c r="H35" i="4"/>
  <c r="H31" i="4"/>
  <c r="H19" i="4"/>
  <c r="H7" i="4"/>
  <c r="H27" i="4"/>
  <c r="H23" i="4"/>
  <c r="H11" i="4"/>
  <c r="H38" i="4"/>
  <c r="H30" i="4"/>
  <c r="H22" i="4"/>
  <c r="H14" i="4"/>
  <c r="H6" i="4"/>
  <c r="H33" i="4"/>
  <c r="H25" i="4"/>
  <c r="H9" i="4"/>
  <c r="H37" i="4"/>
  <c r="H29" i="4"/>
  <c r="H21" i="4"/>
  <c r="H13" i="4"/>
  <c r="H5" i="4"/>
  <c r="H34" i="4"/>
  <c r="H26" i="4"/>
  <c r="H18" i="4"/>
  <c r="H10" i="4"/>
  <c r="H41" i="4"/>
  <c r="H17" i="4"/>
  <c r="X15" i="4" l="1"/>
  <c r="AB15" i="4" s="1"/>
  <c r="I15" i="4"/>
  <c r="K15" i="4"/>
  <c r="K16" i="4"/>
  <c r="I16" i="4"/>
  <c r="X16" i="4"/>
  <c r="AB16" i="4" s="1"/>
  <c r="X17" i="4"/>
  <c r="AB17" i="4" s="1"/>
  <c r="I17" i="4"/>
  <c r="K17" i="4"/>
  <c r="I26" i="4"/>
  <c r="K26" i="4"/>
  <c r="X26" i="4"/>
  <c r="AB26" i="4" s="1"/>
  <c r="K21" i="4"/>
  <c r="X21" i="4"/>
  <c r="AB21" i="4" s="1"/>
  <c r="I21" i="4"/>
  <c r="I25" i="4"/>
  <c r="X25" i="4"/>
  <c r="AB25" i="4" s="1"/>
  <c r="K25" i="4"/>
  <c r="I22" i="4"/>
  <c r="X22" i="4"/>
  <c r="K22" i="4"/>
  <c r="I23" i="4"/>
  <c r="X23" i="4"/>
  <c r="AB23" i="4" s="1"/>
  <c r="K23" i="4"/>
  <c r="X19" i="4"/>
  <c r="AB19" i="4" s="1"/>
  <c r="I19" i="4"/>
  <c r="K19" i="4"/>
  <c r="K4" i="4"/>
  <c r="I4" i="4"/>
  <c r="I20" i="4"/>
  <c r="K20" i="4"/>
  <c r="X20" i="4"/>
  <c r="AB20" i="4" s="1"/>
  <c r="X36" i="4"/>
  <c r="AB36" i="4" s="1"/>
  <c r="I36" i="4"/>
  <c r="K36" i="4"/>
  <c r="X10" i="4"/>
  <c r="I10" i="4"/>
  <c r="K10" i="4"/>
  <c r="I5" i="4"/>
  <c r="K5" i="4"/>
  <c r="X37" i="4"/>
  <c r="AB37" i="4" s="1"/>
  <c r="K37" i="4"/>
  <c r="I37" i="4"/>
  <c r="I6" i="4"/>
  <c r="K6" i="4"/>
  <c r="I38" i="4"/>
  <c r="X38" i="4"/>
  <c r="AB38" i="4" s="1"/>
  <c r="K38" i="4"/>
  <c r="I7" i="4"/>
  <c r="K7" i="4"/>
  <c r="K35" i="4"/>
  <c r="X35" i="4"/>
  <c r="AB35" i="4" s="1"/>
  <c r="I35" i="4"/>
  <c r="X12" i="4"/>
  <c r="AB12" i="4" s="1"/>
  <c r="I12" i="4"/>
  <c r="K12" i="4"/>
  <c r="I28" i="4"/>
  <c r="K28" i="4"/>
  <c r="X28" i="4"/>
  <c r="K18" i="4"/>
  <c r="X18" i="4"/>
  <c r="AB18" i="4" s="1"/>
  <c r="I18" i="4"/>
  <c r="X13" i="4"/>
  <c r="AA13" i="4" s="1"/>
  <c r="K13" i="4"/>
  <c r="AV13" i="4" s="1"/>
  <c r="I13" i="4"/>
  <c r="I9" i="4"/>
  <c r="K9" i="4"/>
  <c r="I14" i="4"/>
  <c r="X14" i="4"/>
  <c r="AB14" i="4" s="1"/>
  <c r="K14" i="4"/>
  <c r="AY14" i="4" s="1"/>
  <c r="K11" i="4"/>
  <c r="I11" i="4"/>
  <c r="I39" i="4"/>
  <c r="K39" i="4"/>
  <c r="X39" i="4"/>
  <c r="AB39" i="4" s="1"/>
  <c r="X32" i="4"/>
  <c r="K32" i="4"/>
  <c r="I32" i="4"/>
  <c r="I41" i="4"/>
  <c r="K41" i="4"/>
  <c r="X41" i="4"/>
  <c r="K34" i="4"/>
  <c r="I34" i="4"/>
  <c r="X34" i="4"/>
  <c r="AB34" i="4" s="1"/>
  <c r="X29" i="4"/>
  <c r="AB29" i="4" s="1"/>
  <c r="I29" i="4"/>
  <c r="K29" i="4"/>
  <c r="K33" i="4"/>
  <c r="X33" i="4"/>
  <c r="I33" i="4"/>
  <c r="X30" i="4"/>
  <c r="AB30" i="4" s="1"/>
  <c r="K30" i="4"/>
  <c r="I30" i="4"/>
  <c r="X27" i="4"/>
  <c r="I27" i="4"/>
  <c r="K27" i="4"/>
  <c r="I31" i="4"/>
  <c r="X31" i="4"/>
  <c r="AB31" i="4" s="1"/>
  <c r="K31" i="4"/>
  <c r="I8" i="4"/>
  <c r="K8" i="4"/>
  <c r="K24" i="4"/>
  <c r="I24" i="4"/>
  <c r="X24" i="4"/>
  <c r="AB24" i="4" s="1"/>
  <c r="K40" i="4"/>
  <c r="I40" i="4"/>
  <c r="X40" i="4"/>
  <c r="BF13" i="4" l="1"/>
  <c r="AB13" i="4"/>
  <c r="AC13" i="4" s="1"/>
  <c r="AE13" i="4" s="1"/>
  <c r="AF13" i="4" s="1"/>
  <c r="AA40" i="4"/>
  <c r="T40" i="4"/>
  <c r="AY8" i="4"/>
  <c r="AZ8" i="4" s="1"/>
  <c r="L8" i="4"/>
  <c r="R8" i="4" s="1"/>
  <c r="Q8" i="4" s="1"/>
  <c r="AW8" i="4"/>
  <c r="AX8" i="4" s="1"/>
  <c r="AA33" i="4"/>
  <c r="T33" i="4"/>
  <c r="L34" i="4"/>
  <c r="AY34" i="4"/>
  <c r="AZ34" i="4" s="1"/>
  <c r="AW34" i="4"/>
  <c r="AX34" i="4" s="1"/>
  <c r="AA41" i="4"/>
  <c r="T41" i="4"/>
  <c r="AY32" i="4"/>
  <c r="AZ32" i="4" s="1"/>
  <c r="L32" i="4"/>
  <c r="AW32" i="4"/>
  <c r="AX32" i="4" s="1"/>
  <c r="AS11" i="4"/>
  <c r="AO11" i="4"/>
  <c r="J11" i="4"/>
  <c r="AR11" i="4"/>
  <c r="AR18" i="4"/>
  <c r="AO18" i="4"/>
  <c r="AS18" i="4"/>
  <c r="J18" i="4"/>
  <c r="AA28" i="4"/>
  <c r="T28" i="4"/>
  <c r="AS10" i="4"/>
  <c r="J10" i="4"/>
  <c r="AR10" i="4"/>
  <c r="AO10" i="4"/>
  <c r="AA22" i="4"/>
  <c r="T22" i="4"/>
  <c r="L15" i="4"/>
  <c r="AW15" i="4"/>
  <c r="AX15" i="4" s="1"/>
  <c r="AY15" i="4"/>
  <c r="AZ15" i="4" s="1"/>
  <c r="AO40" i="4"/>
  <c r="AR40" i="4"/>
  <c r="AS40" i="4"/>
  <c r="J40" i="4"/>
  <c r="AW24" i="4"/>
  <c r="AX24" i="4" s="1"/>
  <c r="L24" i="4"/>
  <c r="AY24" i="4"/>
  <c r="AZ24" i="4" s="1"/>
  <c r="BC8" i="4"/>
  <c r="AO8" i="4"/>
  <c r="BB8" i="4"/>
  <c r="AR8" i="4"/>
  <c r="AS8" i="4"/>
  <c r="J8" i="4"/>
  <c r="AA32" i="4"/>
  <c r="T32" i="4"/>
  <c r="AW14" i="4"/>
  <c r="AX14" i="4" s="1"/>
  <c r="L14" i="4"/>
  <c r="AZ14" i="4"/>
  <c r="AS35" i="4"/>
  <c r="AO35" i="4"/>
  <c r="AR35" i="4"/>
  <c r="J35" i="4"/>
  <c r="J38" i="4"/>
  <c r="AO38" i="4"/>
  <c r="AS38" i="4"/>
  <c r="AR38" i="4"/>
  <c r="J37" i="4"/>
  <c r="AR37" i="4"/>
  <c r="AS37" i="4"/>
  <c r="AO37" i="4"/>
  <c r="AA10" i="4"/>
  <c r="T10" i="4"/>
  <c r="AY40" i="4"/>
  <c r="AZ40" i="4" s="1"/>
  <c r="AW40" i="4"/>
  <c r="AX40" i="4" s="1"/>
  <c r="L40" i="4"/>
  <c r="AB33" i="4"/>
  <c r="AB40" i="4"/>
  <c r="AA24" i="4"/>
  <c r="AC24" i="4" s="1"/>
  <c r="T24" i="4"/>
  <c r="AS31" i="4"/>
  <c r="AR31" i="4"/>
  <c r="AO31" i="4"/>
  <c r="J31" i="4"/>
  <c r="AW27" i="4"/>
  <c r="AX27" i="4" s="1"/>
  <c r="L27" i="4"/>
  <c r="AY27" i="4"/>
  <c r="AZ27" i="4" s="1"/>
  <c r="AA30" i="4"/>
  <c r="AC30" i="4" s="1"/>
  <c r="T30" i="4"/>
  <c r="AS33" i="4"/>
  <c r="AO33" i="4"/>
  <c r="J33" i="4"/>
  <c r="AR33" i="4"/>
  <c r="AA29" i="4"/>
  <c r="AC29" i="4" s="1"/>
  <c r="T29" i="4"/>
  <c r="AO34" i="4"/>
  <c r="AS34" i="4"/>
  <c r="AR34" i="4"/>
  <c r="J34" i="4"/>
  <c r="AO41" i="4"/>
  <c r="AS41" i="4"/>
  <c r="J41" i="4"/>
  <c r="AR41" i="4"/>
  <c r="AB32" i="4"/>
  <c r="J39" i="4"/>
  <c r="AO39" i="4"/>
  <c r="AR39" i="4"/>
  <c r="AS39" i="4"/>
  <c r="AS14" i="4"/>
  <c r="AR14" i="4"/>
  <c r="AO14" i="4"/>
  <c r="J14" i="4"/>
  <c r="AS9" i="4"/>
  <c r="AO9" i="4"/>
  <c r="J9" i="4"/>
  <c r="BB9" i="4"/>
  <c r="AR9" i="4"/>
  <c r="BC9" i="4"/>
  <c r="AW13" i="4"/>
  <c r="AX13" i="4" s="1"/>
  <c r="AY13" i="4"/>
  <c r="AZ13" i="4" s="1"/>
  <c r="L13" i="4"/>
  <c r="AT13" i="4"/>
  <c r="AU13" i="4"/>
  <c r="AW18" i="4"/>
  <c r="AX18" i="4" s="1"/>
  <c r="L18" i="4"/>
  <c r="AY18" i="4"/>
  <c r="AZ18" i="4" s="1"/>
  <c r="AS28" i="4"/>
  <c r="J28" i="4"/>
  <c r="AR28" i="4"/>
  <c r="AO28" i="4"/>
  <c r="AO12" i="4"/>
  <c r="J12" i="4"/>
  <c r="AS12" i="4"/>
  <c r="AR12" i="4"/>
  <c r="AW35" i="4"/>
  <c r="AX35" i="4" s="1"/>
  <c r="L35" i="4"/>
  <c r="AY35" i="4"/>
  <c r="AZ35" i="4" s="1"/>
  <c r="AR7" i="4"/>
  <c r="BC7" i="4"/>
  <c r="AS7" i="4"/>
  <c r="AO7" i="4"/>
  <c r="J7" i="4"/>
  <c r="BB7" i="4"/>
  <c r="AA38" i="4"/>
  <c r="AC38" i="4" s="1"/>
  <c r="T38" i="4"/>
  <c r="AA37" i="4"/>
  <c r="AC37" i="4" s="1"/>
  <c r="T37" i="4"/>
  <c r="AS5" i="4"/>
  <c r="AO5" i="4"/>
  <c r="AR5" i="4"/>
  <c r="J5" i="4"/>
  <c r="BB5" i="4"/>
  <c r="BC5" i="4"/>
  <c r="AB10" i="4"/>
  <c r="AA36" i="4"/>
  <c r="AC36" i="4" s="1"/>
  <c r="T36" i="4"/>
  <c r="BC4" i="4"/>
  <c r="AS4" i="4"/>
  <c r="AO4" i="4"/>
  <c r="BB4" i="4"/>
  <c r="AR4" i="4"/>
  <c r="J4" i="4"/>
  <c r="AA23" i="4"/>
  <c r="AC23" i="4" s="1"/>
  <c r="T23" i="4"/>
  <c r="AW22" i="4"/>
  <c r="AX22" i="4" s="1"/>
  <c r="AY22" i="4"/>
  <c r="AZ22" i="4" s="1"/>
  <c r="L22" i="4"/>
  <c r="AS25" i="4"/>
  <c r="J25" i="4"/>
  <c r="AO25" i="4"/>
  <c r="AR25" i="4"/>
  <c r="AS26" i="4"/>
  <c r="J26" i="4"/>
  <c r="AO26" i="4"/>
  <c r="AR26" i="4"/>
  <c r="AS16" i="4"/>
  <c r="J16" i="4"/>
  <c r="AR16" i="4"/>
  <c r="AO16" i="4"/>
  <c r="AS24" i="4"/>
  <c r="J24" i="4"/>
  <c r="AO24" i="4"/>
  <c r="AR24" i="4"/>
  <c r="AW31" i="4"/>
  <c r="AX31" i="4" s="1"/>
  <c r="L31" i="4"/>
  <c r="AY31" i="4"/>
  <c r="AZ31" i="4" s="1"/>
  <c r="J27" i="4"/>
  <c r="AO27" i="4"/>
  <c r="AS27" i="4"/>
  <c r="AR27" i="4"/>
  <c r="AS30" i="4"/>
  <c r="AO30" i="4"/>
  <c r="J30" i="4"/>
  <c r="AR30" i="4"/>
  <c r="L29" i="4"/>
  <c r="AY29" i="4"/>
  <c r="AZ29" i="4" s="1"/>
  <c r="AW29" i="4"/>
  <c r="AX29" i="4" s="1"/>
  <c r="AA12" i="4"/>
  <c r="AC12" i="4" s="1"/>
  <c r="T12" i="4"/>
  <c r="L6" i="4"/>
  <c r="R6" i="4" s="1"/>
  <c r="Q6" i="4" s="1"/>
  <c r="AW6" i="4"/>
  <c r="AX6" i="4" s="1"/>
  <c r="AY6" i="4"/>
  <c r="AZ6" i="4" s="1"/>
  <c r="AW20" i="4"/>
  <c r="AX20" i="4" s="1"/>
  <c r="L20" i="4"/>
  <c r="AY20" i="4"/>
  <c r="AZ20" i="4" s="1"/>
  <c r="AW4" i="4"/>
  <c r="AX4" i="4" s="1"/>
  <c r="AY4" i="4"/>
  <c r="AZ4" i="4" s="1"/>
  <c r="L4" i="4"/>
  <c r="R4" i="4" s="1"/>
  <c r="Q4" i="4" s="1"/>
  <c r="L19" i="4"/>
  <c r="AY19" i="4"/>
  <c r="AZ19" i="4" s="1"/>
  <c r="AW19" i="4"/>
  <c r="AX19" i="4" s="1"/>
  <c r="AO23" i="4"/>
  <c r="AR23" i="4"/>
  <c r="AS23" i="4"/>
  <c r="J23" i="4"/>
  <c r="AR21" i="4"/>
  <c r="AS21" i="4"/>
  <c r="AO21" i="4"/>
  <c r="J21" i="4"/>
  <c r="AW17" i="4"/>
  <c r="AX17" i="4" s="1"/>
  <c r="L17" i="4"/>
  <c r="AY17" i="4"/>
  <c r="AZ17" i="4" s="1"/>
  <c r="AY16" i="4"/>
  <c r="AZ16" i="4" s="1"/>
  <c r="L16" i="4"/>
  <c r="AW16" i="4"/>
  <c r="AX16" i="4" s="1"/>
  <c r="AA31" i="4"/>
  <c r="AC31" i="4" s="1"/>
  <c r="T31" i="4"/>
  <c r="AA27" i="4"/>
  <c r="T27" i="4"/>
  <c r="AY30" i="4"/>
  <c r="AZ30" i="4" s="1"/>
  <c r="L30" i="4"/>
  <c r="AW30" i="4"/>
  <c r="AX30" i="4" s="1"/>
  <c r="AW33" i="4"/>
  <c r="AX33" i="4" s="1"/>
  <c r="AY33" i="4"/>
  <c r="AZ33" i="4" s="1"/>
  <c r="L33" i="4"/>
  <c r="AS29" i="4"/>
  <c r="AR29" i="4"/>
  <c r="J29" i="4"/>
  <c r="AO29" i="4"/>
  <c r="L41" i="4"/>
  <c r="AW41" i="4"/>
  <c r="AX41" i="4" s="1"/>
  <c r="AY41" i="4"/>
  <c r="AZ41" i="4" s="1"/>
  <c r="AA39" i="4"/>
  <c r="AC39" i="4" s="1"/>
  <c r="T39" i="4"/>
  <c r="AW11" i="4"/>
  <c r="AX11" i="4" s="1"/>
  <c r="L11" i="4"/>
  <c r="AY11" i="4"/>
  <c r="AZ11" i="4" s="1"/>
  <c r="AY28" i="4"/>
  <c r="AZ28" i="4" s="1"/>
  <c r="L28" i="4"/>
  <c r="AW28" i="4"/>
  <c r="AX28" i="4" s="1"/>
  <c r="AS6" i="4"/>
  <c r="BB6" i="4"/>
  <c r="J6" i="4"/>
  <c r="AO6" i="4"/>
  <c r="BC6" i="4"/>
  <c r="AR6" i="4"/>
  <c r="AY36" i="4"/>
  <c r="AZ36" i="4" s="1"/>
  <c r="L36" i="4"/>
  <c r="AW36" i="4"/>
  <c r="AX36" i="4" s="1"/>
  <c r="AR20" i="4"/>
  <c r="AO20" i="4"/>
  <c r="AS20" i="4"/>
  <c r="J20" i="4"/>
  <c r="AO19" i="4"/>
  <c r="AR19" i="4"/>
  <c r="AS19" i="4"/>
  <c r="J19" i="4"/>
  <c r="AS22" i="4"/>
  <c r="AR22" i="4"/>
  <c r="J22" i="4"/>
  <c r="AO22" i="4"/>
  <c r="AW25" i="4"/>
  <c r="AX25" i="4" s="1"/>
  <c r="L25" i="4"/>
  <c r="AY25" i="4"/>
  <c r="AZ25" i="4" s="1"/>
  <c r="AA21" i="4"/>
  <c r="AC21" i="4" s="1"/>
  <c r="T21" i="4"/>
  <c r="AA26" i="4"/>
  <c r="AC26" i="4" s="1"/>
  <c r="T26" i="4"/>
  <c r="AO17" i="4"/>
  <c r="AS17" i="4"/>
  <c r="J17" i="4"/>
  <c r="AR17" i="4"/>
  <c r="AR15" i="4"/>
  <c r="AS15" i="4"/>
  <c r="J15" i="4"/>
  <c r="AO15" i="4"/>
  <c r="AB27" i="4"/>
  <c r="AA34" i="4"/>
  <c r="AC34" i="4" s="1"/>
  <c r="T34" i="4"/>
  <c r="AB41" i="4"/>
  <c r="J32" i="4"/>
  <c r="AR32" i="4"/>
  <c r="AS32" i="4"/>
  <c r="AO32" i="4"/>
  <c r="AW39" i="4"/>
  <c r="AX39" i="4" s="1"/>
  <c r="L39" i="4"/>
  <c r="AY39" i="4"/>
  <c r="AZ39" i="4" s="1"/>
  <c r="AA14" i="4"/>
  <c r="AC14" i="4" s="1"/>
  <c r="T14" i="4"/>
  <c r="AY9" i="4"/>
  <c r="AZ9" i="4" s="1"/>
  <c r="AW9" i="4"/>
  <c r="AX9" i="4" s="1"/>
  <c r="L9" i="4"/>
  <c r="R9" i="4" s="1"/>
  <c r="Q9" i="4" s="1"/>
  <c r="AO13" i="4"/>
  <c r="AS13" i="4"/>
  <c r="AR13" i="4"/>
  <c r="J13" i="4"/>
  <c r="AA18" i="4"/>
  <c r="AC18" i="4" s="1"/>
  <c r="T18" i="4"/>
  <c r="AB28" i="4"/>
  <c r="AY12" i="4"/>
  <c r="AZ12" i="4" s="1"/>
  <c r="AW12" i="4"/>
  <c r="AX12" i="4" s="1"/>
  <c r="L12" i="4"/>
  <c r="AA35" i="4"/>
  <c r="AC35" i="4" s="1"/>
  <c r="T35" i="4"/>
  <c r="AW7" i="4"/>
  <c r="AX7" i="4" s="1"/>
  <c r="L7" i="4"/>
  <c r="R7" i="4" s="1"/>
  <c r="Q7" i="4" s="1"/>
  <c r="AY7" i="4"/>
  <c r="AZ7" i="4" s="1"/>
  <c r="L38" i="4"/>
  <c r="AY38" i="4"/>
  <c r="AZ38" i="4" s="1"/>
  <c r="AW38" i="4"/>
  <c r="AX38" i="4" s="1"/>
  <c r="AW37" i="4"/>
  <c r="AX37" i="4" s="1"/>
  <c r="L37" i="4"/>
  <c r="AY37" i="4"/>
  <c r="AZ37" i="4" s="1"/>
  <c r="L5" i="4"/>
  <c r="R5" i="4" s="1"/>
  <c r="Q5" i="4" s="1"/>
  <c r="AW5" i="4"/>
  <c r="AX5" i="4" s="1"/>
  <c r="AY5" i="4"/>
  <c r="AZ5" i="4" s="1"/>
  <c r="AW10" i="4"/>
  <c r="AX10" i="4" s="1"/>
  <c r="L10" i="4"/>
  <c r="AY10" i="4"/>
  <c r="AZ10" i="4" s="1"/>
  <c r="J36" i="4"/>
  <c r="AR36" i="4"/>
  <c r="AS36" i="4"/>
  <c r="AO36" i="4"/>
  <c r="AA20" i="4"/>
  <c r="AC20" i="4" s="1"/>
  <c r="T20" i="4"/>
  <c r="AA19" i="4"/>
  <c r="AC19" i="4" s="1"/>
  <c r="T19" i="4"/>
  <c r="AW23" i="4"/>
  <c r="AX23" i="4" s="1"/>
  <c r="L23" i="4"/>
  <c r="AY23" i="4"/>
  <c r="AZ23" i="4" s="1"/>
  <c r="AB22" i="4"/>
  <c r="AA25" i="4"/>
  <c r="AC25" i="4" s="1"/>
  <c r="T25" i="4"/>
  <c r="AW21" i="4"/>
  <c r="AX21" i="4" s="1"/>
  <c r="AY21" i="4"/>
  <c r="AZ21" i="4" s="1"/>
  <c r="L21" i="4"/>
  <c r="AW26" i="4"/>
  <c r="AX26" i="4" s="1"/>
  <c r="L26" i="4"/>
  <c r="AY26" i="4"/>
  <c r="AZ26" i="4" s="1"/>
  <c r="AA17" i="4"/>
  <c r="AC17" i="4" s="1"/>
  <c r="T17" i="4"/>
  <c r="AA16" i="4"/>
  <c r="AC16" i="4" s="1"/>
  <c r="T16" i="4"/>
  <c r="AA15" i="4"/>
  <c r="AC15" i="4" s="1"/>
  <c r="T15" i="4"/>
  <c r="BB15" i="4" s="1"/>
  <c r="BC15" i="4" l="1"/>
  <c r="AC40" i="4"/>
  <c r="AD40" i="4" s="1"/>
  <c r="BA15" i="4"/>
  <c r="BA41" i="4"/>
  <c r="BA33" i="4"/>
  <c r="BA13" i="4"/>
  <c r="BA36" i="4"/>
  <c r="BA11" i="4"/>
  <c r="BA16" i="4"/>
  <c r="BA4" i="4"/>
  <c r="BF4" i="4" s="1"/>
  <c r="AC32" i="4"/>
  <c r="AE32" i="4" s="1"/>
  <c r="AD13" i="4"/>
  <c r="AC10" i="4"/>
  <c r="BA25" i="4"/>
  <c r="BA30" i="4"/>
  <c r="BA17" i="4"/>
  <c r="BA37" i="4"/>
  <c r="BA8" i="4"/>
  <c r="BD8" i="4" s="1"/>
  <c r="BA29" i="4"/>
  <c r="BA5" i="4"/>
  <c r="BE5" i="4" s="1"/>
  <c r="AC33" i="4"/>
  <c r="AE33" i="4" s="1"/>
  <c r="BA24" i="4"/>
  <c r="BA32" i="4"/>
  <c r="BA34" i="4"/>
  <c r="AC22" i="4"/>
  <c r="AE22" i="4" s="1"/>
  <c r="AC41" i="4"/>
  <c r="AE41" i="4" s="1"/>
  <c r="BA14" i="4"/>
  <c r="AE14" i="4"/>
  <c r="AD14" i="4"/>
  <c r="AD37" i="4"/>
  <c r="AE37" i="4"/>
  <c r="AE16" i="4"/>
  <c r="AD16" i="4"/>
  <c r="AD19" i="4"/>
  <c r="AE19" i="4"/>
  <c r="AE21" i="4"/>
  <c r="AD21" i="4"/>
  <c r="AE39" i="4"/>
  <c r="AD39" i="4"/>
  <c r="AE31" i="4"/>
  <c r="AD31" i="4"/>
  <c r="AE38" i="4"/>
  <c r="AD38" i="4"/>
  <c r="AD29" i="4"/>
  <c r="AE29" i="4"/>
  <c r="AD35" i="4"/>
  <c r="AE35" i="4"/>
  <c r="AE34" i="4"/>
  <c r="AD34" i="4"/>
  <c r="AE15" i="4"/>
  <c r="AD15" i="4"/>
  <c r="AD17" i="4"/>
  <c r="AE17" i="4"/>
  <c r="AD20" i="4"/>
  <c r="AE20" i="4"/>
  <c r="AE26" i="4"/>
  <c r="AD26" i="4"/>
  <c r="AD12" i="4"/>
  <c r="AE12" i="4"/>
  <c r="AE23" i="4"/>
  <c r="AD23" i="4"/>
  <c r="AE36" i="4"/>
  <c r="AD36" i="4"/>
  <c r="BC25" i="4"/>
  <c r="BB25" i="4"/>
  <c r="R23" i="4"/>
  <c r="Q23" i="4" s="1"/>
  <c r="W23" i="4"/>
  <c r="BC20" i="4"/>
  <c r="BB20" i="4"/>
  <c r="BC18" i="4"/>
  <c r="BB18" i="4"/>
  <c r="R39" i="4"/>
  <c r="Q39" i="4" s="1"/>
  <c r="W39" i="4"/>
  <c r="R33" i="4"/>
  <c r="Q33" i="4" s="1"/>
  <c r="W33" i="4"/>
  <c r="BB31" i="4"/>
  <c r="BC31" i="4"/>
  <c r="AE25" i="4"/>
  <c r="AD25" i="4"/>
  <c r="W20" i="4"/>
  <c r="R20" i="4"/>
  <c r="Q20" i="4" s="1"/>
  <c r="AU4" i="4"/>
  <c r="AT4" i="4"/>
  <c r="AV4" i="4"/>
  <c r="BC36" i="4"/>
  <c r="BB36" i="4"/>
  <c r="AU5" i="4"/>
  <c r="AT5" i="4"/>
  <c r="BF5" i="4"/>
  <c r="AV5" i="4"/>
  <c r="W35" i="4"/>
  <c r="R35" i="4"/>
  <c r="Q35" i="4" s="1"/>
  <c r="BD13" i="4"/>
  <c r="BE13" i="4"/>
  <c r="W40" i="4"/>
  <c r="R40" i="4"/>
  <c r="Q40" i="4" s="1"/>
  <c r="BB10" i="4"/>
  <c r="BC10" i="4"/>
  <c r="BC28" i="4"/>
  <c r="BB28" i="4"/>
  <c r="R37" i="4"/>
  <c r="Q37" i="4" s="1"/>
  <c r="W37" i="4"/>
  <c r="R38" i="4"/>
  <c r="Q38" i="4" s="1"/>
  <c r="W38" i="4"/>
  <c r="BB35" i="4"/>
  <c r="BC35" i="4"/>
  <c r="AD18" i="4"/>
  <c r="AE18" i="4"/>
  <c r="BC14" i="4"/>
  <c r="BB14" i="4"/>
  <c r="BC26" i="4"/>
  <c r="BB26" i="4"/>
  <c r="W36" i="4"/>
  <c r="R36" i="4"/>
  <c r="Q36" i="4" s="1"/>
  <c r="R11" i="4"/>
  <c r="Q11" i="4" s="1"/>
  <c r="W11" i="4"/>
  <c r="W29" i="4"/>
  <c r="R29" i="4"/>
  <c r="Q29" i="4" s="1"/>
  <c r="W22" i="4"/>
  <c r="R22" i="4"/>
  <c r="Q22" i="4" s="1"/>
  <c r="BC37" i="4"/>
  <c r="BB37" i="4"/>
  <c r="AT7" i="4"/>
  <c r="AU7" i="4"/>
  <c r="BF7" i="4"/>
  <c r="AV7" i="4"/>
  <c r="BB30" i="4"/>
  <c r="BC30" i="4"/>
  <c r="R14" i="4"/>
  <c r="Q14" i="4" s="1"/>
  <c r="W14" i="4"/>
  <c r="AT8" i="4"/>
  <c r="AU8" i="4"/>
  <c r="BF8" i="4"/>
  <c r="AV8" i="4"/>
  <c r="W24" i="4"/>
  <c r="W44" i="4" s="1"/>
  <c r="R24" i="4"/>
  <c r="Q24" i="4" s="1"/>
  <c r="W15" i="4"/>
  <c r="R15" i="4"/>
  <c r="Q15" i="4" s="1"/>
  <c r="BC41" i="4"/>
  <c r="BB41" i="4"/>
  <c r="W34" i="4"/>
  <c r="R34" i="4"/>
  <c r="Q34" i="4" s="1"/>
  <c r="BA26" i="4"/>
  <c r="BA21" i="4"/>
  <c r="BB19" i="4"/>
  <c r="BC19" i="4"/>
  <c r="BA10" i="4"/>
  <c r="BA7" i="4"/>
  <c r="AC28" i="4"/>
  <c r="AC27" i="4"/>
  <c r="R25" i="4"/>
  <c r="Q25" i="4" s="1"/>
  <c r="W25" i="4"/>
  <c r="R28" i="4"/>
  <c r="Q28" i="4" s="1"/>
  <c r="BB27" i="4"/>
  <c r="BC27" i="4"/>
  <c r="W17" i="4"/>
  <c r="R17" i="4"/>
  <c r="Q17" i="4" s="1"/>
  <c r="BA19" i="4"/>
  <c r="BA31" i="4"/>
  <c r="BA22" i="4"/>
  <c r="BA18" i="4"/>
  <c r="AT9" i="4"/>
  <c r="BC24" i="4"/>
  <c r="BB24" i="4"/>
  <c r="BA40" i="4"/>
  <c r="BC33" i="4"/>
  <c r="BB33" i="4"/>
  <c r="R30" i="4"/>
  <c r="Q30" i="4" s="1"/>
  <c r="W30" i="4"/>
  <c r="BB23" i="4"/>
  <c r="BC23" i="4"/>
  <c r="AU9" i="4"/>
  <c r="AV9" i="4"/>
  <c r="BF9" i="4"/>
  <c r="BC16" i="4"/>
  <c r="BB16" i="4"/>
  <c r="W21" i="4"/>
  <c r="R21" i="4"/>
  <c r="Q21" i="4" s="1"/>
  <c r="BA12" i="4"/>
  <c r="BC17" i="4"/>
  <c r="BB17" i="4"/>
  <c r="R26" i="4"/>
  <c r="Q26" i="4" s="1"/>
  <c r="W26" i="4"/>
  <c r="BA23" i="4"/>
  <c r="R10" i="4"/>
  <c r="Q10" i="4" s="1"/>
  <c r="W10" i="4"/>
  <c r="W8" i="4" s="1"/>
  <c r="BA38" i="4"/>
  <c r="R12" i="4"/>
  <c r="Q12" i="4" s="1"/>
  <c r="W12" i="4"/>
  <c r="BA9" i="4"/>
  <c r="BA39" i="4"/>
  <c r="BB34" i="4"/>
  <c r="BC34" i="4"/>
  <c r="AD24" i="4"/>
  <c r="AE24" i="4"/>
  <c r="BC21" i="4"/>
  <c r="BB21" i="4"/>
  <c r="AU6" i="4"/>
  <c r="AT6" i="4"/>
  <c r="AV6" i="4"/>
  <c r="BF6" i="4"/>
  <c r="BA28" i="4"/>
  <c r="BB39" i="4"/>
  <c r="BC39" i="4"/>
  <c r="W41" i="4"/>
  <c r="R41" i="4"/>
  <c r="Q41" i="4" s="1"/>
  <c r="W16" i="4"/>
  <c r="R16" i="4"/>
  <c r="Q16" i="4" s="1"/>
  <c r="W19" i="4"/>
  <c r="R19" i="4"/>
  <c r="Q19" i="4" s="1"/>
  <c r="BA20" i="4"/>
  <c r="BA6" i="4"/>
  <c r="BC12" i="4"/>
  <c r="BB12" i="4"/>
  <c r="R31" i="4"/>
  <c r="Q31" i="4" s="1"/>
  <c r="W31" i="4"/>
  <c r="BC38" i="4"/>
  <c r="BB38" i="4"/>
  <c r="BA35" i="4"/>
  <c r="R18" i="4"/>
  <c r="Q18" i="4" s="1"/>
  <c r="W18" i="4"/>
  <c r="R13" i="4"/>
  <c r="Q13" i="4" s="1"/>
  <c r="W13" i="4"/>
  <c r="BC29" i="4"/>
  <c r="BB29" i="4"/>
  <c r="BA27" i="4"/>
  <c r="AE30" i="4"/>
  <c r="AD30" i="4"/>
  <c r="BC32" i="4"/>
  <c r="BB32" i="4"/>
  <c r="BC22" i="4"/>
  <c r="BB22" i="4"/>
  <c r="R32" i="4"/>
  <c r="Q32" i="4" s="1"/>
  <c r="W32" i="4"/>
  <c r="BC40" i="4"/>
  <c r="BB40" i="4"/>
  <c r="BE8" i="4" l="1"/>
  <c r="BD5" i="4"/>
  <c r="AE40" i="4"/>
  <c r="S40" i="4" s="1"/>
  <c r="AD32" i="4"/>
  <c r="AD33" i="4"/>
  <c r="BE4" i="4"/>
  <c r="BD4" i="4"/>
  <c r="BE33" i="4"/>
  <c r="AD22" i="4"/>
  <c r="BD25" i="4"/>
  <c r="BE16" i="4"/>
  <c r="BD37" i="4"/>
  <c r="BE15" i="4"/>
  <c r="AD41" i="4"/>
  <c r="BE37" i="4"/>
  <c r="BD24" i="4"/>
  <c r="BD17" i="4"/>
  <c r="BE41" i="4"/>
  <c r="BD30" i="4"/>
  <c r="BE34" i="4"/>
  <c r="BD15" i="4"/>
  <c r="BE30" i="4"/>
  <c r="BD32" i="4"/>
  <c r="BE14" i="4"/>
  <c r="BE31" i="4"/>
  <c r="BD31" i="4"/>
  <c r="BD21" i="4"/>
  <c r="BE21" i="4"/>
  <c r="AU12" i="4"/>
  <c r="AT12" i="4"/>
  <c r="AV12" i="4"/>
  <c r="BF12" i="4"/>
  <c r="BD28" i="4"/>
  <c r="BE28" i="4"/>
  <c r="BD9" i="4"/>
  <c r="BE9" i="4"/>
  <c r="AU15" i="4"/>
  <c r="AT15" i="4"/>
  <c r="AV15" i="4"/>
  <c r="BF15" i="4"/>
  <c r="AU16" i="4"/>
  <c r="AT16" i="4"/>
  <c r="AV16" i="4"/>
  <c r="BF16" i="4"/>
  <c r="AU33" i="4"/>
  <c r="AT33" i="4"/>
  <c r="AV33" i="4"/>
  <c r="BF33" i="4"/>
  <c r="BD40" i="4"/>
  <c r="BE40" i="4"/>
  <c r="BE18" i="4"/>
  <c r="BD18" i="4"/>
  <c r="BD19" i="4"/>
  <c r="BE19" i="4"/>
  <c r="AD28" i="4"/>
  <c r="AE28" i="4"/>
  <c r="AF28" i="4" s="1"/>
  <c r="AU19" i="4"/>
  <c r="AT19" i="4"/>
  <c r="BF19" i="4"/>
  <c r="AV19" i="4"/>
  <c r="BE26" i="4"/>
  <c r="BD26" i="4"/>
  <c r="AU26" i="4"/>
  <c r="AT26" i="4"/>
  <c r="BF26" i="4"/>
  <c r="AV26" i="4"/>
  <c r="S18" i="4"/>
  <c r="AF18" i="4"/>
  <c r="AU36" i="4"/>
  <c r="AT36" i="4"/>
  <c r="BF36" i="4"/>
  <c r="AV36" i="4"/>
  <c r="BD16" i="4"/>
  <c r="S36" i="4"/>
  <c r="AF36" i="4"/>
  <c r="S15" i="4"/>
  <c r="AF15" i="4"/>
  <c r="S38" i="4"/>
  <c r="AF38" i="4"/>
  <c r="S39" i="4"/>
  <c r="AF39" i="4"/>
  <c r="AU29" i="4"/>
  <c r="AT29" i="4"/>
  <c r="BF29" i="4"/>
  <c r="AV29" i="4"/>
  <c r="AT39" i="4"/>
  <c r="AU39" i="4"/>
  <c r="BF39" i="4"/>
  <c r="AV39" i="4"/>
  <c r="S24" i="4"/>
  <c r="AF24" i="4"/>
  <c r="BE38" i="4"/>
  <c r="BD38" i="4"/>
  <c r="AT24" i="4"/>
  <c r="AU24" i="4"/>
  <c r="BF24" i="4"/>
  <c r="AV24" i="4"/>
  <c r="AT37" i="4"/>
  <c r="AU37" i="4"/>
  <c r="BF37" i="4"/>
  <c r="AV37" i="4"/>
  <c r="AT35" i="4"/>
  <c r="AU35" i="4"/>
  <c r="BF35" i="4"/>
  <c r="AV35" i="4"/>
  <c r="AU20" i="4"/>
  <c r="AT20" i="4"/>
  <c r="BF20" i="4"/>
  <c r="AV20" i="4"/>
  <c r="S12" i="4"/>
  <c r="AF12" i="4"/>
  <c r="S37" i="4"/>
  <c r="AF37" i="4"/>
  <c r="AT40" i="4"/>
  <c r="AU40" i="4"/>
  <c r="AV40" i="4"/>
  <c r="BF40" i="4"/>
  <c r="AT22" i="4"/>
  <c r="AU22" i="4"/>
  <c r="AV22" i="4"/>
  <c r="BF22" i="4"/>
  <c r="AU32" i="4"/>
  <c r="AT32" i="4"/>
  <c r="BF32" i="4"/>
  <c r="AV32" i="4"/>
  <c r="S30" i="4"/>
  <c r="AF30" i="4"/>
  <c r="BD35" i="4"/>
  <c r="BE35" i="4"/>
  <c r="AT21" i="4"/>
  <c r="AU21" i="4"/>
  <c r="AV21" i="4"/>
  <c r="BF21" i="4"/>
  <c r="AT17" i="4"/>
  <c r="AU17" i="4"/>
  <c r="BF17" i="4"/>
  <c r="AV17" i="4"/>
  <c r="BD12" i="4"/>
  <c r="BE12" i="4"/>
  <c r="AF32" i="4"/>
  <c r="S32" i="4"/>
  <c r="AE10" i="4"/>
  <c r="AD10" i="4"/>
  <c r="AE27" i="4"/>
  <c r="AD27" i="4"/>
  <c r="BE7" i="4"/>
  <c r="BD7" i="4"/>
  <c r="AT41" i="4"/>
  <c r="AU41" i="4"/>
  <c r="AV41" i="4"/>
  <c r="BF41" i="4"/>
  <c r="BD41" i="4"/>
  <c r="BE32" i="4"/>
  <c r="BE24" i="4"/>
  <c r="AT10" i="4"/>
  <c r="AU10" i="4"/>
  <c r="BF10" i="4"/>
  <c r="AV10" i="4"/>
  <c r="BE29" i="4"/>
  <c r="BE36" i="4"/>
  <c r="AT18" i="4"/>
  <c r="AU18" i="4"/>
  <c r="AV18" i="4"/>
  <c r="BF18" i="4"/>
  <c r="S17" i="4"/>
  <c r="AF17" i="4"/>
  <c r="AF29" i="4"/>
  <c r="S29" i="4"/>
  <c r="BD20" i="4"/>
  <c r="BE20" i="4"/>
  <c r="BE39" i="4"/>
  <c r="BD39" i="4"/>
  <c r="AF41" i="4"/>
  <c r="S41" i="4"/>
  <c r="AT25" i="4"/>
  <c r="AU25" i="4"/>
  <c r="AV25" i="4"/>
  <c r="BF25" i="4"/>
  <c r="S20" i="4"/>
  <c r="AF20" i="4"/>
  <c r="S35" i="4"/>
  <c r="AF35" i="4"/>
  <c r="S19" i="4"/>
  <c r="AF19" i="4"/>
  <c r="AT38" i="4"/>
  <c r="AU38" i="4"/>
  <c r="BF38" i="4"/>
  <c r="AV38" i="4"/>
  <c r="BD6" i="4"/>
  <c r="BE6" i="4"/>
  <c r="AT34" i="4"/>
  <c r="AU34" i="4"/>
  <c r="AV34" i="4"/>
  <c r="BF34" i="4"/>
  <c r="BE23" i="4"/>
  <c r="BD23" i="4"/>
  <c r="AT23" i="4"/>
  <c r="AU23" i="4"/>
  <c r="BF23" i="4"/>
  <c r="AV23" i="4"/>
  <c r="AF33" i="4"/>
  <c r="S33" i="4"/>
  <c r="BD22" i="4"/>
  <c r="BE22" i="4"/>
  <c r="BE10" i="4"/>
  <c r="BD10" i="4"/>
  <c r="AF22" i="4"/>
  <c r="S22" i="4"/>
  <c r="AT30" i="4"/>
  <c r="AU30" i="4"/>
  <c r="AV30" i="4"/>
  <c r="BF30" i="4"/>
  <c r="BE17" i="4"/>
  <c r="BD33" i="4"/>
  <c r="BE25" i="4"/>
  <c r="AT14" i="4"/>
  <c r="AU14" i="4"/>
  <c r="BF14" i="4"/>
  <c r="AV14" i="4"/>
  <c r="BD34" i="4"/>
  <c r="AU28" i="4"/>
  <c r="AT28" i="4"/>
  <c r="AV28" i="4"/>
  <c r="BF28" i="4"/>
  <c r="BD14" i="4"/>
  <c r="BD29" i="4"/>
  <c r="AF25" i="4"/>
  <c r="S25" i="4"/>
  <c r="AT31" i="4"/>
  <c r="AU31" i="4"/>
  <c r="AV31" i="4"/>
  <c r="BF31" i="4"/>
  <c r="BD36" i="4"/>
  <c r="S23" i="4"/>
  <c r="AF23" i="4"/>
  <c r="AF26" i="4"/>
  <c r="S26" i="4"/>
  <c r="AF34" i="4"/>
  <c r="S34" i="4"/>
  <c r="AF31" i="4"/>
  <c r="S31" i="4"/>
  <c r="AF21" i="4"/>
  <c r="S21" i="4"/>
  <c r="AF16" i="4"/>
  <c r="S16" i="4"/>
  <c r="AF14" i="4"/>
  <c r="S14" i="4"/>
  <c r="AF40" i="4" l="1"/>
  <c r="AF27" i="4"/>
  <c r="S27" i="4"/>
  <c r="S28" i="4"/>
  <c r="AF10" i="4"/>
  <c r="S10" i="4"/>
  <c r="D12" i="1" l="1"/>
  <c r="G12" i="1" s="1"/>
  <c r="B12" i="1"/>
  <c r="E12" i="1" s="1"/>
  <c r="C12" i="1"/>
  <c r="F12" i="1" s="1"/>
  <c r="I12" i="1" l="1"/>
  <c r="X11" i="4" l="1"/>
  <c r="T11" i="4" s="1"/>
  <c r="AA11" i="4" l="1"/>
  <c r="BB11" i="4"/>
  <c r="BC11" i="4"/>
  <c r="AB11" i="4"/>
  <c r="AC11" i="4" l="1"/>
  <c r="AD11" i="4" s="1"/>
  <c r="AV11" i="4"/>
  <c r="AU11" i="4"/>
  <c r="BD11" i="4"/>
  <c r="BF11" i="4"/>
  <c r="AT11" i="4"/>
  <c r="BE11" i="4"/>
  <c r="AE11" i="4" l="1"/>
  <c r="AF11" i="4" s="1"/>
  <c r="S11" i="4" l="1"/>
  <c r="W28" i="4" l="1"/>
  <c r="V27" i="4"/>
  <c r="W27" i="4" l="1"/>
  <c r="N27" i="4"/>
  <c r="M27" i="4" l="1"/>
  <c r="R27" i="4"/>
  <c r="Q27" i="4" s="1"/>
  <c r="AU27" i="4" l="1"/>
  <c r="BI4" i="4" s="1"/>
  <c r="BE27" i="4"/>
  <c r="BI9" i="4" s="1"/>
  <c r="BI10" i="4" s="1"/>
  <c r="AT27" i="4"/>
  <c r="BH4" i="4" s="1"/>
  <c r="BF27" i="4"/>
  <c r="BJ9" i="4" s="1"/>
  <c r="BD27" i="4"/>
  <c r="AV27" i="4"/>
  <c r="BJ4" i="4" s="1"/>
  <c r="BH9" i="4" l="1"/>
  <c r="BH10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Pedro Mendes</author>
  </authors>
  <commentList>
    <comment ref="AR2" authorId="0" shapeId="0" xr:uid="{2F082350-1563-4E42-8E43-A45D831F4C39}">
      <text>
        <r>
          <rPr>
            <b/>
            <sz val="9"/>
            <color indexed="81"/>
            <rFont val="Tahoma"/>
            <family val="2"/>
          </rPr>
          <t>Pedro Mendes:</t>
        </r>
        <r>
          <rPr>
            <sz val="9"/>
            <color indexed="81"/>
            <rFont val="Tahoma"/>
            <family val="2"/>
          </rPr>
          <t xml:space="preserve">
Equação retirada da folha "CLARK-Y RN_1M".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F4473D9-3405-4C60-A9A8-ECB1B45136A1}" keepAlive="1" name="Query - xf-clarky-il-100000" description="Connection to the 'xf-clarky-il-100000' query in the workbook." type="5" refreshedVersion="6" background="1" saveData="1">
    <dbPr connection="Provider=Microsoft.Mashup.OleDb.1;Data Source=$Workbook$;Location=xf-clarky-il-100000;Extended Properties=&quot;&quot;" command="SELECT * FROM [xf-clarky-il-100000]"/>
  </connection>
  <connection id="2" xr16:uid="{F16478ED-6A09-4D9B-A4DA-C9EAEABAEEF2}" keepAlive="1" name="Query - xf-clarky-il-100000 (2)" description="Connection to the 'xf-clarky-il-100000 (2)' query in the workbook." type="5" refreshedVersion="6" background="1" saveData="1">
    <dbPr connection="Provider=Microsoft.Mashup.OleDb.1;Data Source=$Workbook$;Location=&quot;xf-clarky-il-100000 (2)&quot;;Extended Properties=&quot;&quot;" command="SELECT * FROM [xf-clarky-il-100000 (2)]"/>
  </connection>
  <connection id="3" xr16:uid="{FB611102-CF43-4F9F-8548-A44C3E7466F5}" keepAlive="1" name="Query - xf-clarky-il-1000000" description="Connection to the 'xf-clarky-il-1000000' query in the workbook." type="5" refreshedVersion="6" background="1" saveData="1">
    <dbPr connection="Provider=Microsoft.Mashup.OleDb.1;Data Source=$Workbook$;Location=xf-clarky-il-1000000;Extended Properties=&quot;&quot;" command="SELECT * FROM [xf-clarky-il-1000000]"/>
  </connection>
  <connection id="4" xr16:uid="{B2026CEC-D974-4879-B71D-8CEE80AE9C40}" keepAlive="1" name="Query - xf-clarky-il-1000000 (2)" description="Connection to the 'xf-clarky-il-1000000 (2)' query in the workbook." type="5" refreshedVersion="6" background="1" saveData="1">
    <dbPr connection="Provider=Microsoft.Mashup.OleDb.1;Data Source=$Workbook$;Location=&quot;xf-clarky-il-1000000 (2)&quot;;Extended Properties=&quot;&quot;" command="SELECT * FROM [xf-clarky-il-1000000 (2)]"/>
  </connection>
</connections>
</file>

<file path=xl/sharedStrings.xml><?xml version="1.0" encoding="utf-8"?>
<sst xmlns="http://schemas.openxmlformats.org/spreadsheetml/2006/main" count="181" uniqueCount="105">
  <si>
    <t>RPM</t>
  </si>
  <si>
    <t>No. of elements</t>
  </si>
  <si>
    <t>m</t>
  </si>
  <si>
    <t>r</t>
  </si>
  <si>
    <t>x=r/R</t>
  </si>
  <si>
    <t>ΔA</t>
  </si>
  <si>
    <r>
      <t>m</t>
    </r>
    <r>
      <rPr>
        <vertAlign val="superscript"/>
        <sz val="11"/>
        <color theme="1"/>
        <rFont val="Calibri"/>
        <family val="2"/>
        <scheme val="minor"/>
      </rPr>
      <t>2</t>
    </r>
  </si>
  <si>
    <t>Blade Geometry</t>
  </si>
  <si>
    <t>V</t>
  </si>
  <si>
    <t>m/s</t>
  </si>
  <si>
    <t>Ω∙r</t>
  </si>
  <si>
    <t>M</t>
  </si>
  <si>
    <t>Airspeed Components</t>
  </si>
  <si>
    <t>rad</t>
  </si>
  <si>
    <t>deg</t>
  </si>
  <si>
    <t>Flow Angles</t>
  </si>
  <si>
    <t>φ</t>
  </si>
  <si>
    <t>β</t>
  </si>
  <si>
    <t>Re</t>
  </si>
  <si>
    <t>Cl</t>
  </si>
  <si>
    <t>Cd</t>
  </si>
  <si>
    <t>dL</t>
  </si>
  <si>
    <t>dD</t>
  </si>
  <si>
    <t>dT</t>
  </si>
  <si>
    <t>dQ</t>
  </si>
  <si>
    <t>dP</t>
  </si>
  <si>
    <t>N</t>
  </si>
  <si>
    <t>Nm</t>
  </si>
  <si>
    <t>W</t>
  </si>
  <si>
    <t>Lift and Drag Coefficient</t>
  </si>
  <si>
    <t>Blade Element Differentials</t>
  </si>
  <si>
    <r>
      <t>V</t>
    </r>
    <r>
      <rPr>
        <b/>
        <vertAlign val="subscript"/>
        <sz val="11"/>
        <color theme="1"/>
        <rFont val="Calibri"/>
        <family val="2"/>
      </rPr>
      <t>R</t>
    </r>
  </si>
  <si>
    <t>Forward Speed</t>
  </si>
  <si>
    <t>Diameter</t>
  </si>
  <si>
    <t>in</t>
  </si>
  <si>
    <t>Geometric Pitch</t>
  </si>
  <si>
    <t>Hub Diameter</t>
  </si>
  <si>
    <t>Altitude</t>
  </si>
  <si>
    <t>Tip Radius</t>
  </si>
  <si>
    <t>Sound Speed</t>
  </si>
  <si>
    <t>rad/s</t>
  </si>
  <si>
    <t>Calc</t>
  </si>
  <si>
    <t>ft</t>
  </si>
  <si>
    <t>out</t>
  </si>
  <si>
    <t>Km/h</t>
  </si>
  <si>
    <t>KTS</t>
  </si>
  <si>
    <t>Tip pitch</t>
  </si>
  <si>
    <t>Hub pitch</t>
  </si>
  <si>
    <t>ρ/μ</t>
  </si>
  <si>
    <t>kg/Nms</t>
  </si>
  <si>
    <t>Air density ρ</t>
  </si>
  <si>
    <r>
      <t>kg/m</t>
    </r>
    <r>
      <rPr>
        <vertAlign val="superscript"/>
        <sz val="11"/>
        <color theme="1"/>
        <rFont val="Calibri"/>
        <family val="2"/>
        <scheme val="minor"/>
      </rPr>
      <t>3</t>
    </r>
  </si>
  <si>
    <t>Air viscosity μ</t>
  </si>
  <si>
    <r>
      <t>N</t>
    </r>
    <r>
      <rPr>
        <sz val="11"/>
        <color theme="1"/>
        <rFont val="Calibri"/>
        <family val="2"/>
      </rPr>
      <t>∙s/m</t>
    </r>
    <r>
      <rPr>
        <vertAlign val="superscript"/>
        <sz val="11"/>
        <color theme="1"/>
        <rFont val="Calibri"/>
        <family val="2"/>
        <scheme val="minor"/>
      </rPr>
      <t>2</t>
    </r>
  </si>
  <si>
    <t>Air Temp</t>
  </si>
  <si>
    <t>ºC</t>
  </si>
  <si>
    <t>Lbf</t>
  </si>
  <si>
    <r>
      <t>α</t>
    </r>
    <r>
      <rPr>
        <b/>
        <vertAlign val="subscript"/>
        <sz val="11"/>
        <color theme="1"/>
        <rFont val="Calibri"/>
        <family val="2"/>
      </rPr>
      <t>i</t>
    </r>
  </si>
  <si>
    <t>Number of Blades</t>
  </si>
  <si>
    <t>Totals</t>
  </si>
  <si>
    <t>T</t>
  </si>
  <si>
    <t>Q</t>
  </si>
  <si>
    <t>P</t>
  </si>
  <si>
    <t>ISA</t>
  </si>
  <si>
    <t>Input</t>
  </si>
  <si>
    <t>Output</t>
  </si>
  <si>
    <r>
      <t>C</t>
    </r>
    <r>
      <rPr>
        <b/>
        <vertAlign val="subscript"/>
        <sz val="11"/>
        <color theme="1"/>
        <rFont val="Calibri"/>
        <family val="2"/>
        <scheme val="minor"/>
      </rPr>
      <t>P</t>
    </r>
  </si>
  <si>
    <r>
      <t>C</t>
    </r>
    <r>
      <rPr>
        <b/>
        <vertAlign val="subscript"/>
        <sz val="11"/>
        <color theme="1"/>
        <rFont val="Calibri"/>
        <family val="2"/>
        <scheme val="minor"/>
      </rPr>
      <t>T</t>
    </r>
  </si>
  <si>
    <r>
      <t>C</t>
    </r>
    <r>
      <rPr>
        <b/>
        <vertAlign val="subscript"/>
        <sz val="11"/>
        <color theme="1"/>
        <rFont val="Calibri"/>
        <family val="2"/>
        <scheme val="minor"/>
      </rPr>
      <t>Q</t>
    </r>
  </si>
  <si>
    <t>RPS (n)</t>
  </si>
  <si>
    <r>
      <t>Angular Velocity (</t>
    </r>
    <r>
      <rPr>
        <b/>
        <sz val="11"/>
        <color theme="1"/>
        <rFont val="Calibri"/>
        <family val="2"/>
      </rPr>
      <t>Ω)</t>
    </r>
  </si>
  <si>
    <r>
      <t>Element width (</t>
    </r>
    <r>
      <rPr>
        <b/>
        <sz val="11"/>
        <color theme="1"/>
        <rFont val="Calibri"/>
        <family val="2"/>
      </rPr>
      <t>Δr</t>
    </r>
    <r>
      <rPr>
        <b/>
        <sz val="11"/>
        <color theme="1"/>
        <rFont val="Calibri"/>
        <family val="2"/>
        <scheme val="minor"/>
      </rPr>
      <t>)</t>
    </r>
  </si>
  <si>
    <t>Advance Ratio (J)</t>
  </si>
  <si>
    <r>
      <t>Propeller Efficiency (</t>
    </r>
    <r>
      <rPr>
        <b/>
        <sz val="11"/>
        <color theme="1"/>
        <rFont val="Calibri"/>
        <family val="2"/>
      </rPr>
      <t>η</t>
    </r>
    <r>
      <rPr>
        <b/>
        <vertAlign val="subscript"/>
        <sz val="11"/>
        <color theme="1"/>
        <rFont val="Calibri"/>
        <family val="2"/>
      </rPr>
      <t>p</t>
    </r>
    <r>
      <rPr>
        <b/>
        <sz val="11"/>
        <color theme="1"/>
        <rFont val="Calibri"/>
        <family val="2"/>
        <scheme val="minor"/>
      </rPr>
      <t>)</t>
    </r>
  </si>
  <si>
    <r>
      <t>Pitch (</t>
    </r>
    <r>
      <rPr>
        <b/>
        <sz val="11"/>
        <color theme="1"/>
        <rFont val="Calibri"/>
        <family val="2"/>
      </rPr>
      <t>β</t>
    </r>
    <r>
      <rPr>
        <b/>
        <vertAlign val="subscript"/>
        <sz val="11"/>
        <color theme="1"/>
        <rFont val="Calibri"/>
        <family val="2"/>
      </rPr>
      <t>75%</t>
    </r>
    <r>
      <rPr>
        <b/>
        <sz val="11"/>
        <color theme="1"/>
        <rFont val="Calibri"/>
        <family val="2"/>
        <scheme val="minor"/>
      </rPr>
      <t>)</t>
    </r>
  </si>
  <si>
    <t>Prandtl's Tip and Hub Loss Correction</t>
  </si>
  <si>
    <r>
      <t>P</t>
    </r>
    <r>
      <rPr>
        <b/>
        <vertAlign val="subscript"/>
        <sz val="11"/>
        <color theme="1"/>
        <rFont val="Calibri"/>
        <family val="2"/>
        <scheme val="minor"/>
      </rPr>
      <t>tip</t>
    </r>
  </si>
  <si>
    <r>
      <t>F</t>
    </r>
    <r>
      <rPr>
        <b/>
        <vertAlign val="subscript"/>
        <sz val="11"/>
        <color theme="1"/>
        <rFont val="Calibri"/>
        <family val="2"/>
        <scheme val="minor"/>
      </rPr>
      <t>tip</t>
    </r>
  </si>
  <si>
    <r>
      <t>P</t>
    </r>
    <r>
      <rPr>
        <b/>
        <vertAlign val="subscript"/>
        <sz val="11"/>
        <color theme="1"/>
        <rFont val="Calibri"/>
        <family val="2"/>
        <scheme val="minor"/>
      </rPr>
      <t>hub</t>
    </r>
  </si>
  <si>
    <r>
      <t>F</t>
    </r>
    <r>
      <rPr>
        <b/>
        <vertAlign val="subscript"/>
        <sz val="11"/>
        <color theme="1"/>
        <rFont val="Calibri"/>
        <family val="2"/>
        <scheme val="minor"/>
      </rPr>
      <t>hub</t>
    </r>
  </si>
  <si>
    <r>
      <t>F</t>
    </r>
    <r>
      <rPr>
        <b/>
        <vertAlign val="subscript"/>
        <sz val="11"/>
        <color theme="1"/>
        <rFont val="Calibri"/>
        <family val="2"/>
        <scheme val="minor"/>
      </rPr>
      <t>P</t>
    </r>
  </si>
  <si>
    <t>Totals (Prandtl Corrected)</t>
  </si>
  <si>
    <t>b</t>
  </si>
  <si>
    <t>HUB x</t>
  </si>
  <si>
    <t>Torsion parameters</t>
  </si>
  <si>
    <t xml:space="preserve">CLARK-Y </t>
  </si>
  <si>
    <t xml:space="preserve">E63        </t>
  </si>
  <si>
    <t>α=β-φ</t>
  </si>
  <si>
    <t>c(x)</t>
  </si>
  <si>
    <t>k</t>
  </si>
  <si>
    <t>Blade Element Differentials (Prandtl)</t>
  </si>
  <si>
    <r>
      <rPr>
        <sz val="11"/>
        <color theme="1"/>
        <rFont val="Calibri"/>
        <family val="2"/>
      </rPr>
      <t>α</t>
    </r>
    <r>
      <rPr>
        <sz val="9.35"/>
        <color theme="1"/>
        <rFont val="Calibri"/>
        <family val="2"/>
      </rPr>
      <t>i=tan(w/Ve)</t>
    </r>
  </si>
  <si>
    <t>w</t>
  </si>
  <si>
    <t>VE</t>
  </si>
  <si>
    <t>f(w)</t>
  </si>
  <si>
    <t>f'(w)</t>
  </si>
  <si>
    <t>DIFERENÇA</t>
  </si>
  <si>
    <t>final iteraction</t>
  </si>
  <si>
    <t>αi(0)</t>
  </si>
  <si>
    <t>α(0)</t>
  </si>
  <si>
    <t>w(1)</t>
  </si>
  <si>
    <t>w(0)</t>
  </si>
  <si>
    <t>αi(1)</t>
  </si>
  <si>
    <t>MACH</t>
  </si>
  <si>
    <t>Iteractions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</si>
</sst>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0.000"/>
    <numFmt numFmtId="165" formatCode="0.0000"/>
    <numFmt numFmtId="166" formatCode="0.00000"/>
    <numFmt numFmtId="167" formatCode="0.0"/>
    <numFmt numFmtId="168" formatCode="0.0000E+00"/>
    <numFmt numFmtId="169" formatCode="0.00000000"/>
    <numFmt numFmtId="170" formatCode="0.000000"/>
    <numFmt numFmtId="171" formatCode="0.000000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vertAlign val="superscript"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</font>
    <font>
      <b/>
      <vertAlign val="subscript"/>
      <sz val="11"/>
      <color theme="1"/>
      <name val="Calibri"/>
      <family val="2"/>
    </font>
    <font>
      <b/>
      <sz val="12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sz val="9.35"/>
      <color theme="1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double">
        <color indexed="64"/>
      </right>
      <top style="thin">
        <color auto="1"/>
      </top>
      <bottom/>
      <diagonal/>
    </border>
    <border>
      <left style="thin">
        <color auto="1"/>
      </left>
      <right style="double">
        <color indexed="64"/>
      </right>
      <top/>
      <bottom style="thin">
        <color auto="1"/>
      </bottom>
      <diagonal/>
    </border>
    <border>
      <left/>
      <right style="double">
        <color indexed="64"/>
      </right>
      <top/>
      <bottom/>
      <diagonal/>
    </border>
    <border>
      <left style="thin">
        <color auto="1"/>
      </left>
      <right style="double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8">
    <xf numFmtId="0" fontId="0" fillId="0" borderId="0" xfId="0"/>
    <xf numFmtId="0" fontId="4" fillId="0" borderId="0" xfId="0" applyFont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5" fillId="5" borderId="8" xfId="0" applyFont="1" applyFill="1" applyBorder="1" applyAlignment="1">
      <alignment horizontal="center" vertical="center"/>
    </xf>
    <xf numFmtId="0" fontId="0" fillId="9" borderId="0" xfId="0" applyFill="1"/>
    <xf numFmtId="0" fontId="4" fillId="7" borderId="9" xfId="0" applyFont="1" applyFill="1" applyBorder="1" applyAlignment="1">
      <alignment horizontal="center" vertical="center"/>
    </xf>
    <xf numFmtId="0" fontId="3" fillId="5" borderId="10" xfId="0" applyFont="1" applyFill="1" applyBorder="1" applyAlignment="1">
      <alignment horizontal="center" vertical="center"/>
    </xf>
    <xf numFmtId="0" fontId="0" fillId="7" borderId="11" xfId="0" applyFill="1" applyBorder="1" applyAlignment="1">
      <alignment horizontal="center" vertical="center"/>
    </xf>
    <xf numFmtId="0" fontId="5" fillId="5" borderId="12" xfId="0" applyFont="1" applyFill="1" applyBorder="1" applyAlignment="1">
      <alignment horizontal="center" vertical="center"/>
    </xf>
    <xf numFmtId="0" fontId="8" fillId="8" borderId="2" xfId="0" applyFont="1" applyFill="1" applyBorder="1" applyAlignment="1">
      <alignment horizontal="center" vertical="center"/>
    </xf>
    <xf numFmtId="0" fontId="8" fillId="6" borderId="2" xfId="0" applyFont="1" applyFill="1" applyBorder="1" applyAlignment="1">
      <alignment horizontal="center" vertical="center"/>
    </xf>
    <xf numFmtId="0" fontId="4" fillId="7" borderId="13" xfId="0" applyFont="1" applyFill="1" applyBorder="1" applyAlignment="1">
      <alignment horizontal="center" vertical="center"/>
    </xf>
    <xf numFmtId="0" fontId="3" fillId="5" borderId="14" xfId="0" applyFont="1" applyFill="1" applyBorder="1" applyAlignment="1">
      <alignment horizontal="center" vertical="center"/>
    </xf>
    <xf numFmtId="0" fontId="0" fillId="7" borderId="15" xfId="0" applyFill="1" applyBorder="1" applyAlignment="1">
      <alignment horizontal="center" vertical="center"/>
    </xf>
    <xf numFmtId="0" fontId="5" fillId="5" borderId="16" xfId="0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0" fontId="4" fillId="4" borderId="17" xfId="0" applyFont="1" applyFill="1" applyBorder="1" applyAlignment="1">
      <alignment horizontal="center" vertical="center"/>
    </xf>
    <xf numFmtId="0" fontId="4" fillId="4" borderId="19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0" fillId="7" borderId="21" xfId="0" applyFill="1" applyBorder="1" applyAlignment="1">
      <alignment horizontal="center" vertical="center"/>
    </xf>
    <xf numFmtId="0" fontId="5" fillId="5" borderId="22" xfId="0" applyFont="1" applyFill="1" applyBorder="1" applyAlignment="1">
      <alignment horizontal="center" vertical="center"/>
    </xf>
    <xf numFmtId="0" fontId="11" fillId="7" borderId="9" xfId="0" applyFont="1" applyFill="1" applyBorder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0" fontId="0" fillId="4" borderId="3" xfId="0" applyFont="1" applyFill="1" applyBorder="1" applyAlignment="1">
      <alignment horizontal="center" vertical="center"/>
    </xf>
    <xf numFmtId="0" fontId="0" fillId="4" borderId="18" xfId="0" applyFont="1" applyFill="1" applyBorder="1" applyAlignment="1">
      <alignment horizontal="center" vertical="center"/>
    </xf>
    <xf numFmtId="0" fontId="4" fillId="4" borderId="20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0" fillId="4" borderId="7" xfId="0" applyFont="1" applyFill="1" applyBorder="1" applyAlignment="1">
      <alignment horizontal="center" vertical="center"/>
    </xf>
    <xf numFmtId="0" fontId="0" fillId="13" borderId="0" xfId="0" applyFill="1" applyAlignment="1"/>
    <xf numFmtId="0" fontId="4" fillId="12" borderId="0" xfId="0" applyFont="1" applyFill="1" applyAlignment="1">
      <alignment horizontal="center"/>
    </xf>
    <xf numFmtId="0" fontId="4" fillId="9" borderId="0" xfId="0" applyFont="1" applyFill="1" applyAlignment="1"/>
    <xf numFmtId="0" fontId="0" fillId="9" borderId="0" xfId="0" applyFill="1" applyAlignment="1"/>
    <xf numFmtId="0" fontId="4" fillId="11" borderId="0" xfId="0" applyFont="1" applyFill="1" applyBorder="1" applyAlignment="1">
      <alignment horizontal="center" vertical="center"/>
    </xf>
    <xf numFmtId="0" fontId="0" fillId="11" borderId="0" xfId="0" applyFont="1" applyFill="1" applyBorder="1" applyAlignment="1">
      <alignment horizontal="center" vertical="center"/>
    </xf>
    <xf numFmtId="0" fontId="0" fillId="11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/>
    </xf>
    <xf numFmtId="0" fontId="0" fillId="2" borderId="20" xfId="0" applyFont="1" applyFill="1" applyBorder="1" applyAlignment="1">
      <alignment horizontal="center" vertical="center"/>
    </xf>
    <xf numFmtId="0" fontId="4" fillId="2" borderId="24" xfId="0" applyFont="1" applyFill="1" applyBorder="1" applyAlignment="1">
      <alignment horizontal="center" vertical="center"/>
    </xf>
    <xf numFmtId="0" fontId="0" fillId="2" borderId="25" xfId="0" applyFont="1" applyFill="1" applyBorder="1" applyAlignment="1">
      <alignment horizontal="center" vertical="center"/>
    </xf>
    <xf numFmtId="164" fontId="0" fillId="0" borderId="26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14" borderId="1" xfId="0" applyFill="1" applyBorder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1" fontId="0" fillId="14" borderId="1" xfId="0" applyNumberFormat="1" applyFill="1" applyBorder="1" applyAlignment="1">
      <alignment horizontal="center" vertical="center"/>
    </xf>
    <xf numFmtId="2" fontId="0" fillId="15" borderId="1" xfId="0" applyNumberFormat="1" applyFill="1" applyBorder="1" applyAlignment="1">
      <alignment horizontal="center" vertical="center"/>
    </xf>
    <xf numFmtId="167" fontId="0" fillId="15" borderId="1" xfId="0" applyNumberFormat="1" applyFill="1" applyBorder="1" applyAlignment="1">
      <alignment horizontal="center" vertical="center"/>
    </xf>
    <xf numFmtId="11" fontId="0" fillId="15" borderId="1" xfId="0" applyNumberFormat="1" applyFill="1" applyBorder="1" applyAlignment="1">
      <alignment horizontal="center" vertical="center"/>
    </xf>
    <xf numFmtId="168" fontId="0" fillId="15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3" fontId="4" fillId="0" borderId="0" xfId="0" applyNumberFormat="1" applyFont="1" applyAlignment="1">
      <alignment horizontal="right" vertical="center"/>
    </xf>
    <xf numFmtId="164" fontId="4" fillId="0" borderId="0" xfId="0" applyNumberFormat="1" applyFont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5" fontId="0" fillId="0" borderId="0" xfId="0" applyNumberFormat="1" applyBorder="1" applyAlignment="1">
      <alignment horizontal="center" vertical="center"/>
    </xf>
    <xf numFmtId="166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7" fontId="0" fillId="0" borderId="0" xfId="0" applyNumberFormat="1" applyBorder="1" applyAlignment="1">
      <alignment horizontal="center" vertical="center"/>
    </xf>
    <xf numFmtId="164" fontId="4" fillId="0" borderId="0" xfId="0" applyNumberFormat="1" applyFont="1" applyBorder="1" applyAlignment="1">
      <alignment horizontal="center" vertical="center"/>
    </xf>
    <xf numFmtId="3" fontId="4" fillId="0" borderId="0" xfId="0" applyNumberFormat="1" applyFont="1" applyBorder="1" applyAlignment="1">
      <alignment horizontal="right" vertical="center"/>
    </xf>
    <xf numFmtId="0" fontId="0" fillId="10" borderId="0" xfId="0" applyFill="1" applyBorder="1" applyAlignment="1">
      <alignment horizontal="center" vertical="center"/>
    </xf>
    <xf numFmtId="165" fontId="0" fillId="0" borderId="0" xfId="0" applyNumberFormat="1" applyFill="1" applyBorder="1" applyAlignment="1">
      <alignment horizontal="center" vertical="center"/>
    </xf>
    <xf numFmtId="164" fontId="0" fillId="0" borderId="0" xfId="0" applyNumberForma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0" fillId="16" borderId="0" xfId="0" applyFill="1"/>
    <xf numFmtId="0" fontId="0" fillId="2" borderId="0" xfId="0" applyFill="1"/>
    <xf numFmtId="165" fontId="0" fillId="2" borderId="0" xfId="0" applyNumberFormat="1" applyFill="1" applyBorder="1" applyAlignment="1">
      <alignment horizontal="center" vertical="center"/>
    </xf>
    <xf numFmtId="166" fontId="0" fillId="2" borderId="0" xfId="0" applyNumberForma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164" fontId="0" fillId="2" borderId="0" xfId="0" applyNumberFormat="1" applyFill="1" applyBorder="1" applyAlignment="1">
      <alignment horizontal="center" vertical="center"/>
    </xf>
    <xf numFmtId="167" fontId="0" fillId="2" borderId="0" xfId="0" applyNumberFormat="1" applyFill="1" applyBorder="1" applyAlignment="1">
      <alignment horizontal="center" vertical="center"/>
    </xf>
    <xf numFmtId="164" fontId="4" fillId="2" borderId="0" xfId="0" applyNumberFormat="1" applyFont="1" applyFill="1" applyBorder="1" applyAlignment="1">
      <alignment horizontal="center" vertical="center"/>
    </xf>
    <xf numFmtId="3" fontId="4" fillId="2" borderId="0" xfId="0" applyNumberFormat="1" applyFont="1" applyFill="1" applyBorder="1" applyAlignment="1">
      <alignment horizontal="right" vertical="center"/>
    </xf>
    <xf numFmtId="164" fontId="0" fillId="2" borderId="26" xfId="0" applyNumberForma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165" fontId="0" fillId="2" borderId="29" xfId="0" applyNumberFormat="1" applyFill="1" applyBorder="1" applyAlignment="1">
      <alignment horizontal="center" vertical="center"/>
    </xf>
    <xf numFmtId="166" fontId="0" fillId="2" borderId="29" xfId="0" applyNumberFormat="1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164" fontId="0" fillId="2" borderId="29" xfId="0" applyNumberFormat="1" applyFill="1" applyBorder="1" applyAlignment="1">
      <alignment horizontal="center" vertical="center"/>
    </xf>
    <xf numFmtId="167" fontId="0" fillId="2" borderId="29" xfId="0" applyNumberFormat="1" applyFill="1" applyBorder="1" applyAlignment="1">
      <alignment horizontal="center" vertical="center"/>
    </xf>
    <xf numFmtId="164" fontId="4" fillId="2" borderId="29" xfId="0" applyNumberFormat="1" applyFont="1" applyFill="1" applyBorder="1" applyAlignment="1">
      <alignment horizontal="center" vertical="center"/>
    </xf>
    <xf numFmtId="3" fontId="4" fillId="2" borderId="29" xfId="0" applyNumberFormat="1" applyFont="1" applyFill="1" applyBorder="1" applyAlignment="1">
      <alignment horizontal="right" vertical="center"/>
    </xf>
    <xf numFmtId="164" fontId="0" fillId="2" borderId="30" xfId="0" applyNumberForma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165" fontId="0" fillId="2" borderId="0" xfId="0" applyNumberFormat="1" applyFill="1" applyAlignment="1">
      <alignment horizontal="center" vertical="center"/>
    </xf>
    <xf numFmtId="166" fontId="0" fillId="2" borderId="0" xfId="0" applyNumberFormat="1" applyFill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167" fontId="0" fillId="2" borderId="0" xfId="0" applyNumberFormat="1" applyFill="1" applyAlignment="1">
      <alignment horizontal="center" vertical="center"/>
    </xf>
    <xf numFmtId="164" fontId="4" fillId="2" borderId="0" xfId="0" applyNumberFormat="1" applyFont="1" applyFill="1" applyAlignment="1">
      <alignment horizontal="center" vertical="center"/>
    </xf>
    <xf numFmtId="3" fontId="4" fillId="2" borderId="0" xfId="0" applyNumberFormat="1" applyFont="1" applyFill="1" applyAlignment="1">
      <alignment horizontal="right" vertical="center"/>
    </xf>
    <xf numFmtId="164" fontId="0" fillId="0" borderId="0" xfId="0" applyNumberFormat="1" applyAlignment="1">
      <alignment horizontal="right" vertical="center"/>
    </xf>
    <xf numFmtId="0" fontId="4" fillId="2" borderId="1" xfId="0" applyFont="1" applyFill="1" applyBorder="1" applyAlignment="1">
      <alignment vertical="center"/>
    </xf>
    <xf numFmtId="0" fontId="4" fillId="2" borderId="4" xfId="0" applyFont="1" applyFill="1" applyBorder="1" applyAlignment="1">
      <alignment vertical="center"/>
    </xf>
    <xf numFmtId="0" fontId="4" fillId="2" borderId="6" xfId="0" applyFont="1" applyFill="1" applyBorder="1" applyAlignment="1">
      <alignment vertical="center"/>
    </xf>
    <xf numFmtId="0" fontId="4" fillId="2" borderId="5" xfId="0" applyFont="1" applyFill="1" applyBorder="1" applyAlignment="1">
      <alignment vertical="center"/>
    </xf>
    <xf numFmtId="0" fontId="4" fillId="2" borderId="27" xfId="0" applyFont="1" applyFill="1" applyBorder="1" applyAlignment="1">
      <alignment vertical="center"/>
    </xf>
    <xf numFmtId="0" fontId="4" fillId="2" borderId="0" xfId="0" applyFont="1" applyFill="1" applyBorder="1" applyAlignment="1">
      <alignment vertical="center"/>
    </xf>
    <xf numFmtId="0" fontId="0" fillId="2" borderId="7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167" fontId="0" fillId="0" borderId="0" xfId="0" applyNumberFormat="1" applyFill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7" borderId="0" xfId="0" applyFill="1"/>
    <xf numFmtId="0" fontId="0" fillId="7" borderId="7" xfId="0" applyFont="1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164" fontId="0" fillId="7" borderId="0" xfId="0" applyNumberFormat="1" applyFill="1" applyBorder="1" applyAlignment="1">
      <alignment horizontal="center" vertical="center"/>
    </xf>
    <xf numFmtId="0" fontId="0" fillId="0" borderId="31" xfId="0" applyFill="1" applyBorder="1" applyAlignment="1">
      <alignment horizontal="center" vertical="center"/>
    </xf>
    <xf numFmtId="0" fontId="0" fillId="17" borderId="19" xfId="0" applyFill="1" applyBorder="1" applyAlignment="1">
      <alignment horizontal="center" vertical="center"/>
    </xf>
    <xf numFmtId="0" fontId="0" fillId="17" borderId="23" xfId="0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0" fontId="0" fillId="17" borderId="20" xfId="0" applyFill="1" applyBorder="1" applyAlignment="1">
      <alignment horizontal="center" vertical="center"/>
    </xf>
    <xf numFmtId="0" fontId="0" fillId="17" borderId="0" xfId="0" applyFill="1"/>
    <xf numFmtId="0" fontId="0" fillId="17" borderId="7" xfId="0" applyFont="1" applyFill="1" applyBorder="1" applyAlignment="1">
      <alignment horizontal="center" vertical="center"/>
    </xf>
    <xf numFmtId="0" fontId="0" fillId="17" borderId="0" xfId="0" applyFill="1" applyAlignment="1">
      <alignment horizontal="center"/>
    </xf>
    <xf numFmtId="0" fontId="0" fillId="18" borderId="0" xfId="0" applyFill="1"/>
    <xf numFmtId="0" fontId="0" fillId="18" borderId="0" xfId="0" applyFill="1" applyAlignment="1">
      <alignment horizontal="center" vertical="center"/>
    </xf>
    <xf numFmtId="167" fontId="0" fillId="0" borderId="0" xfId="0" applyNumberFormat="1"/>
    <xf numFmtId="169" fontId="0" fillId="0" borderId="0" xfId="0" applyNumberFormat="1"/>
    <xf numFmtId="170" fontId="0" fillId="2" borderId="0" xfId="0" applyNumberFormat="1" applyFill="1" applyAlignment="1">
      <alignment horizontal="center" vertical="center"/>
    </xf>
    <xf numFmtId="166" fontId="0" fillId="0" borderId="0" xfId="0" applyNumberFormat="1"/>
    <xf numFmtId="164" fontId="0" fillId="0" borderId="32" xfId="0" applyNumberFormat="1" applyFill="1" applyBorder="1" applyAlignment="1">
      <alignment horizontal="center" vertical="center"/>
    </xf>
    <xf numFmtId="164" fontId="0" fillId="0" borderId="33" xfId="0" applyNumberFormat="1" applyFill="1" applyBorder="1" applyAlignment="1">
      <alignment horizontal="center" vertical="center"/>
    </xf>
    <xf numFmtId="164" fontId="0" fillId="2" borderId="33" xfId="0" applyNumberFormat="1" applyFill="1" applyBorder="1" applyAlignment="1">
      <alignment horizontal="center" vertical="center"/>
    </xf>
    <xf numFmtId="164" fontId="0" fillId="0" borderId="34" xfId="0" applyNumberFormat="1" applyFill="1" applyBorder="1" applyAlignment="1">
      <alignment horizontal="center" vertical="center"/>
    </xf>
    <xf numFmtId="0" fontId="0" fillId="7" borderId="29" xfId="0" applyFill="1" applyBorder="1" applyAlignment="1">
      <alignment horizontal="center" vertical="center"/>
    </xf>
    <xf numFmtId="167" fontId="0" fillId="0" borderId="29" xfId="0" applyNumberFormat="1" applyFill="1" applyBorder="1" applyAlignment="1">
      <alignment horizontal="center" vertical="center"/>
    </xf>
    <xf numFmtId="0" fontId="0" fillId="18" borderId="29" xfId="0" applyFill="1" applyBorder="1" applyAlignment="1">
      <alignment horizontal="center" vertical="center"/>
    </xf>
    <xf numFmtId="164" fontId="0" fillId="0" borderId="35" xfId="0" applyNumberFormat="1" applyFill="1" applyBorder="1" applyAlignment="1">
      <alignment horizontal="center" vertical="center"/>
    </xf>
    <xf numFmtId="171" fontId="0" fillId="0" borderId="0" xfId="0" applyNumberFormat="1" applyFill="1" applyAlignment="1">
      <alignment horizontal="center" vertical="center"/>
    </xf>
    <xf numFmtId="0" fontId="4" fillId="15" borderId="28" xfId="0" applyFont="1" applyFill="1" applyBorder="1" applyAlignment="1">
      <alignment horizontal="center" vertical="center"/>
    </xf>
    <xf numFmtId="0" fontId="4" fillId="15" borderId="18" xfId="0" applyFont="1" applyFill="1" applyBorder="1" applyAlignment="1">
      <alignment horizontal="center" vertical="center"/>
    </xf>
    <xf numFmtId="0" fontId="0" fillId="15" borderId="18" xfId="0" applyFill="1" applyBorder="1" applyAlignment="1">
      <alignment horizontal="center" vertical="center"/>
    </xf>
    <xf numFmtId="0" fontId="0" fillId="15" borderId="20" xfId="0" applyFill="1" applyBorder="1" applyAlignment="1">
      <alignment horizontal="center" vertical="center"/>
    </xf>
    <xf numFmtId="0" fontId="4" fillId="2" borderId="17" xfId="0" applyFont="1" applyFill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0" fontId="0" fillId="15" borderId="17" xfId="0" applyFill="1" applyBorder="1" applyAlignment="1">
      <alignment horizontal="center" vertical="center"/>
    </xf>
    <xf numFmtId="0" fontId="0" fillId="15" borderId="19" xfId="0" applyFill="1" applyBorder="1" applyAlignment="1">
      <alignment horizontal="center" vertical="center"/>
    </xf>
    <xf numFmtId="0" fontId="0" fillId="15" borderId="28" xfId="0" applyFill="1" applyBorder="1" applyAlignment="1">
      <alignment horizontal="center" vertical="center"/>
    </xf>
    <xf numFmtId="0" fontId="0" fillId="15" borderId="23" xfId="0" applyFill="1" applyBorder="1" applyAlignment="1">
      <alignment horizontal="center" vertical="center"/>
    </xf>
    <xf numFmtId="0" fontId="11" fillId="9" borderId="0" xfId="0" applyFont="1" applyFill="1" applyAlignment="1">
      <alignment horizontal="center" vertical="center"/>
    </xf>
    <xf numFmtId="0" fontId="4" fillId="4" borderId="23" xfId="0" applyFont="1" applyFill="1" applyBorder="1" applyAlignment="1">
      <alignment horizontal="center" vertical="center"/>
    </xf>
    <xf numFmtId="0" fontId="4" fillId="4" borderId="20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 textRotation="90" wrapText="1"/>
    </xf>
    <xf numFmtId="0" fontId="0" fillId="0" borderId="29" xfId="0" applyBorder="1" applyAlignment="1">
      <alignment horizontal="center" vertical="center" textRotation="90" wrapText="1"/>
    </xf>
    <xf numFmtId="0" fontId="0" fillId="0" borderId="0" xfId="0" applyAlignment="1">
      <alignment horizontal="center" vertical="center" textRotation="90" wrapText="1"/>
    </xf>
    <xf numFmtId="0" fontId="4" fillId="0" borderId="23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0" fillId="0" borderId="29" xfId="0" applyBorder="1" applyAlignment="1">
      <alignment horizontal="center"/>
    </xf>
    <xf numFmtId="0" fontId="1" fillId="2" borderId="28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56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1F4CB-70B1-43D5-A457-5685869EF902}">
  <dimension ref="A1:M14"/>
  <sheetViews>
    <sheetView zoomScaleNormal="100" workbookViewId="0">
      <selection activeCell="A6" sqref="A6:A8"/>
    </sheetView>
  </sheetViews>
  <sheetFormatPr defaultColWidth="9.140625" defaultRowHeight="15" x14ac:dyDescent="0.25"/>
  <cols>
    <col min="1" max="1" width="9.140625" style="31"/>
    <col min="2" max="2" width="13.140625" style="31" customWidth="1"/>
    <col min="3" max="3" width="19.140625" style="31" bestFit="1" customWidth="1"/>
    <col min="4" max="4" width="12.42578125" style="31" bestFit="1" customWidth="1"/>
    <col min="5" max="5" width="15.7109375" style="31" bestFit="1" customWidth="1"/>
    <col min="6" max="6" width="19" style="31" bestFit="1" customWidth="1"/>
    <col min="7" max="7" width="17.85546875" style="31" bestFit="1" customWidth="1"/>
    <col min="8" max="8" width="16.28515625" style="31" bestFit="1" customWidth="1"/>
    <col min="9" max="9" width="16.140625" style="31" customWidth="1"/>
    <col min="10" max="10" width="13.42578125" style="31" bestFit="1" customWidth="1"/>
    <col min="11" max="11" width="18.42578125" style="31" bestFit="1" customWidth="1"/>
    <col min="12" max="12" width="16.42578125" style="31" bestFit="1" customWidth="1"/>
    <col min="13" max="13" width="15.42578125" style="31" bestFit="1" customWidth="1"/>
    <col min="14" max="14" width="12.140625" style="31" bestFit="1" customWidth="1"/>
    <col min="15" max="15" width="8.7109375" style="31" bestFit="1" customWidth="1"/>
    <col min="16" max="16384" width="9.140625" style="31"/>
  </cols>
  <sheetData>
    <row r="1" spans="1:13" ht="4.5" customHeight="1" x14ac:dyDescent="0.25">
      <c r="A1" s="33"/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</row>
    <row r="2" spans="1:13" x14ac:dyDescent="0.25">
      <c r="A2" s="161" t="s">
        <v>64</v>
      </c>
      <c r="B2" s="153" t="s">
        <v>0</v>
      </c>
      <c r="C2" s="27" t="s">
        <v>32</v>
      </c>
      <c r="D2" s="27" t="s">
        <v>37</v>
      </c>
      <c r="E2" s="27" t="s">
        <v>33</v>
      </c>
      <c r="F2" s="27" t="s">
        <v>35</v>
      </c>
      <c r="G2" s="27" t="s">
        <v>58</v>
      </c>
      <c r="H2" s="149" t="s">
        <v>84</v>
      </c>
      <c r="I2" s="150"/>
      <c r="J2" s="25" t="s">
        <v>46</v>
      </c>
      <c r="K2" s="156"/>
      <c r="L2" s="157"/>
      <c r="M2" s="26" t="s">
        <v>1</v>
      </c>
    </row>
    <row r="3" spans="1:13" x14ac:dyDescent="0.25">
      <c r="A3" s="161"/>
      <c r="B3" s="154"/>
      <c r="C3" s="35" t="s">
        <v>9</v>
      </c>
      <c r="D3" s="35" t="s">
        <v>2</v>
      </c>
      <c r="E3" s="35" t="s">
        <v>34</v>
      </c>
      <c r="F3" s="35" t="s">
        <v>34</v>
      </c>
      <c r="G3" s="35"/>
      <c r="H3" s="56" t="s">
        <v>2</v>
      </c>
      <c r="I3" s="56" t="s">
        <v>82</v>
      </c>
      <c r="J3" s="36" t="s">
        <v>14</v>
      </c>
      <c r="K3" s="158"/>
      <c r="L3" s="159"/>
      <c r="M3" s="37"/>
    </row>
    <row r="4" spans="1:13" x14ac:dyDescent="0.25">
      <c r="A4" s="162"/>
      <c r="B4" s="54">
        <v>5500</v>
      </c>
      <c r="C4" s="57">
        <v>19.55</v>
      </c>
      <c r="D4" s="57">
        <v>304</v>
      </c>
      <c r="E4" s="54">
        <v>21</v>
      </c>
      <c r="F4" s="54">
        <v>13</v>
      </c>
      <c r="G4" s="54">
        <v>2</v>
      </c>
      <c r="H4" s="53">
        <v>-11.92</v>
      </c>
      <c r="I4" s="54">
        <v>20.92</v>
      </c>
      <c r="J4" s="82">
        <v>9</v>
      </c>
      <c r="K4" s="149"/>
      <c r="L4" s="150"/>
      <c r="M4" s="6">
        <v>40</v>
      </c>
    </row>
    <row r="5" spans="1:13" ht="4.5" customHeight="1" x14ac:dyDescent="0.25">
      <c r="A5" s="33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</row>
    <row r="6" spans="1:13" ht="18" x14ac:dyDescent="0.25">
      <c r="A6" s="163" t="s">
        <v>41</v>
      </c>
      <c r="B6" s="153" t="s">
        <v>69</v>
      </c>
      <c r="C6" s="27" t="s">
        <v>70</v>
      </c>
      <c r="D6" s="27" t="s">
        <v>39</v>
      </c>
      <c r="E6" s="27" t="s">
        <v>38</v>
      </c>
      <c r="F6" s="38" t="s">
        <v>48</v>
      </c>
      <c r="G6" s="27" t="s">
        <v>71</v>
      </c>
      <c r="H6" s="153" t="s">
        <v>63</v>
      </c>
      <c r="I6" s="27" t="s">
        <v>54</v>
      </c>
      <c r="J6" s="27" t="s">
        <v>50</v>
      </c>
      <c r="K6" s="27" t="s">
        <v>52</v>
      </c>
      <c r="L6" s="27" t="s">
        <v>33</v>
      </c>
      <c r="M6" s="27" t="s">
        <v>74</v>
      </c>
    </row>
    <row r="7" spans="1:13" ht="17.25" x14ac:dyDescent="0.25">
      <c r="A7" s="163"/>
      <c r="B7" s="155"/>
      <c r="C7" s="39" t="s">
        <v>40</v>
      </c>
      <c r="D7" s="39" t="s">
        <v>9</v>
      </c>
      <c r="E7" s="39" t="s">
        <v>2</v>
      </c>
      <c r="F7" s="39" t="s">
        <v>49</v>
      </c>
      <c r="G7" s="39" t="s">
        <v>2</v>
      </c>
      <c r="H7" s="155"/>
      <c r="I7" s="35" t="s">
        <v>55</v>
      </c>
      <c r="J7" s="35" t="s">
        <v>51</v>
      </c>
      <c r="K7" s="35" t="s">
        <v>53</v>
      </c>
      <c r="L7" s="39" t="s">
        <v>2</v>
      </c>
      <c r="M7" s="35" t="s">
        <v>14</v>
      </c>
    </row>
    <row r="8" spans="1:13" x14ac:dyDescent="0.25">
      <c r="A8" s="163"/>
      <c r="B8" s="58">
        <f>B4/60</f>
        <v>91.666666666666671</v>
      </c>
      <c r="C8" s="59">
        <f>2*PI()*B8</f>
        <v>575.95865315812875</v>
      </c>
      <c r="D8" s="59">
        <f>SQRT(1.4*287*(273.15+I8))</f>
        <v>346.11655551273475</v>
      </c>
      <c r="E8" s="56">
        <f>E4*0.0254/2</f>
        <v>0.26669999999999999</v>
      </c>
      <c r="F8" s="60">
        <f>J8/K8</f>
        <v>64753.74275018512</v>
      </c>
      <c r="G8" s="56">
        <f>((2*E8-J12)/2)/M4</f>
        <v>6.2706249999999993E-3</v>
      </c>
      <c r="H8" s="154"/>
      <c r="I8" s="56">
        <v>25</v>
      </c>
      <c r="J8" s="56">
        <f>1.225*(1-(0.0065*D4)/(288.15))^(9.81/(0.0065*287)-1)</f>
        <v>1.1896229792258843</v>
      </c>
      <c r="K8" s="60">
        <f>0.00001716*(((I8+273.15)/(273.15))^1.5)*((273.15+110.4)/(I8+273.15+110.4))</f>
        <v>1.8371493734583912E-5</v>
      </c>
      <c r="L8" s="56">
        <f>E4*0.0254</f>
        <v>0.53339999999999999</v>
      </c>
      <c r="M8" s="56">
        <f>DEGREES(ATAN(F4/(0.75*PI()*E4)))</f>
        <v>14.720737280817831</v>
      </c>
    </row>
    <row r="9" spans="1:13" ht="4.5" customHeight="1" x14ac:dyDescent="0.25">
      <c r="A9" s="33"/>
      <c r="B9" s="33"/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</row>
    <row r="10" spans="1:13" ht="18" x14ac:dyDescent="0.25">
      <c r="A10" s="163" t="s">
        <v>65</v>
      </c>
      <c r="B10" s="2" t="s">
        <v>60</v>
      </c>
      <c r="C10" s="2" t="s">
        <v>61</v>
      </c>
      <c r="D10" s="2" t="s">
        <v>62</v>
      </c>
      <c r="E10" s="2" t="s">
        <v>67</v>
      </c>
      <c r="F10" s="2" t="s">
        <v>68</v>
      </c>
      <c r="G10" s="2" t="s">
        <v>66</v>
      </c>
      <c r="H10" s="2" t="s">
        <v>72</v>
      </c>
      <c r="I10" s="151" t="s">
        <v>73</v>
      </c>
      <c r="J10" s="27" t="s">
        <v>36</v>
      </c>
      <c r="K10" s="27" t="s">
        <v>47</v>
      </c>
      <c r="L10" s="147" t="s">
        <v>83</v>
      </c>
      <c r="M10" s="44"/>
    </row>
    <row r="11" spans="1:13" x14ac:dyDescent="0.25">
      <c r="A11" s="163"/>
      <c r="B11" s="20" t="s">
        <v>26</v>
      </c>
      <c r="C11" s="20" t="s">
        <v>27</v>
      </c>
      <c r="D11" s="20" t="s">
        <v>28</v>
      </c>
      <c r="E11" s="20"/>
      <c r="F11" s="20"/>
      <c r="G11" s="20"/>
      <c r="H11" s="20"/>
      <c r="I11" s="152"/>
      <c r="J11" s="35" t="s">
        <v>2</v>
      </c>
      <c r="K11" s="35" t="s">
        <v>14</v>
      </c>
      <c r="L11" s="148"/>
      <c r="M11" s="45"/>
    </row>
    <row r="12" spans="1:13" x14ac:dyDescent="0.25">
      <c r="A12" s="163"/>
      <c r="B12" s="59" t="e">
        <f>$G$4*SUM(#REF!)</f>
        <v>#REF!</v>
      </c>
      <c r="C12" s="59" t="e">
        <f>$G$4*SUM(#REF!)</f>
        <v>#REF!</v>
      </c>
      <c r="D12" s="59" t="e">
        <f>$G$4*SUM(#REF!)</f>
        <v>#REF!</v>
      </c>
      <c r="E12" s="55" t="e">
        <f>B12/($J$8*$B$8^2*($L$8/$J$12)^4)</f>
        <v>#REF!</v>
      </c>
      <c r="F12" s="61" t="e">
        <f>C12/($J$8*$B$8^2*($L$8/$J$12)^5)</f>
        <v>#REF!</v>
      </c>
      <c r="G12" s="55" t="e">
        <f>D12/($J$8*$B$8^3*($L$8/$J$12)^5)</f>
        <v>#REF!</v>
      </c>
      <c r="H12" s="55">
        <f>C4/(B8*(L8))</f>
        <v>0.39983638408835259</v>
      </c>
      <c r="I12" s="55" t="e">
        <f>H12*(E12/G12)</f>
        <v>#REF!</v>
      </c>
      <c r="J12" s="56">
        <v>3.175E-2</v>
      </c>
      <c r="K12" s="56">
        <f>H4*L12+I4</f>
        <v>20.210476190476193</v>
      </c>
      <c r="L12" s="56">
        <f>J12/L8</f>
        <v>5.9523809523809527E-2</v>
      </c>
      <c r="M12" s="46"/>
    </row>
    <row r="13" spans="1:13" ht="6" customHeight="1" x14ac:dyDescent="0.25">
      <c r="A13" s="33"/>
      <c r="B13" s="33"/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3"/>
    </row>
    <row r="14" spans="1:13" x14ac:dyDescent="0.25">
      <c r="E14" s="160"/>
      <c r="F14" s="160"/>
      <c r="G14" s="160"/>
      <c r="H14" s="160"/>
    </row>
  </sheetData>
  <mergeCells count="11">
    <mergeCell ref="E14:H14"/>
    <mergeCell ref="H6:H8"/>
    <mergeCell ref="A2:A4"/>
    <mergeCell ref="A6:A8"/>
    <mergeCell ref="A10:A12"/>
    <mergeCell ref="L10:L11"/>
    <mergeCell ref="H2:I2"/>
    <mergeCell ref="I10:I11"/>
    <mergeCell ref="B2:B3"/>
    <mergeCell ref="B6:B7"/>
    <mergeCell ref="K2:L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4B8E9-CC12-49B2-A6D8-7524C79B6CFA}">
  <dimension ref="B1:F21"/>
  <sheetViews>
    <sheetView zoomScale="145" zoomScaleNormal="145" workbookViewId="0">
      <selection activeCell="C7" sqref="C7"/>
    </sheetView>
  </sheetViews>
  <sheetFormatPr defaultColWidth="9.140625" defaultRowHeight="15" x14ac:dyDescent="0.25"/>
  <cols>
    <col min="1" max="1" width="9.140625" style="9"/>
    <col min="2" max="2" width="9.140625" style="7"/>
    <col min="3" max="3" width="9.140625" style="8"/>
    <col min="4" max="4" width="9.140625" style="9"/>
    <col min="5" max="5" width="20.140625" style="9" customWidth="1"/>
    <col min="6" max="16384" width="9.140625" style="9"/>
  </cols>
  <sheetData>
    <row r="1" spans="2:6" ht="16.5" thickBot="1" x14ac:dyDescent="0.3">
      <c r="B1" s="14" t="s">
        <v>34</v>
      </c>
      <c r="C1" s="15" t="s">
        <v>43</v>
      </c>
      <c r="E1" s="41" t="s">
        <v>41</v>
      </c>
      <c r="F1" s="42"/>
    </row>
    <row r="2" spans="2:6" x14ac:dyDescent="0.25">
      <c r="B2" s="16" t="s">
        <v>42</v>
      </c>
      <c r="C2" s="17" t="s">
        <v>2</v>
      </c>
      <c r="E2" s="40">
        <f>974.16*2</f>
        <v>1948.32</v>
      </c>
      <c r="F2" s="43"/>
    </row>
    <row r="3" spans="2:6" ht="15.75" thickBot="1" x14ac:dyDescent="0.3">
      <c r="B3" s="18"/>
      <c r="C3" s="19">
        <f>B3*0.3048</f>
        <v>0</v>
      </c>
    </row>
    <row r="4" spans="2:6" x14ac:dyDescent="0.25">
      <c r="B4" s="16" t="s">
        <v>2</v>
      </c>
      <c r="C4" s="17" t="s">
        <v>42</v>
      </c>
    </row>
    <row r="5" spans="2:6" ht="15.75" thickBot="1" x14ac:dyDescent="0.3">
      <c r="B5" s="18"/>
      <c r="C5" s="19">
        <f>B5*3.28</f>
        <v>0</v>
      </c>
    </row>
    <row r="6" spans="2:6" x14ac:dyDescent="0.25">
      <c r="B6" s="16" t="s">
        <v>34</v>
      </c>
      <c r="C6" s="17" t="s">
        <v>2</v>
      </c>
    </row>
    <row r="7" spans="2:6" ht="15.75" thickBot="1" x14ac:dyDescent="0.3">
      <c r="B7" s="18"/>
      <c r="C7" s="19">
        <f>B7*0.0254</f>
        <v>0</v>
      </c>
    </row>
    <row r="8" spans="2:6" x14ac:dyDescent="0.25">
      <c r="B8" s="16" t="s">
        <v>2</v>
      </c>
      <c r="C8" s="17" t="s">
        <v>34</v>
      </c>
    </row>
    <row r="9" spans="2:6" ht="15.75" thickBot="1" x14ac:dyDescent="0.3">
      <c r="B9" s="18"/>
      <c r="C9" s="19">
        <f>B9*39.3700787</f>
        <v>0</v>
      </c>
    </row>
    <row r="10" spans="2:6" x14ac:dyDescent="0.25">
      <c r="B10" s="16" t="s">
        <v>9</v>
      </c>
      <c r="C10" s="17" t="s">
        <v>45</v>
      </c>
    </row>
    <row r="11" spans="2:6" ht="15.75" thickBot="1" x14ac:dyDescent="0.3">
      <c r="B11" s="18"/>
      <c r="C11" s="19">
        <f>B11*1.94384449</f>
        <v>0</v>
      </c>
    </row>
    <row r="12" spans="2:6" x14ac:dyDescent="0.25">
      <c r="B12" s="16" t="s">
        <v>45</v>
      </c>
      <c r="C12" s="17" t="s">
        <v>9</v>
      </c>
    </row>
    <row r="13" spans="2:6" ht="15.75" thickBot="1" x14ac:dyDescent="0.3">
      <c r="B13" s="18">
        <v>160</v>
      </c>
      <c r="C13" s="19">
        <f>B13*0.514444444</f>
        <v>82.31111104</v>
      </c>
    </row>
    <row r="14" spans="2:6" x14ac:dyDescent="0.25">
      <c r="B14" s="16" t="s">
        <v>9</v>
      </c>
      <c r="C14" s="17" t="s">
        <v>44</v>
      </c>
    </row>
    <row r="15" spans="2:6" ht="15.75" thickBot="1" x14ac:dyDescent="0.3">
      <c r="B15" s="18"/>
      <c r="C15" s="19">
        <f>B15*3.6</f>
        <v>0</v>
      </c>
    </row>
    <row r="16" spans="2:6" x14ac:dyDescent="0.25">
      <c r="B16" s="16" t="s">
        <v>44</v>
      </c>
      <c r="C16" s="17" t="s">
        <v>9</v>
      </c>
    </row>
    <row r="17" spans="2:3" x14ac:dyDescent="0.25">
      <c r="B17" s="28"/>
      <c r="C17" s="29">
        <f>B17/3.6</f>
        <v>0</v>
      </c>
    </row>
    <row r="18" spans="2:3" x14ac:dyDescent="0.25">
      <c r="B18" s="10" t="s">
        <v>56</v>
      </c>
      <c r="C18" s="11" t="s">
        <v>26</v>
      </c>
    </row>
    <row r="19" spans="2:3" x14ac:dyDescent="0.25">
      <c r="B19" s="12">
        <v>219</v>
      </c>
      <c r="C19" s="13">
        <f>B19*4.4482216</f>
        <v>974.16053039999997</v>
      </c>
    </row>
    <row r="20" spans="2:3" x14ac:dyDescent="0.25">
      <c r="B20" s="30" t="s">
        <v>26</v>
      </c>
      <c r="C20" s="11" t="s">
        <v>56</v>
      </c>
    </row>
    <row r="21" spans="2:3" x14ac:dyDescent="0.25">
      <c r="B21" s="12">
        <v>101</v>
      </c>
      <c r="C21" s="13">
        <f>B21*0.224808943870961</f>
        <v>22.705703330967062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EA88B-41FD-4D47-99C8-6267545EC7E9}">
  <dimension ref="A1:BJ44"/>
  <sheetViews>
    <sheetView tabSelected="1" topLeftCell="B4" zoomScale="85" zoomScaleNormal="85" workbookViewId="0">
      <pane xSplit="1" topLeftCell="AN1" activePane="topRight" state="frozen"/>
      <selection activeCell="B1" sqref="B1"/>
      <selection pane="topRight" activeCell="BG16" sqref="BG16"/>
    </sheetView>
  </sheetViews>
  <sheetFormatPr defaultColWidth="9.140625" defaultRowHeight="15" x14ac:dyDescent="0.25"/>
  <cols>
    <col min="1" max="1" width="4" style="62" hidden="1" customWidth="1"/>
    <col min="2" max="2" width="3.28515625" style="62" bestFit="1" customWidth="1"/>
    <col min="3" max="3" width="19.7109375" style="62" customWidth="1"/>
    <col min="4" max="4" width="7.140625" style="62" bestFit="1" customWidth="1"/>
    <col min="5" max="5" width="9.85546875" style="62" customWidth="1"/>
    <col min="6" max="6" width="8.28515625" style="62" bestFit="1" customWidth="1"/>
    <col min="7" max="7" width="5.140625" style="62" bestFit="1" customWidth="1"/>
    <col min="8" max="8" width="8.28515625" style="62" bestFit="1" customWidth="1"/>
    <col min="9" max="9" width="6.140625" style="62" bestFit="1" customWidth="1"/>
    <col min="10" max="10" width="9.28515625" style="1" customWidth="1"/>
    <col min="11" max="11" width="6.140625" style="62" bestFit="1" customWidth="1"/>
    <col min="12" max="12" width="10.5703125" style="62" customWidth="1"/>
    <col min="13" max="14" width="12.28515625" style="62" bestFit="1" customWidth="1"/>
    <col min="15" max="15" width="8.85546875" style="62" customWidth="1"/>
    <col min="16" max="16" width="10.85546875" style="62" customWidth="1"/>
    <col min="17" max="17" width="6.7109375" style="62" bestFit="1" customWidth="1"/>
    <col min="18" max="18" width="7.85546875" style="1" bestFit="1" customWidth="1"/>
    <col min="19" max="20" width="9.140625" style="120"/>
    <col min="22" max="22" width="10.28515625" bestFit="1" customWidth="1"/>
    <col min="23" max="23" width="11.85546875" customWidth="1"/>
    <col min="24" max="24" width="9.85546875" customWidth="1"/>
    <col min="25" max="25" width="10.28515625" style="120" bestFit="1" customWidth="1"/>
    <col min="26" max="26" width="9.140625" style="120"/>
    <col min="30" max="30" width="12.28515625" style="132" bestFit="1" customWidth="1"/>
    <col min="31" max="31" width="12.28515625" bestFit="1" customWidth="1"/>
    <col min="32" max="32" width="10.7109375" customWidth="1"/>
    <col min="33" max="33" width="10.5703125" customWidth="1"/>
    <col min="40" max="40" width="15.140625" bestFit="1" customWidth="1"/>
    <col min="41" max="41" width="11.7109375" style="1" customWidth="1"/>
    <col min="42" max="42" width="6.7109375" style="62" bestFit="1" customWidth="1"/>
    <col min="43" max="43" width="9.28515625" style="62" customWidth="1"/>
    <col min="44" max="44" width="10.42578125" style="62" customWidth="1"/>
    <col min="45" max="45" width="13.7109375" style="62" customWidth="1"/>
    <col min="46" max="46" width="7.7109375" style="62" customWidth="1"/>
    <col min="47" max="47" width="9.5703125" style="62" customWidth="1"/>
    <col min="48" max="48" width="6.7109375" style="62" customWidth="1"/>
    <col min="49" max="49" width="7.7109375" style="62" bestFit="1" customWidth="1"/>
    <col min="50" max="53" width="7" style="62" bestFit="1" customWidth="1"/>
    <col min="54" max="54" width="10.42578125" style="62" customWidth="1"/>
    <col min="55" max="55" width="10.28515625" style="62" customWidth="1"/>
    <col min="56" max="56" width="9.85546875" style="62" customWidth="1"/>
    <col min="57" max="57" width="9" style="62" customWidth="1"/>
    <col min="58" max="58" width="7.5703125" style="62" customWidth="1"/>
    <col min="59" max="59" width="12.28515625" style="62" customWidth="1"/>
    <col min="60" max="61" width="10.85546875" style="62" customWidth="1"/>
    <col min="62" max="62" width="7.85546875" style="62" bestFit="1" customWidth="1"/>
    <col min="63" max="16384" width="9.140625" style="62"/>
  </cols>
  <sheetData>
    <row r="1" spans="1:62" x14ac:dyDescent="0.25">
      <c r="B1" s="172"/>
      <c r="C1" s="166" t="s">
        <v>7</v>
      </c>
      <c r="D1" s="167"/>
      <c r="E1" s="167"/>
      <c r="F1" s="168"/>
      <c r="G1" s="166" t="s">
        <v>12</v>
      </c>
      <c r="H1" s="167"/>
      <c r="I1" s="167"/>
      <c r="J1" s="167"/>
      <c r="K1" s="164" t="s">
        <v>15</v>
      </c>
      <c r="L1" s="164"/>
      <c r="M1" s="164"/>
      <c r="N1" s="164"/>
      <c r="O1" s="164"/>
      <c r="P1" s="164"/>
      <c r="Q1" s="164"/>
      <c r="R1" s="164"/>
      <c r="AO1" s="110" t="s">
        <v>29</v>
      </c>
      <c r="AP1" s="110"/>
      <c r="AQ1" s="110"/>
      <c r="AR1" s="111" t="s">
        <v>30</v>
      </c>
      <c r="AS1" s="113"/>
      <c r="AT1" s="112"/>
      <c r="AU1" s="110"/>
      <c r="AV1" s="114"/>
      <c r="AW1" s="115" t="s">
        <v>75</v>
      </c>
      <c r="AX1" s="115"/>
      <c r="AY1" s="115"/>
      <c r="AZ1" s="115"/>
      <c r="BA1" s="78"/>
      <c r="BB1" s="110" t="s">
        <v>90</v>
      </c>
      <c r="BC1" s="110"/>
      <c r="BD1" s="110"/>
      <c r="BE1" s="77"/>
      <c r="BF1" s="77"/>
      <c r="BG1" s="32"/>
      <c r="BH1" s="79" t="s">
        <v>59</v>
      </c>
      <c r="BI1" s="80"/>
      <c r="BJ1" s="81"/>
    </row>
    <row r="2" spans="1:62" ht="18" x14ac:dyDescent="0.25">
      <c r="B2" s="173"/>
      <c r="C2" s="2" t="s">
        <v>3</v>
      </c>
      <c r="D2" s="2" t="s">
        <v>4</v>
      </c>
      <c r="E2" s="2" t="s">
        <v>88</v>
      </c>
      <c r="F2" s="3" t="s">
        <v>5</v>
      </c>
      <c r="G2" s="4" t="s">
        <v>8</v>
      </c>
      <c r="H2" s="4" t="s">
        <v>10</v>
      </c>
      <c r="I2" s="4" t="s">
        <v>31</v>
      </c>
      <c r="J2" s="4" t="s">
        <v>11</v>
      </c>
      <c r="K2" s="165" t="s">
        <v>16</v>
      </c>
      <c r="L2" s="164"/>
      <c r="M2" s="165" t="s">
        <v>57</v>
      </c>
      <c r="N2" s="164"/>
      <c r="O2" s="165" t="s">
        <v>17</v>
      </c>
      <c r="P2" s="164"/>
      <c r="Q2" s="165" t="s">
        <v>87</v>
      </c>
      <c r="R2" s="164"/>
      <c r="S2" s="120" t="s">
        <v>92</v>
      </c>
      <c r="T2" s="120" t="s">
        <v>93</v>
      </c>
      <c r="U2" s="131" t="s">
        <v>101</v>
      </c>
      <c r="V2" s="131" t="s">
        <v>98</v>
      </c>
      <c r="W2" s="131" t="s">
        <v>99</v>
      </c>
      <c r="X2" s="131" t="s">
        <v>93</v>
      </c>
      <c r="Y2" s="130" t="s">
        <v>19</v>
      </c>
      <c r="Z2" s="130" t="s">
        <v>20</v>
      </c>
      <c r="AA2" s="129" t="s">
        <v>94</v>
      </c>
      <c r="AB2" s="129" t="s">
        <v>95</v>
      </c>
      <c r="AC2" s="131" t="s">
        <v>100</v>
      </c>
      <c r="AD2" s="132" t="s">
        <v>96</v>
      </c>
      <c r="AE2" s="131" t="s">
        <v>102</v>
      </c>
      <c r="AF2" s="129"/>
      <c r="AG2" s="175" t="s">
        <v>91</v>
      </c>
      <c r="AH2" s="176"/>
      <c r="AI2" s="176"/>
      <c r="AJ2" s="176"/>
      <c r="AK2" s="176"/>
      <c r="AL2" s="176"/>
      <c r="AM2" s="176"/>
      <c r="AN2" s="177"/>
      <c r="AO2" s="164" t="s">
        <v>18</v>
      </c>
      <c r="AP2" s="164" t="s">
        <v>19</v>
      </c>
      <c r="AQ2" s="164" t="s">
        <v>20</v>
      </c>
      <c r="AR2" s="2" t="s">
        <v>21</v>
      </c>
      <c r="AS2" s="2" t="s">
        <v>22</v>
      </c>
      <c r="AT2" s="2" t="s">
        <v>23</v>
      </c>
      <c r="AU2" s="2" t="s">
        <v>24</v>
      </c>
      <c r="AV2" s="50" t="s">
        <v>25</v>
      </c>
      <c r="AW2" s="48" t="s">
        <v>76</v>
      </c>
      <c r="AX2" s="2" t="s">
        <v>77</v>
      </c>
      <c r="AY2" s="2" t="s">
        <v>78</v>
      </c>
      <c r="AZ2" s="2" t="s">
        <v>79</v>
      </c>
      <c r="BA2" s="2" t="s">
        <v>80</v>
      </c>
      <c r="BB2" s="2" t="s">
        <v>21</v>
      </c>
      <c r="BC2" s="2" t="s">
        <v>22</v>
      </c>
      <c r="BD2" s="2" t="s">
        <v>23</v>
      </c>
      <c r="BE2" s="2" t="s">
        <v>24</v>
      </c>
      <c r="BF2" s="2" t="s">
        <v>25</v>
      </c>
      <c r="BG2" s="32"/>
      <c r="BH2" s="2" t="s">
        <v>60</v>
      </c>
      <c r="BI2" s="2" t="s">
        <v>61</v>
      </c>
      <c r="BJ2" s="2" t="s">
        <v>62</v>
      </c>
    </row>
    <row r="3" spans="1:62" ht="17.25" x14ac:dyDescent="0.25">
      <c r="B3" s="77" t="s">
        <v>89</v>
      </c>
      <c r="C3" s="20" t="s">
        <v>2</v>
      </c>
      <c r="D3" s="20"/>
      <c r="E3" s="20" t="s">
        <v>2</v>
      </c>
      <c r="F3" s="20" t="s">
        <v>6</v>
      </c>
      <c r="G3" s="20" t="s">
        <v>9</v>
      </c>
      <c r="H3" s="20" t="s">
        <v>9</v>
      </c>
      <c r="I3" s="20" t="s">
        <v>9</v>
      </c>
      <c r="J3" s="65"/>
      <c r="K3" s="21" t="s">
        <v>13</v>
      </c>
      <c r="L3" s="21" t="s">
        <v>14</v>
      </c>
      <c r="M3" s="21" t="s">
        <v>13</v>
      </c>
      <c r="N3" s="21" t="s">
        <v>14</v>
      </c>
      <c r="O3" s="21" t="s">
        <v>13</v>
      </c>
      <c r="P3" s="21" t="s">
        <v>14</v>
      </c>
      <c r="Q3" s="21" t="s">
        <v>13</v>
      </c>
      <c r="R3" s="77" t="s">
        <v>14</v>
      </c>
      <c r="S3" s="121" t="s">
        <v>9</v>
      </c>
      <c r="T3" s="121" t="s">
        <v>9</v>
      </c>
      <c r="U3" s="116" t="s">
        <v>9</v>
      </c>
      <c r="V3" s="116" t="s">
        <v>14</v>
      </c>
      <c r="W3" s="116" t="s">
        <v>14</v>
      </c>
      <c r="X3" s="116" t="s">
        <v>9</v>
      </c>
      <c r="AC3" s="119"/>
      <c r="AO3" s="164"/>
      <c r="AP3" s="164"/>
      <c r="AQ3" s="164"/>
      <c r="AR3" s="20" t="s">
        <v>26</v>
      </c>
      <c r="AS3" s="20" t="s">
        <v>26</v>
      </c>
      <c r="AT3" s="20" t="s">
        <v>26</v>
      </c>
      <c r="AU3" s="20" t="s">
        <v>27</v>
      </c>
      <c r="AV3" s="51" t="s">
        <v>28</v>
      </c>
      <c r="AW3" s="49"/>
      <c r="AX3" s="20"/>
      <c r="AY3" s="20"/>
      <c r="AZ3" s="20"/>
      <c r="BA3" s="20"/>
      <c r="BB3" s="20" t="s">
        <v>26</v>
      </c>
      <c r="BC3" s="20" t="s">
        <v>26</v>
      </c>
      <c r="BD3" s="20" t="s">
        <v>26</v>
      </c>
      <c r="BE3" s="20" t="s">
        <v>27</v>
      </c>
      <c r="BF3" s="20" t="s">
        <v>28</v>
      </c>
      <c r="BG3" s="32"/>
      <c r="BH3" s="20" t="s">
        <v>26</v>
      </c>
      <c r="BI3" s="20" t="s">
        <v>27</v>
      </c>
      <c r="BJ3" s="20" t="s">
        <v>28</v>
      </c>
    </row>
    <row r="4" spans="1:62" x14ac:dyDescent="0.25">
      <c r="A4" s="169" t="s">
        <v>86</v>
      </c>
      <c r="B4" s="66">
        <v>1</v>
      </c>
      <c r="C4" s="67">
        <v>1.6E-2</v>
      </c>
      <c r="D4" s="68">
        <f>C4/PROP_InOut!$E$8</f>
        <v>5.9992500937382828E-2</v>
      </c>
      <c r="E4" s="68"/>
      <c r="F4" s="69">
        <f>E4*PROP_InOut!$G$8</f>
        <v>0</v>
      </c>
      <c r="G4" s="70">
        <f>PROP_InOut!$C$4</f>
        <v>19.55</v>
      </c>
      <c r="H4" s="67">
        <f>PROP_InOut!$C$8*'PROP_Table (2)'!C4</f>
        <v>9.2153384505300604</v>
      </c>
      <c r="I4" s="71">
        <f>SQRT(G4^2+H4^2)</f>
        <v>21.613073884984935</v>
      </c>
      <c r="J4" s="72">
        <f>I4/PROP_InOut!$D$8</f>
        <v>6.244449605413261E-2</v>
      </c>
      <c r="K4" s="67">
        <f>ATAN(G4/H4)</f>
        <v>1.1303116086711515</v>
      </c>
      <c r="L4" s="71">
        <f>DEGREES(K4)</f>
        <v>64.762084711499682</v>
      </c>
      <c r="M4" s="70">
        <v>0</v>
      </c>
      <c r="N4" s="70">
        <v>0</v>
      </c>
      <c r="O4" s="67">
        <f>RADIANS(P4)</f>
        <v>0.35029360641672724</v>
      </c>
      <c r="P4" s="71">
        <f>PROP_InOut!$K$12*(1-(B4-0.5)/PROP_InOut!$M$4)+PROP_InOut!$J$4*((B4-0.5)/PROP_InOut!$M$4)</f>
        <v>20.070345238095243</v>
      </c>
      <c r="Q4" s="67">
        <f>RADIANS(R4)</f>
        <v>-0.78001800225442419</v>
      </c>
      <c r="R4" s="72">
        <f>P4-L4-N4</f>
        <v>-44.691739473404439</v>
      </c>
      <c r="AO4" s="73">
        <f>PROP_InOut!$F$8*'PROP_Table (2)'!I4*'PROP_Table (2)'!E4</f>
        <v>0</v>
      </c>
      <c r="AP4" s="76"/>
      <c r="AQ4" s="76"/>
      <c r="AR4" s="67">
        <f>0.5*PROP_InOut!$J$8*I4^2*E4*AP4*PROP_InOut!$G$8</f>
        <v>0</v>
      </c>
      <c r="AS4" s="67">
        <f>0.5*PROP_InOut!$J$8*I4^2*E4*AQ4*PROP_InOut!$G$8</f>
        <v>0</v>
      </c>
      <c r="AT4" s="67">
        <f t="shared" ref="AT4:AT41" si="0">(BB4*COS(K4+M4)-BC4*SIN(K4+M4))</f>
        <v>0</v>
      </c>
      <c r="AU4" s="67">
        <f t="shared" ref="AU4:AU41" si="1">(C4*(BB4*SIN(K4+M4)+BC4*COS(K4+M4)))</f>
        <v>0</v>
      </c>
      <c r="AV4" s="52">
        <f t="shared" ref="AV4:AV41" si="2">(H4*(BB4*SIN(K4+M4)+BC4*COS(K4+M4)))</f>
        <v>0</v>
      </c>
      <c r="AW4" s="75">
        <f>PROP_InOut!$G$4/2*((PROP_InOut!$E$8-'PROP_Table (2)'!C4)/('PROP_Table (2)'!C4*SIN('PROP_Table (2)'!K4)))</f>
        <v>17.322243040171745</v>
      </c>
      <c r="AX4" s="75">
        <f>2/PI()*ACOS(EXP(-AW4))</f>
        <v>0.99999998090474085</v>
      </c>
      <c r="AY4" s="75">
        <f>PROP_InOut!$G$4/2*((C4-PROP_InOut!$J$12/2)/(C4*SIN('PROP_Table (2)'!K4)))</f>
        <v>8.6369380934242946E-3</v>
      </c>
      <c r="AZ4" s="75">
        <f>2/PI()*ACOS(EXP(-AY4))</f>
        <v>8.3550621070157927E-2</v>
      </c>
      <c r="BA4" s="75">
        <f>AZ4*AX4</f>
        <v>8.3550619474737159E-2</v>
      </c>
      <c r="BB4" s="68">
        <f>0.5*PROP_InOut!$J$8*I4^2*E4*AP4*PROP_InOut!$G$8</f>
        <v>0</v>
      </c>
      <c r="BC4" s="68">
        <f>0.5*PROP_InOut!$J$8*I4^2*E4*AQ4*PROP_InOut!$G$8</f>
        <v>0</v>
      </c>
      <c r="BD4" s="68">
        <f t="shared" ref="BD4:BD41" si="3">BA4*(BB4*COS(K4+M4)-BC4*SIN(K4+M4))</f>
        <v>0</v>
      </c>
      <c r="BE4" s="68">
        <f t="shared" ref="BE4:BE41" si="4">BA4*(C4*(BB4*SIN(K4+M4)+BC4*COS(K4+M4)))</f>
        <v>0</v>
      </c>
      <c r="BF4" s="68">
        <f>BA4*(H4*(BB4*SIN(K4+M4)+BC4*COS(K4+M4)))</f>
        <v>0</v>
      </c>
      <c r="BG4" s="74"/>
      <c r="BH4" s="34">
        <f>PROP_InOut!$G$4*SUM(AT$4:AT$42)</f>
        <v>69.337597218022793</v>
      </c>
      <c r="BI4" s="34">
        <f>PROP_InOut!$G$4*SUM(AU:AU)</f>
        <v>3.2167667757086438</v>
      </c>
      <c r="BJ4" s="34">
        <f>PROP_InOut!$G$4*SUM(AV:AV)</f>
        <v>1852.7246596609671</v>
      </c>
    </row>
    <row r="5" spans="1:62" x14ac:dyDescent="0.25">
      <c r="A5" s="169"/>
      <c r="B5" s="66">
        <v>2</v>
      </c>
      <c r="C5" s="67">
        <v>2.4E-2</v>
      </c>
      <c r="D5" s="68">
        <f>C5/PROP_InOut!$E$8</f>
        <v>8.9988751406074249E-2</v>
      </c>
      <c r="E5" s="68"/>
      <c r="F5" s="69">
        <f>E5*PROP_InOut!$G$8</f>
        <v>0</v>
      </c>
      <c r="G5" s="70">
        <f>PROP_InOut!$C$4</f>
        <v>19.55</v>
      </c>
      <c r="H5" s="67">
        <f>PROP_InOut!$C$8*'PROP_Table (2)'!C5</f>
        <v>13.82300767579509</v>
      </c>
      <c r="I5" s="71">
        <f t="shared" ref="I5:I41" si="5">SQRT(G5^2+H5^2)</f>
        <v>23.943225371805905</v>
      </c>
      <c r="J5" s="72">
        <f>I5/PROP_InOut!$D$8</f>
        <v>6.917677005174333E-2</v>
      </c>
      <c r="K5" s="67">
        <f t="shared" ref="K5:K41" si="6">ATAN(G5/H5)</f>
        <v>0.95534832885775922</v>
      </c>
      <c r="L5" s="71">
        <f t="shared" ref="L5:L41" si="7">DEGREES(K5)</f>
        <v>54.737427208425835</v>
      </c>
      <c r="M5" s="70">
        <v>0</v>
      </c>
      <c r="N5" s="70">
        <v>0</v>
      </c>
      <c r="O5" s="67">
        <f t="shared" ref="O5:O41" si="8">RADIANS(P5)</f>
        <v>0.34540211341072119</v>
      </c>
      <c r="P5" s="71">
        <f>PROP_InOut!$K$12*(1-(B5-0.5)/PROP_InOut!$M$4)+PROP_InOut!$J$4*((B5-0.5)/PROP_InOut!$M$4)</f>
        <v>19.790083333333335</v>
      </c>
      <c r="Q5" s="67">
        <f t="shared" ref="Q5:Q22" si="9">RADIANS(R5)</f>
        <v>-0.60994621544703809</v>
      </c>
      <c r="R5" s="72">
        <f t="shared" ref="R5:R41" si="10">P5-L5-N5</f>
        <v>-34.9473438750925</v>
      </c>
      <c r="AO5" s="73">
        <f>PROP_InOut!$F$8*'PROP_Table (2)'!I5*'PROP_Table (2)'!E5</f>
        <v>0</v>
      </c>
      <c r="AP5" s="67"/>
      <c r="AQ5" s="67"/>
      <c r="AR5" s="67">
        <f>0.5*PROP_InOut!$J$8*I5^2*E5*AP5*PROP_InOut!$G$8</f>
        <v>0</v>
      </c>
      <c r="AS5" s="67">
        <f>0.5*PROP_InOut!$J$8*I5^2*E5*AQ5*PROP_InOut!$G$8</f>
        <v>0</v>
      </c>
      <c r="AT5" s="67">
        <f t="shared" si="0"/>
        <v>0</v>
      </c>
      <c r="AU5" s="67">
        <f t="shared" si="1"/>
        <v>0</v>
      </c>
      <c r="AV5" s="52">
        <f t="shared" si="2"/>
        <v>0</v>
      </c>
      <c r="AW5" s="75">
        <f>PROP_InOut!$G$4/2*((PROP_InOut!$E$8-'PROP_Table (2)'!C5)/('PROP_Table (2)'!C5*SIN('PROP_Table (2)'!K5)))</f>
        <v>12.384954811886814</v>
      </c>
      <c r="AX5" s="75">
        <f t="shared" ref="AX5:AX41" si="11">2/PI()*ACOS(EXP(-AW5))</f>
        <v>0.99999733827864146</v>
      </c>
      <c r="AY5" s="75">
        <f>PROP_InOut!$G$4/2*((C5-PROP_InOut!$J$12/2)/(C5*SIN('PROP_Table (2)'!K5)))</f>
        <v>0.41461787328628086</v>
      </c>
      <c r="AZ5" s="75">
        <f t="shared" ref="AZ5:AZ41" si="12">2/PI()*ACOS(EXP(-AY5))</f>
        <v>0.54061013018494364</v>
      </c>
      <c r="BA5" s="75">
        <f t="shared" ref="BA5:BA41" si="13">AZ5*AX5</f>
        <v>0.54060869123141353</v>
      </c>
      <c r="BB5" s="68">
        <f>0.5*PROP_InOut!$J$8*I5^2*E5*AP5*PROP_InOut!$G$8</f>
        <v>0</v>
      </c>
      <c r="BC5" s="68">
        <f>0.5*PROP_InOut!$J$8*I5^2*E5*AQ5*PROP_InOut!$G$8</f>
        <v>0</v>
      </c>
      <c r="BD5" s="68">
        <f t="shared" si="3"/>
        <v>0</v>
      </c>
      <c r="BE5" s="68">
        <f t="shared" si="4"/>
        <v>0</v>
      </c>
      <c r="BF5" s="68">
        <f t="shared" ref="BF5:BF41" si="14">H5*(BB5*SIN(K5+M5)+BC5*COS(K5+M5))</f>
        <v>0</v>
      </c>
      <c r="BG5" s="74"/>
      <c r="BH5" s="32"/>
      <c r="BI5" s="32"/>
      <c r="BJ5" s="32"/>
    </row>
    <row r="6" spans="1:62" x14ac:dyDescent="0.25">
      <c r="A6" s="169"/>
      <c r="B6" s="66">
        <v>3</v>
      </c>
      <c r="C6" s="67">
        <v>3.2000000000000001E-2</v>
      </c>
      <c r="D6" s="68">
        <f>C6/PROP_InOut!$E$8</f>
        <v>0.11998500187476566</v>
      </c>
      <c r="E6" s="68"/>
      <c r="F6" s="69">
        <f>E6*PROP_InOut!$G$8</f>
        <v>0</v>
      </c>
      <c r="G6" s="70">
        <f>PROP_InOut!$C$4</f>
        <v>19.55</v>
      </c>
      <c r="H6" s="67">
        <f>PROP_InOut!$C$8*'PROP_Table (2)'!C6</f>
        <v>18.430676901060121</v>
      </c>
      <c r="I6" s="71">
        <f t="shared" si="5"/>
        <v>26.868054470528214</v>
      </c>
      <c r="J6" s="72">
        <f>I6/PROP_InOut!$D$8</f>
        <v>7.7627186687808269E-2</v>
      </c>
      <c r="K6" s="67">
        <f t="shared" si="6"/>
        <v>0.81486049275149641</v>
      </c>
      <c r="L6" s="71">
        <f t="shared" si="7"/>
        <v>46.688067126611358</v>
      </c>
      <c r="M6" s="70">
        <v>0</v>
      </c>
      <c r="N6" s="70">
        <v>0</v>
      </c>
      <c r="O6" s="67">
        <f t="shared" si="8"/>
        <v>0.34051062040471519</v>
      </c>
      <c r="P6" s="71">
        <f>PROP_InOut!$K$12*(1-(B6-0.5)/PROP_InOut!$M$4)+PROP_InOut!$J$4*((B6-0.5)/PROP_InOut!$M$4)</f>
        <v>19.509821428571431</v>
      </c>
      <c r="Q6" s="67">
        <f t="shared" si="9"/>
        <v>-0.47434987234678128</v>
      </c>
      <c r="R6" s="72">
        <f t="shared" si="10"/>
        <v>-27.178245698039927</v>
      </c>
      <c r="Y6" s="120">
        <v>0.31037999999999999</v>
      </c>
      <c r="Z6" s="120">
        <v>2.4029999999999999E-2</v>
      </c>
      <c r="AI6">
        <v>1.2260974984208941</v>
      </c>
      <c r="AJ6">
        <v>1.2265743583411572</v>
      </c>
      <c r="AK6">
        <v>1.2040976360406923</v>
      </c>
      <c r="AO6" s="73">
        <f>PROP_InOut!$F$8*'PROP_Table (2)'!I6*'PROP_Table (2)'!E6</f>
        <v>0</v>
      </c>
      <c r="AP6" s="67"/>
      <c r="AQ6" s="67"/>
      <c r="AR6" s="67">
        <f>0.5*PROP_InOut!$J$8*I6^2*E6*AP6*PROP_InOut!$G$8</f>
        <v>0</v>
      </c>
      <c r="AS6" s="67">
        <f>0.5*PROP_InOut!$J$8*I6^2*E6*AQ6*PROP_InOut!$G$8</f>
        <v>0</v>
      </c>
      <c r="AT6" s="67">
        <f t="shared" si="0"/>
        <v>0</v>
      </c>
      <c r="AU6" s="67">
        <f t="shared" si="1"/>
        <v>0</v>
      </c>
      <c r="AV6" s="52">
        <f t="shared" si="2"/>
        <v>0</v>
      </c>
      <c r="AW6" s="75">
        <f>PROP_InOut!$G$4/2*((PROP_InOut!$E$8-'PROP_Table (2)'!C6)/('PROP_Table (2)'!C6*SIN('PROP_Table (2)'!K6)))</f>
        <v>10.079815192188253</v>
      </c>
      <c r="AX6" s="75">
        <f t="shared" si="11"/>
        <v>0.99997331470510264</v>
      </c>
      <c r="AY6" s="75">
        <f>PROP_InOut!$G$4/2*((C6-PROP_InOut!$J$12/2)/(C6*SIN('PROP_Table (2)'!K6)))</f>
        <v>0.69253097560304899</v>
      </c>
      <c r="AZ6" s="75">
        <f t="shared" si="12"/>
        <v>0.66644008585435688</v>
      </c>
      <c r="BA6" s="75">
        <f t="shared" si="13"/>
        <v>0.66642230170413441</v>
      </c>
      <c r="BB6" s="68">
        <f>0.5*PROP_InOut!$J$8*I6^2*E6*AP6*PROP_InOut!$G$8</f>
        <v>0</v>
      </c>
      <c r="BC6" s="68">
        <f>0.5*PROP_InOut!$J$8*I6^2*E6*AQ6*PROP_InOut!$G$8</f>
        <v>0</v>
      </c>
      <c r="BD6" s="68">
        <f t="shared" si="3"/>
        <v>0</v>
      </c>
      <c r="BE6" s="68">
        <f t="shared" si="4"/>
        <v>0</v>
      </c>
      <c r="BF6" s="68">
        <f t="shared" si="14"/>
        <v>0</v>
      </c>
      <c r="BG6" s="74"/>
      <c r="BH6" s="79" t="s">
        <v>81</v>
      </c>
      <c r="BI6" s="80"/>
      <c r="BJ6" s="81"/>
    </row>
    <row r="7" spans="1:62" x14ac:dyDescent="0.25">
      <c r="A7" s="169"/>
      <c r="B7" s="66">
        <v>4</v>
      </c>
      <c r="C7" s="67">
        <v>0.04</v>
      </c>
      <c r="D7" s="68">
        <f>C7/PROP_InOut!$E$8</f>
        <v>0.14998125234345708</v>
      </c>
      <c r="E7" s="68"/>
      <c r="F7" s="69">
        <f>E7*PROP_InOut!$G$8</f>
        <v>0</v>
      </c>
      <c r="G7" s="70">
        <f>PROP_InOut!$C$4</f>
        <v>19.55</v>
      </c>
      <c r="H7" s="67">
        <f>PROP_InOut!$C$8*'PROP_Table (2)'!C7</f>
        <v>23.038346126325152</v>
      </c>
      <c r="I7" s="71">
        <f t="shared" si="5"/>
        <v>30.215358548863211</v>
      </c>
      <c r="J7" s="72">
        <f>I7/PROP_InOut!$D$8</f>
        <v>8.7298218093330965E-2</v>
      </c>
      <c r="K7" s="67">
        <f t="shared" si="6"/>
        <v>0.70367213750958091</v>
      </c>
      <c r="L7" s="71">
        <f t="shared" si="7"/>
        <v>40.317443640248293</v>
      </c>
      <c r="M7" s="70">
        <v>0</v>
      </c>
      <c r="N7" s="70">
        <v>0</v>
      </c>
      <c r="O7" s="67">
        <f t="shared" si="8"/>
        <v>0.33561912739870919</v>
      </c>
      <c r="P7" s="71">
        <f>PROP_InOut!$K$12*(1-(B7-0.5)/PROP_InOut!$M$4)+PROP_InOut!$J$4*((B7-0.5)/PROP_InOut!$M$4)</f>
        <v>19.229559523809527</v>
      </c>
      <c r="Q7" s="67">
        <f t="shared" si="9"/>
        <v>-0.36805301011087171</v>
      </c>
      <c r="R7" s="72">
        <f t="shared" si="10"/>
        <v>-21.087884116438765</v>
      </c>
      <c r="W7" s="137"/>
      <c r="AO7" s="73">
        <f>PROP_InOut!$F$8*'PROP_Table (2)'!I7*'PROP_Table (2)'!E7</f>
        <v>0</v>
      </c>
      <c r="AP7" s="67"/>
      <c r="AQ7" s="67"/>
      <c r="AR7" s="67">
        <f>0.5*PROP_InOut!$J$8*I7^2*E7*AP7*PROP_InOut!$G$8</f>
        <v>0</v>
      </c>
      <c r="AS7" s="67">
        <f>0.5*PROP_InOut!$J$8*I7^2*E7*AQ7*PROP_InOut!$G$8</f>
        <v>0</v>
      </c>
      <c r="AT7" s="67">
        <f t="shared" si="0"/>
        <v>0</v>
      </c>
      <c r="AU7" s="67">
        <f t="shared" si="1"/>
        <v>0</v>
      </c>
      <c r="AV7" s="52">
        <f t="shared" si="2"/>
        <v>0</v>
      </c>
      <c r="AW7" s="75">
        <f>PROP_InOut!$G$4/2*((PROP_InOut!$E$8-'PROP_Table (2)'!C7)/('PROP_Table (2)'!C7*SIN('PROP_Table (2)'!K7)))</f>
        <v>8.7593628938967889</v>
      </c>
      <c r="AX7" s="75">
        <f t="shared" si="11"/>
        <v>0.99990006050399927</v>
      </c>
      <c r="AY7" s="75">
        <f>PROP_InOut!$G$4/2*((C7-PROP_InOut!$J$12/2)/(C7*SIN('PROP_Table (2)'!K7)))</f>
        <v>0.93215540280220577</v>
      </c>
      <c r="AZ7" s="75">
        <f t="shared" si="12"/>
        <v>0.74238685485237244</v>
      </c>
      <c r="BA7" s="75">
        <f t="shared" si="13"/>
        <v>0.74231266108426097</v>
      </c>
      <c r="BB7" s="68">
        <f>0.5*PROP_InOut!$J$8*I7^2*E7*AP7*PROP_InOut!$G$8</f>
        <v>0</v>
      </c>
      <c r="BC7" s="68">
        <f>0.5*PROP_InOut!$J$8*I7^2*E7*AQ7*PROP_InOut!$G$8</f>
        <v>0</v>
      </c>
      <c r="BD7" s="68">
        <f t="shared" si="3"/>
        <v>0</v>
      </c>
      <c r="BE7" s="68">
        <f t="shared" si="4"/>
        <v>0</v>
      </c>
      <c r="BF7" s="68">
        <f t="shared" si="14"/>
        <v>0</v>
      </c>
      <c r="BG7" s="74"/>
      <c r="BH7" s="2" t="s">
        <v>60</v>
      </c>
      <c r="BI7" s="2" t="s">
        <v>61</v>
      </c>
      <c r="BJ7" s="2" t="s">
        <v>62</v>
      </c>
    </row>
    <row r="8" spans="1:62" x14ac:dyDescent="0.25">
      <c r="A8" s="169"/>
      <c r="B8" s="66">
        <v>5</v>
      </c>
      <c r="C8" s="67">
        <v>4.8000000000000001E-2</v>
      </c>
      <c r="D8" s="68">
        <f>C8/PROP_InOut!$E$8</f>
        <v>0.1799775028121485</v>
      </c>
      <c r="E8" s="68"/>
      <c r="F8" s="69">
        <f>E8*PROP_InOut!$G$8</f>
        <v>0</v>
      </c>
      <c r="G8" s="70">
        <f>PROP_InOut!$C$4</f>
        <v>19.55</v>
      </c>
      <c r="H8" s="67">
        <f>PROP_InOut!$C$8*'PROP_Table (2)'!C8</f>
        <v>27.646015351590179</v>
      </c>
      <c r="I8" s="71">
        <f t="shared" si="5"/>
        <v>33.860074790531101</v>
      </c>
      <c r="J8" s="72">
        <f>I8/PROP_InOut!$D$8</f>
        <v>9.7828532762239628E-2</v>
      </c>
      <c r="K8" s="67">
        <f t="shared" si="6"/>
        <v>0.61551142011469895</v>
      </c>
      <c r="L8" s="71">
        <f t="shared" si="7"/>
        <v>35.266206614675973</v>
      </c>
      <c r="M8" s="70">
        <v>0</v>
      </c>
      <c r="N8" s="70">
        <v>0</v>
      </c>
      <c r="O8" s="67">
        <f t="shared" si="8"/>
        <v>0.33072763439270314</v>
      </c>
      <c r="P8" s="71">
        <f>PROP_InOut!$K$12*(1-(B8-0.5)/PROP_InOut!$M$4)+PROP_InOut!$J$4*((B8-0.5)/PROP_InOut!$M$4)</f>
        <v>18.94929761904762</v>
      </c>
      <c r="Q8" s="67">
        <f t="shared" si="9"/>
        <v>-0.28478378572199581</v>
      </c>
      <c r="R8" s="72">
        <f t="shared" si="10"/>
        <v>-16.316908995628353</v>
      </c>
      <c r="W8" s="135">
        <f>W10</f>
        <v>5.6900783520388876</v>
      </c>
      <c r="Y8" s="120">
        <v>0.39704</v>
      </c>
      <c r="Z8" s="120">
        <v>1.593E-2</v>
      </c>
      <c r="AO8" s="73">
        <f>PROP_InOut!$F$8*'PROP_Table (2)'!I8*'PROP_Table (2)'!E8</f>
        <v>0</v>
      </c>
      <c r="AP8" s="67"/>
      <c r="AQ8" s="67"/>
      <c r="AR8" s="67">
        <f>0.5*PROP_InOut!$J$8*I8^2*E8*AP8*PROP_InOut!$G$8</f>
        <v>0</v>
      </c>
      <c r="AS8" s="67">
        <f>0.5*PROP_InOut!$J$8*I8^2*E8*AQ8*PROP_InOut!$G$8</f>
        <v>0</v>
      </c>
      <c r="AT8" s="67">
        <f t="shared" si="0"/>
        <v>0</v>
      </c>
      <c r="AU8" s="67">
        <f t="shared" si="1"/>
        <v>0</v>
      </c>
      <c r="AV8" s="52">
        <f t="shared" si="2"/>
        <v>0</v>
      </c>
      <c r="AW8" s="75">
        <f>PROP_InOut!$G$4/2*((PROP_InOut!$E$8-'PROP_Table (2)'!C8)/('PROP_Table (2)'!C8*SIN('PROP_Table (2)'!K8)))</f>
        <v>7.8913025966423191</v>
      </c>
      <c r="AX8" s="75">
        <f t="shared" si="11"/>
        <v>0.99976191558888472</v>
      </c>
      <c r="AY8" s="75">
        <f>PROP_InOut!$G$4/2*((C8-PROP_InOut!$J$12/2)/(C8*SIN('PROP_Table (2)'!K8)))</f>
        <v>1.1591591034162529</v>
      </c>
      <c r="AZ8" s="75">
        <f t="shared" si="12"/>
        <v>0.79682930042710265</v>
      </c>
      <c r="BA8" s="75">
        <f t="shared" si="13"/>
        <v>0.79663958779235111</v>
      </c>
      <c r="BB8" s="68">
        <f>0.5*PROP_InOut!$J$8*I8^2*E8*AP8*PROP_InOut!$G$8</f>
        <v>0</v>
      </c>
      <c r="BC8" s="68">
        <f>0.5*PROP_InOut!$J$8*I8^2*E8*AQ8*PROP_InOut!$G$8</f>
        <v>0</v>
      </c>
      <c r="BD8" s="68">
        <f t="shared" si="3"/>
        <v>0</v>
      </c>
      <c r="BE8" s="68">
        <f t="shared" si="4"/>
        <v>0</v>
      </c>
      <c r="BF8" s="68">
        <f t="shared" si="14"/>
        <v>0</v>
      </c>
      <c r="BG8" s="74"/>
      <c r="BH8" s="20" t="s">
        <v>26</v>
      </c>
      <c r="BI8" s="20" t="s">
        <v>27</v>
      </c>
      <c r="BJ8" s="20" t="s">
        <v>28</v>
      </c>
    </row>
    <row r="9" spans="1:62" ht="15.75" thickBot="1" x14ac:dyDescent="0.3">
      <c r="A9" s="169"/>
      <c r="B9" s="66">
        <v>6</v>
      </c>
      <c r="C9" s="67">
        <v>6.275E-2</v>
      </c>
      <c r="D9" s="68">
        <f>C9/PROP_InOut!$E$8</f>
        <v>0.23528308961379829</v>
      </c>
      <c r="E9" s="68"/>
      <c r="F9" s="69">
        <f>E9*PROP_InOut!$G$8</f>
        <v>0</v>
      </c>
      <c r="G9" s="70">
        <f>PROP_InOut!$C$4</f>
        <v>19.55</v>
      </c>
      <c r="H9" s="67">
        <f>PROP_InOut!$C$8*'PROP_Table (2)'!C9</f>
        <v>36.141405485672578</v>
      </c>
      <c r="I9" s="71">
        <f t="shared" si="5"/>
        <v>41.090189710924967</v>
      </c>
      <c r="J9" s="72">
        <f>I9/PROP_InOut!$D$8</f>
        <v>0.11871778178901103</v>
      </c>
      <c r="K9" s="67">
        <f t="shared" si="6"/>
        <v>0.49585365277436599</v>
      </c>
      <c r="L9" s="71">
        <f t="shared" si="7"/>
        <v>28.410321560116554</v>
      </c>
      <c r="M9" s="70">
        <v>0</v>
      </c>
      <c r="N9" s="70">
        <v>0</v>
      </c>
      <c r="O9" s="67">
        <f t="shared" si="8"/>
        <v>0.3258361413866972</v>
      </c>
      <c r="P9" s="71">
        <f>PROP_InOut!$K$12*(1-(B9-0.5)/PROP_InOut!$M$4)+PROP_InOut!$J$4*((B9-0.5)/PROP_InOut!$M$4)</f>
        <v>18.66903571428572</v>
      </c>
      <c r="Q9" s="67">
        <f t="shared" si="9"/>
        <v>-0.1700175113876688</v>
      </c>
      <c r="R9" s="72">
        <f t="shared" si="10"/>
        <v>-9.7412858458308342</v>
      </c>
      <c r="AG9" t="s">
        <v>103</v>
      </c>
      <c r="AH9" s="174" t="s">
        <v>104</v>
      </c>
      <c r="AI9" s="174"/>
      <c r="AJ9" s="174"/>
      <c r="AK9" s="174"/>
      <c r="AL9" s="174"/>
      <c r="AM9" s="174"/>
      <c r="AN9" t="s">
        <v>97</v>
      </c>
      <c r="AO9" s="73">
        <f>PROP_InOut!$F$8*'PROP_Table (2)'!I9*'PROP_Table (2)'!E9</f>
        <v>0</v>
      </c>
      <c r="AP9" s="67"/>
      <c r="AQ9" s="67"/>
      <c r="AR9" s="67">
        <f>0.5*PROP_InOut!$J$8*I9^2*E9*AP9*PROP_InOut!$G$8</f>
        <v>0</v>
      </c>
      <c r="AS9" s="67">
        <f>0.5*PROP_InOut!$J$8*I9^2*E9*AQ9*PROP_InOut!$G$8</f>
        <v>0</v>
      </c>
      <c r="AT9" s="67">
        <f t="shared" si="0"/>
        <v>0</v>
      </c>
      <c r="AU9" s="67">
        <f t="shared" si="1"/>
        <v>0</v>
      </c>
      <c r="AV9" s="52">
        <f t="shared" si="2"/>
        <v>0</v>
      </c>
      <c r="AW9" s="75">
        <f>PROP_InOut!$G$4/2*((PROP_InOut!$E$8-'PROP_Table (2)'!C9)/('PROP_Table (2)'!C9*SIN('PROP_Table (2)'!K9)))</f>
        <v>6.8312686372000666</v>
      </c>
      <c r="AX9" s="75">
        <f t="shared" si="11"/>
        <v>0.99931277660798712</v>
      </c>
      <c r="AY9" s="75">
        <f>PROP_InOut!$G$4/2*((C9-PROP_InOut!$J$12/2)/(C9*SIN('PROP_Table (2)'!K9)))</f>
        <v>1.5700697100698855</v>
      </c>
      <c r="AZ9" s="75">
        <f t="shared" si="12"/>
        <v>0.86658922246779035</v>
      </c>
      <c r="BA9" s="75">
        <f t="shared" si="13"/>
        <v>0.86599368208284422</v>
      </c>
      <c r="BB9" s="68">
        <f>0.5*PROP_InOut!$J$8*I9^2*E9*AP9*PROP_InOut!$G$8</f>
        <v>0</v>
      </c>
      <c r="BC9" s="68">
        <f>0.5*PROP_InOut!$J$8*I9^2*E9*AQ9*PROP_InOut!$G$8</f>
        <v>0</v>
      </c>
      <c r="BD9" s="68">
        <f t="shared" si="3"/>
        <v>0</v>
      </c>
      <c r="BE9" s="68">
        <f t="shared" si="4"/>
        <v>0</v>
      </c>
      <c r="BF9" s="68">
        <f t="shared" si="14"/>
        <v>0</v>
      </c>
      <c r="BG9" s="74"/>
      <c r="BH9" s="34">
        <f>PROP_InOut!$G$4*SUM(BD$4:BD$42)</f>
        <v>59.074941462439163</v>
      </c>
      <c r="BI9" s="34">
        <f>PROP_InOut!$G$4*SUM(BE$4:BE$42)</f>
        <v>2.7454210762843507</v>
      </c>
      <c r="BJ9" s="34">
        <f>PROP_InOut!$G$4*SUM(BF$4:BF$42)</f>
        <v>1852.7246596609671</v>
      </c>
    </row>
    <row r="10" spans="1:62" s="92" customFormat="1" x14ac:dyDescent="0.25">
      <c r="A10" s="169"/>
      <c r="B10" s="78">
        <v>7</v>
      </c>
      <c r="C10" s="83">
        <v>7.1059040000000004E-2</v>
      </c>
      <c r="D10" s="84">
        <f>C10/PROP_InOut!$E$8</f>
        <v>0.26643809523809525</v>
      </c>
      <c r="E10" s="84">
        <v>4.0860979999999998E-2</v>
      </c>
      <c r="F10" s="85">
        <f>E10*PROP_InOut!$G$8</f>
        <v>2.5622388271249997E-4</v>
      </c>
      <c r="G10" s="86">
        <f>PROP_InOut!$C$4</f>
        <v>19.55</v>
      </c>
      <c r="H10" s="87">
        <f>PROP_InOut!$C$8*'PROP_Table (2)'!C10</f>
        <v>40.927068973109598</v>
      </c>
      <c r="I10" s="88">
        <f t="shared" si="5"/>
        <v>45.35666957272845</v>
      </c>
      <c r="J10" s="89">
        <f>I10/PROP_InOut!$D$8</f>
        <v>0.13104449599510598</v>
      </c>
      <c r="K10" s="87">
        <f t="shared" si="6"/>
        <v>0.44563186194175047</v>
      </c>
      <c r="L10" s="88">
        <f t="shared" si="7"/>
        <v>25.532824905818877</v>
      </c>
      <c r="M10" s="86">
        <f>RADIANS(N10)</f>
        <v>9.1840913708849045E-2</v>
      </c>
      <c r="N10" s="86">
        <f>V10</f>
        <v>5.2620967421422344</v>
      </c>
      <c r="O10" s="87">
        <f t="shared" si="8"/>
        <v>0.63678337759013115</v>
      </c>
      <c r="P10" s="83">
        <v>36.484999999999999</v>
      </c>
      <c r="Q10" s="87">
        <f t="shared" si="9"/>
        <v>9.931060193953159E-2</v>
      </c>
      <c r="R10" s="89">
        <f t="shared" si="10"/>
        <v>5.6900783520388876</v>
      </c>
      <c r="S10" s="122">
        <f>TAN(AE10)*X10</f>
        <v>4.3657862925238513</v>
      </c>
      <c r="T10" s="122">
        <f>X10</f>
        <v>47.40242407993685</v>
      </c>
      <c r="U10" s="117">
        <v>4.3657862911614638</v>
      </c>
      <c r="V10" s="117">
        <v>5.2620967421422344</v>
      </c>
      <c r="W10" s="118">
        <f>P10-L10-V10</f>
        <v>5.6900783520388876</v>
      </c>
      <c r="X10" s="117">
        <f>SQRT((U10+G10)^2+H10^2)</f>
        <v>47.40242407993685</v>
      </c>
      <c r="Y10" s="123">
        <v>1.1898299999999999</v>
      </c>
      <c r="Z10" s="122">
        <v>2.3439999999999999E-2</v>
      </c>
      <c r="AA10" s="117">
        <f>((8*PI()*C10*U10)/(E10*2))-((X10)/(G10+U10))*(Y10*H10-Z10*(U10+G10))</f>
        <v>-3.3887715744640445E-8</v>
      </c>
      <c r="AB10" s="117">
        <f>((8*PI()*C10)/(E10*2))-Y10*H10*((1/X10)-(X10/((G10+U10)^2)))+Z10*((U10+G10)/X10)</f>
        <v>24.873775748248885</v>
      </c>
      <c r="AC10" s="117">
        <f>U10-(AA10/AB10)</f>
        <v>4.3657862925238513</v>
      </c>
      <c r="AD10" s="133">
        <f>AC10-U10</f>
        <v>1.3623875361190585E-9</v>
      </c>
      <c r="AE10" s="117">
        <f>ATAN(AC10/X10)</f>
        <v>9.1841389231394593E-2</v>
      </c>
      <c r="AF10" s="117">
        <f>DEGREES(AE10)</f>
        <v>5.2621239875771577</v>
      </c>
      <c r="AG10" s="138">
        <v>0.10777802408754873</v>
      </c>
      <c r="AH10" s="124"/>
      <c r="AI10" s="124"/>
      <c r="AJ10" s="124"/>
      <c r="AK10" s="124"/>
      <c r="AL10" s="124"/>
      <c r="AM10" s="124"/>
      <c r="AN10" s="125">
        <v>5.2620967421422344</v>
      </c>
      <c r="AO10" s="90">
        <f>PROP_InOut!$F$8*'PROP_Table (2)'!I10*'PROP_Table (2)'!E10</f>
        <v>120009.27495216067</v>
      </c>
      <c r="AP10" s="87">
        <f>Y10</f>
        <v>1.1898299999999999</v>
      </c>
      <c r="AQ10" s="87">
        <f>Z10</f>
        <v>2.3439999999999999E-2</v>
      </c>
      <c r="AR10" s="5">
        <f>0.5*PROP_InOut!$J$8*I10^2*E10*AP10*(C10-C9)</f>
        <v>0.49431775263050381</v>
      </c>
      <c r="AS10" s="5">
        <f>0.5*PROP_InOut!$J$8*I10^2*E10*AQ10*(C10-C9)</f>
        <v>9.7382047197154317E-3</v>
      </c>
      <c r="AT10" s="87">
        <f t="shared" si="0"/>
        <v>0.45834388803037535</v>
      </c>
      <c r="AU10" s="87">
        <f t="shared" si="1"/>
        <v>2.0291267762019765E-2</v>
      </c>
      <c r="AV10" s="91">
        <f t="shared" si="2"/>
        <v>11.686931251083863</v>
      </c>
      <c r="AW10" s="84">
        <f>PROP_InOut!$G$4/2*((PROP_InOut!$E$8-'PROP_Table (2)'!C10)/('PROP_Table (2)'!C10*SIN('PROP_Table (2)'!K10)))</f>
        <v>6.3875578357807505</v>
      </c>
      <c r="AX10" s="84">
        <f t="shared" si="11"/>
        <v>0.99892897598987163</v>
      </c>
      <c r="AY10" s="84">
        <f>PROP_InOut!$G$4/2*((C10-PROP_InOut!$J$12/2)/(C10*SIN('PROP_Table (2)'!K10)))</f>
        <v>1.8017251965643517</v>
      </c>
      <c r="AZ10" s="84">
        <f t="shared" si="12"/>
        <v>0.89446616120170674</v>
      </c>
      <c r="BA10" s="84">
        <f t="shared" si="13"/>
        <v>0.89350816646681241</v>
      </c>
      <c r="BB10" s="22">
        <f>0.5*PROP_InOut!$J$8*T10^2*E10*AP10*(C10-C9)</f>
        <v>0.53991450437124533</v>
      </c>
      <c r="BC10" s="22">
        <f>0.5*PROP_InOut!$J$8*T10^2*E10*AQ10*(C10-C9)</f>
        <v>1.0636474103411404E-2</v>
      </c>
      <c r="BD10" s="84">
        <f t="shared" si="3"/>
        <v>0.40953400700529063</v>
      </c>
      <c r="BE10" s="84">
        <f t="shared" si="4"/>
        <v>1.8130413453329421E-2</v>
      </c>
      <c r="BF10" s="84">
        <f t="shared" si="14"/>
        <v>11.686931251083863</v>
      </c>
      <c r="BG10" s="86"/>
      <c r="BH10" s="104">
        <f>BH9</f>
        <v>59.074941462439163</v>
      </c>
      <c r="BI10" s="136">
        <f>BI9</f>
        <v>2.7454210762843507</v>
      </c>
    </row>
    <row r="11" spans="1:62" s="92" customFormat="1" x14ac:dyDescent="0.25">
      <c r="A11" s="169"/>
      <c r="B11" s="78">
        <v>8</v>
      </c>
      <c r="C11" s="83">
        <v>7.4612499999999998E-2</v>
      </c>
      <c r="D11" s="84">
        <f>C11/PROP_InOut!$E$8</f>
        <v>0.27976190476190477</v>
      </c>
      <c r="E11" s="84">
        <v>4.1567100000000003E-2</v>
      </c>
      <c r="F11" s="85">
        <f>E11*PROP_InOut!$G$8</f>
        <v>2.6065169643749999E-4</v>
      </c>
      <c r="G11" s="86">
        <f>PROP_InOut!$C$4</f>
        <v>19.55</v>
      </c>
      <c r="H11" s="87">
        <f>PROP_InOut!$C$8*'PROP_Table (2)'!C11</f>
        <v>42.973715008760884</v>
      </c>
      <c r="I11" s="88">
        <f t="shared" si="5"/>
        <v>47.211679504696718</v>
      </c>
      <c r="J11" s="89">
        <f>I11/PROP_InOut!$D$8</f>
        <v>0.13640399094680014</v>
      </c>
      <c r="K11" s="87">
        <f t="shared" si="6"/>
        <v>0.42694552537269581</v>
      </c>
      <c r="L11" s="88">
        <f t="shared" si="7"/>
        <v>24.462176685851073</v>
      </c>
      <c r="M11" s="86">
        <f t="shared" ref="M11:M41" si="15">RADIANS(N11)</f>
        <v>9.1610951863449308E-2</v>
      </c>
      <c r="N11" s="86">
        <f t="shared" ref="N11:N41" si="16">V11</f>
        <v>5.2489208989517895</v>
      </c>
      <c r="O11" s="87">
        <f t="shared" si="8"/>
        <v>0.61363333039167833</v>
      </c>
      <c r="P11" s="83">
        <v>35.1586</v>
      </c>
      <c r="Q11" s="87">
        <f t="shared" si="9"/>
        <v>9.5076853155533228E-2</v>
      </c>
      <c r="R11" s="89">
        <f t="shared" si="10"/>
        <v>5.4475024151971372</v>
      </c>
      <c r="S11" s="122">
        <f t="shared" ref="S11:S41" si="17">TAN(AE11)*X11</f>
        <v>4.5302785668107894</v>
      </c>
      <c r="T11" s="122">
        <f t="shared" ref="T11:T41" si="18">X11</f>
        <v>49.258207130335208</v>
      </c>
      <c r="U11" s="117">
        <f>U10+(U12-U10)*((C11-C10)/(C12-C10))</f>
        <v>4.5255225912295742</v>
      </c>
      <c r="V11" s="117">
        <f>V10+(V12-V10)*((C11-C10)/(C12-C10))</f>
        <v>5.2489208989517895</v>
      </c>
      <c r="W11" s="118">
        <f t="shared" ref="W11:W41" si="19">P11-L11-V11</f>
        <v>5.4475024151971372</v>
      </c>
      <c r="X11" s="117">
        <f t="shared" ref="X11:X41" si="20">SQRT((U11+G11)^2+H11^2)</f>
        <v>49.258207130335208</v>
      </c>
      <c r="Y11" s="117">
        <f>Y10+(Y12-Y10)*((C11-C10)/(C12-C10))</f>
        <v>1.17476</v>
      </c>
      <c r="Z11" s="117">
        <f>Z10+(Z12-Z10)*((C11-C10)/(C12-C10))</f>
        <v>2.2054999999999998E-2</v>
      </c>
      <c r="AA11" s="117">
        <f t="shared" ref="AA11:AA41" si="21">((8*PI()*C11*U11)/(E11*2))-((X11)/(G11+U11))*(Y11*H11-Z11*(U11+G11))</f>
        <v>-0.12285929068309542</v>
      </c>
      <c r="AB11" s="117">
        <f t="shared" ref="AB11:AB41" si="22">((8*PI()*C11)/(E11*2))-Y11*H11*((1/X11)-(X11/((G11+U11)^2)))+Z11*((U11+G11)/X11)</f>
        <v>25.832615955462707</v>
      </c>
      <c r="AC11" s="117">
        <f t="shared" ref="AC11:AC41" si="23">U11-(AA11/AB11)</f>
        <v>4.5302785668107894</v>
      </c>
      <c r="AD11" s="133">
        <f t="shared" ref="AD11:AD41" si="24">AC11-U11</f>
        <v>4.7559755812152105E-3</v>
      </c>
      <c r="AE11" s="117">
        <f t="shared" ref="AE11:AE41" si="25">ATAN(AC11/X11)</f>
        <v>9.1712024591929592E-2</v>
      </c>
      <c r="AF11" s="117">
        <f t="shared" ref="AF11:AF41" si="26">DEGREES(AE11)</f>
        <v>5.2547119397175814</v>
      </c>
      <c r="AG11" s="139">
        <v>0.11167396211763156</v>
      </c>
      <c r="AH11" s="86"/>
      <c r="AI11" s="47"/>
      <c r="AJ11" s="47"/>
      <c r="AK11" s="47"/>
      <c r="AL11" s="47"/>
      <c r="AM11" s="47"/>
      <c r="AN11" s="126"/>
      <c r="AO11" s="90">
        <f>PROP_InOut!$F$8*'PROP_Table (2)'!I11*'PROP_Table (2)'!E11</f>
        <v>127076.15102313791</v>
      </c>
      <c r="AP11" s="87">
        <f t="shared" ref="AP11:AP41" si="27">Y11</f>
        <v>1.17476</v>
      </c>
      <c r="AQ11" s="87">
        <f t="shared" ref="AQ11:AQ41" si="28">Z11</f>
        <v>2.2054999999999998E-2</v>
      </c>
      <c r="AR11" s="5">
        <f>0.5*PROP_InOut!$J$8*I11^2*E11*AP11*(C11-C10)</f>
        <v>0.23005334769856908</v>
      </c>
      <c r="AS11" s="5">
        <f>0.5*PROP_InOut!$J$8*I11^2*E11*AQ11*(C11-C10)</f>
        <v>4.3190324691783355E-3</v>
      </c>
      <c r="AT11" s="87">
        <f t="shared" si="0"/>
        <v>0.21517737168792639</v>
      </c>
      <c r="AU11" s="87">
        <f t="shared" si="1"/>
        <v>9.5655827387641952E-3</v>
      </c>
      <c r="AV11" s="91">
        <f t="shared" si="2"/>
        <v>5.5093801508912712</v>
      </c>
      <c r="AW11" s="84">
        <f>PROP_InOut!$G$4/2*((PROP_InOut!$E$8-'PROP_Table (2)'!C11)/('PROP_Table (2)'!C11*SIN('PROP_Table (2)'!K11)))</f>
        <v>6.2171336127423453</v>
      </c>
      <c r="AX11" s="84">
        <f t="shared" si="11"/>
        <v>0.99872997114046069</v>
      </c>
      <c r="AY11" s="84">
        <f>PROP_InOut!$G$4/2*((C11-PROP_InOut!$J$12/2)/(C11*SIN('PROP_Table (2)'!K11)))</f>
        <v>1.9011069724914609</v>
      </c>
      <c r="AZ11" s="84">
        <f t="shared" si="12"/>
        <v>0.90452956237378968</v>
      </c>
      <c r="BA11" s="84">
        <f t="shared" si="13"/>
        <v>0.90338078372526853</v>
      </c>
      <c r="BB11" s="22">
        <f>0.5*PROP_InOut!$J$8*T11^2*E11*AP11*(C11-C10)</f>
        <v>0.25043029097666059</v>
      </c>
      <c r="BC11" s="22">
        <f>0.5*PROP_InOut!$J$8*T11^2*E11*AQ11*(C11-C10)</f>
        <v>4.7015901694731259E-3</v>
      </c>
      <c r="BD11" s="84">
        <f t="shared" si="3"/>
        <v>0.19438710267538234</v>
      </c>
      <c r="BE11" s="84">
        <f t="shared" si="4"/>
        <v>8.6413636313336997E-3</v>
      </c>
      <c r="BF11" s="84">
        <f t="shared" si="14"/>
        <v>5.5093801508912712</v>
      </c>
      <c r="BG11" s="86"/>
    </row>
    <row r="12" spans="1:62" s="92" customFormat="1" x14ac:dyDescent="0.25">
      <c r="A12" s="169"/>
      <c r="B12" s="78">
        <v>9</v>
      </c>
      <c r="C12" s="83">
        <v>7.8165959999999993E-2</v>
      </c>
      <c r="D12" s="84">
        <f>C12/PROP_InOut!$E$8</f>
        <v>0.29308571428571428</v>
      </c>
      <c r="E12" s="84">
        <v>4.218686E-2</v>
      </c>
      <c r="F12" s="85">
        <f>E12*PROP_InOut!$G$8</f>
        <v>2.6453797898749997E-4</v>
      </c>
      <c r="G12" s="86">
        <f>PROP_InOut!$C$4</f>
        <v>19.55</v>
      </c>
      <c r="H12" s="87">
        <f>PROP_InOut!$C$8*'PROP_Table (2)'!C12</f>
        <v>45.020361044412162</v>
      </c>
      <c r="I12" s="88">
        <f t="shared" si="5"/>
        <v>49.081925477401803</v>
      </c>
      <c r="J12" s="89">
        <f>I12/PROP_InOut!$D$8</f>
        <v>0.14180750586949581</v>
      </c>
      <c r="K12" s="87">
        <f t="shared" si="6"/>
        <v>0.40967760482937865</v>
      </c>
      <c r="L12" s="88">
        <f t="shared" si="7"/>
        <v>23.47279771775175</v>
      </c>
      <c r="M12" s="86">
        <f t="shared" si="15"/>
        <v>9.1380990018049557E-2</v>
      </c>
      <c r="N12" s="86">
        <f t="shared" si="16"/>
        <v>5.2357450557613436</v>
      </c>
      <c r="O12" s="87">
        <f t="shared" si="8"/>
        <v>0.5919127078506089</v>
      </c>
      <c r="P12" s="83">
        <v>33.914099999999998</v>
      </c>
      <c r="Q12" s="87">
        <f t="shared" si="9"/>
        <v>9.0854113003180664E-2</v>
      </c>
      <c r="R12" s="89">
        <f t="shared" si="10"/>
        <v>5.2055572264869046</v>
      </c>
      <c r="S12" s="122">
        <f t="shared" si="17"/>
        <v>4.685258891909899</v>
      </c>
      <c r="T12" s="122">
        <f t="shared" si="18"/>
        <v>51.129059076981335</v>
      </c>
      <c r="U12" s="117">
        <v>4.6852588912976838</v>
      </c>
      <c r="V12" s="117">
        <v>5.2357450557613436</v>
      </c>
      <c r="W12" s="118">
        <f t="shared" si="19"/>
        <v>5.2055572264869046</v>
      </c>
      <c r="X12" s="117">
        <f>SQRT((U12+G12)^2+H12^2)</f>
        <v>51.129059076981335</v>
      </c>
      <c r="Y12" s="123">
        <v>1.1596900000000001</v>
      </c>
      <c r="Z12" s="122">
        <v>2.0670000000000001E-2</v>
      </c>
      <c r="AA12" s="117">
        <f t="shared" si="21"/>
        <v>-1.6417871506746451E-8</v>
      </c>
      <c r="AB12" s="117">
        <f t="shared" si="22"/>
        <v>26.817163267845974</v>
      </c>
      <c r="AC12" s="117">
        <f t="shared" si="23"/>
        <v>4.685258891909899</v>
      </c>
      <c r="AD12" s="133">
        <f t="shared" si="24"/>
        <v>6.1221516745035842E-10</v>
      </c>
      <c r="AE12" s="117">
        <f t="shared" si="25"/>
        <v>9.1380721488944536E-2</v>
      </c>
      <c r="AF12" s="117">
        <f t="shared" si="26"/>
        <v>5.2357296701769496</v>
      </c>
      <c r="AG12" s="139">
        <v>0.11561899096970053</v>
      </c>
      <c r="AH12" s="86"/>
      <c r="AI12" s="47"/>
      <c r="AJ12" s="47"/>
      <c r="AK12" s="47"/>
      <c r="AL12" s="47"/>
      <c r="AM12" s="47"/>
      <c r="AN12" s="126">
        <v>5.2357450557613436</v>
      </c>
      <c r="AO12" s="90">
        <f>PROP_InOut!$F$8*'PROP_Table (2)'!I12*'PROP_Table (2)'!E12</f>
        <v>134079.89741694042</v>
      </c>
      <c r="AP12" s="87">
        <f t="shared" si="27"/>
        <v>1.1596900000000001</v>
      </c>
      <c r="AQ12" s="87">
        <f t="shared" si="28"/>
        <v>2.0670000000000001E-2</v>
      </c>
      <c r="AR12" s="5">
        <f>0.5*PROP_InOut!$J$8*I12^2*E12*AP12*(C12-C11)</f>
        <v>0.24911109884215055</v>
      </c>
      <c r="AS12" s="5">
        <f>0.5*PROP_InOut!$J$8*I12^2*E12*AQ12*(C12-C11)</f>
        <v>4.4400886556469838E-3</v>
      </c>
      <c r="AT12" s="87">
        <f t="shared" si="0"/>
        <v>0.23478034839637388</v>
      </c>
      <c r="AU12" s="87">
        <f t="shared" si="1"/>
        <v>1.048029400742965E-2</v>
      </c>
      <c r="AV12" s="91">
        <f t="shared" si="2"/>
        <v>6.0362160212203886</v>
      </c>
      <c r="AW12" s="84">
        <f>PROP_InOut!$G$4/2*((PROP_InOut!$E$8-'PROP_Table (2)'!C12)/('PROP_Table (2)'!C12*SIN('PROP_Table (2)'!K12)))</f>
        <v>6.0554571849947854</v>
      </c>
      <c r="AX12" s="84">
        <f t="shared" si="11"/>
        <v>0.99850710631771589</v>
      </c>
      <c r="AY12" s="84">
        <f>PROP_InOut!$G$4/2*((C12-PROP_InOut!$J$12/2)/(C12*SIN('PROP_Table (2)'!K12)))</f>
        <v>2.0007009943256011</v>
      </c>
      <c r="AZ12" s="84">
        <f t="shared" si="12"/>
        <v>0.91363862210009061</v>
      </c>
      <c r="BA12" s="84">
        <f t="shared" si="13"/>
        <v>0.91227465677326658</v>
      </c>
      <c r="BB12" s="22">
        <f>0.5*PROP_InOut!$J$8*T12^2*E12*AP12*(C12-C11)</f>
        <v>0.27032455395746613</v>
      </c>
      <c r="BC12" s="22">
        <f>0.5*PROP_InOut!$J$8*T12^2*E12*AQ12*(C12-C11)</f>
        <v>4.8181915255808231E-3</v>
      </c>
      <c r="BD12" s="84">
        <f t="shared" si="3"/>
        <v>0.21418416175040994</v>
      </c>
      <c r="BE12" s="84">
        <f t="shared" si="4"/>
        <v>9.560906618510806E-3</v>
      </c>
      <c r="BF12" s="84">
        <f t="shared" si="14"/>
        <v>6.0362160212203886</v>
      </c>
      <c r="BG12" s="86"/>
    </row>
    <row r="13" spans="1:62" s="92" customFormat="1" x14ac:dyDescent="0.25">
      <c r="A13" s="169"/>
      <c r="B13" s="78">
        <v>10</v>
      </c>
      <c r="C13" s="83">
        <v>8.1719419999999987E-2</v>
      </c>
      <c r="D13" s="84">
        <f>C13/PROP_InOut!$E$8</f>
        <v>0.30640952380952374</v>
      </c>
      <c r="E13" s="84">
        <v>4.2722799999999998E-2</v>
      </c>
      <c r="F13" s="85">
        <f>E13*PROP_InOut!$G$8</f>
        <v>2.6789865774999995E-4</v>
      </c>
      <c r="G13" s="86">
        <f>PROP_InOut!$C$4</f>
        <v>19.55</v>
      </c>
      <c r="H13" s="87">
        <f>PROP_InOut!$C$8*'PROP_Table (2)'!C13</f>
        <v>47.067007080063441</v>
      </c>
      <c r="I13" s="88">
        <f t="shared" si="5"/>
        <v>50.965730206431282</v>
      </c>
      <c r="J13" s="89">
        <f>I13/PROP_InOut!$D$8</f>
        <v>0.1472501947528369</v>
      </c>
      <c r="K13" s="87">
        <f t="shared" si="6"/>
        <v>0.39368172332676971</v>
      </c>
      <c r="L13" s="88">
        <f t="shared" si="7"/>
        <v>22.556301218060874</v>
      </c>
      <c r="M13" s="86">
        <f t="shared" si="15"/>
        <v>9.0688527637596286E-2</v>
      </c>
      <c r="N13" s="86">
        <f t="shared" si="16"/>
        <v>5.1960698838897894</v>
      </c>
      <c r="O13" s="87">
        <f t="shared" si="8"/>
        <v>0.57150806356554318</v>
      </c>
      <c r="P13" s="83">
        <v>32.744999999999997</v>
      </c>
      <c r="Q13" s="87">
        <f t="shared" si="9"/>
        <v>8.7137812601177186E-2</v>
      </c>
      <c r="R13" s="89">
        <f t="shared" si="10"/>
        <v>4.9926288980493343</v>
      </c>
      <c r="S13" s="122">
        <v>3.9907190642050576</v>
      </c>
      <c r="T13" s="122">
        <v>53.186916112726742</v>
      </c>
      <c r="U13" s="117">
        <f>U12+(U14-U12)*((C13-C12)/(C14-C12))</f>
        <v>4.819105132070451</v>
      </c>
      <c r="V13" s="117">
        <f>V12+(V14-V12)*((C13-C12)/(C14-C12))</f>
        <v>5.1960698838897894</v>
      </c>
      <c r="W13" s="118">
        <f t="shared" si="19"/>
        <v>4.9926288980493343</v>
      </c>
      <c r="X13" s="117">
        <f t="shared" si="20"/>
        <v>53.001475832401539</v>
      </c>
      <c r="Y13" s="117">
        <f>Y12+(Y14-Y12)*((C13-C12)/(C14-C12))</f>
        <v>1.1431941043975691</v>
      </c>
      <c r="Z13" s="117">
        <f>Z12+(Z14-Z12)*((C13-C12)/(C14-C12))</f>
        <v>1.974466928852342E-2</v>
      </c>
      <c r="AA13" s="117">
        <f t="shared" si="21"/>
        <v>-0.14465716929933592</v>
      </c>
      <c r="AB13" s="117">
        <f t="shared" si="22"/>
        <v>27.832874408581144</v>
      </c>
      <c r="AC13" s="117">
        <f t="shared" si="23"/>
        <v>4.8243024813336204</v>
      </c>
      <c r="AD13" s="133">
        <f t="shared" si="24"/>
        <v>5.1973492631693929E-3</v>
      </c>
      <c r="AE13" s="117">
        <f t="shared" si="25"/>
        <v>9.0771909863165565E-2</v>
      </c>
      <c r="AF13" s="117">
        <f t="shared" si="26"/>
        <v>5.2008473335013168</v>
      </c>
      <c r="AG13" s="139">
        <v>0.11960825326715831</v>
      </c>
      <c r="AH13" s="47"/>
      <c r="AI13" s="47"/>
      <c r="AJ13" s="47"/>
      <c r="AK13" s="47"/>
      <c r="AL13" s="47"/>
      <c r="AM13" s="47"/>
      <c r="AN13" s="126"/>
      <c r="AO13" s="90">
        <f>PROP_InOut!$F$8*'PROP_Table (2)'!I13*'PROP_Table (2)'!E13</f>
        <v>140994.71518488188</v>
      </c>
      <c r="AP13" s="87">
        <f t="shared" si="27"/>
        <v>1.1431941043975691</v>
      </c>
      <c r="AQ13" s="87">
        <f t="shared" si="28"/>
        <v>1.974466928852342E-2</v>
      </c>
      <c r="AR13" s="5">
        <f>0.5*PROP_InOut!$J$8*I13^2*E13*AP13*(C13-C12)</f>
        <v>0.26814330996204833</v>
      </c>
      <c r="AS13" s="5">
        <f>0.5*PROP_InOut!$J$8*I13^2*E13*AQ13*(C13-C12)</f>
        <v>4.6312353753089654E-3</v>
      </c>
      <c r="AT13" s="87">
        <f t="shared" si="0"/>
        <v>0.25608430946908634</v>
      </c>
      <c r="AU13" s="87">
        <f t="shared" si="1"/>
        <v>1.1477109576746953E-2</v>
      </c>
      <c r="AV13" s="91">
        <f t="shared" si="2"/>
        <v>6.6103405739714365</v>
      </c>
      <c r="AW13" s="84">
        <f>PROP_InOut!$G$4/2*((PROP_InOut!$E$8-'PROP_Table (2)'!C13)/('PROP_Table (2)'!C13*SIN('PROP_Table (2)'!K13)))</f>
        <v>5.9010915234140926</v>
      </c>
      <c r="AX13" s="84">
        <f t="shared" si="11"/>
        <v>0.99825791565052024</v>
      </c>
      <c r="AY13" s="84">
        <f>PROP_InOut!$G$4/2*((C13-PROP_InOut!$J$12/2)/(C13*SIN('PROP_Table (2)'!K13)))</f>
        <v>2.1005121117369039</v>
      </c>
      <c r="AZ13" s="84">
        <f t="shared" si="12"/>
        <v>0.92188586749851598</v>
      </c>
      <c r="BA13" s="84">
        <f t="shared" si="13"/>
        <v>0.92027986455674027</v>
      </c>
      <c r="BB13" s="22">
        <f>0.5*PROP_InOut!$J$8*T13^2*E13*AP13*(C13-C12)</f>
        <v>0.29202503437223676</v>
      </c>
      <c r="BC13" s="22">
        <f>0.5*PROP_InOut!$J$8*T13^2*E13*AQ13*(C13-C12)</f>
        <v>5.0437084179050986E-3</v>
      </c>
      <c r="BD13" s="84">
        <f t="shared" si="3"/>
        <v>0.23566923363331713</v>
      </c>
      <c r="BE13" s="84">
        <f t="shared" si="4"/>
        <v>1.0562152846791554E-2</v>
      </c>
      <c r="BF13" s="84">
        <f t="shared" si="14"/>
        <v>6.6103405739714365</v>
      </c>
      <c r="BG13" s="86"/>
    </row>
    <row r="14" spans="1:62" s="92" customFormat="1" x14ac:dyDescent="0.25">
      <c r="A14" s="169"/>
      <c r="B14" s="78">
        <v>11</v>
      </c>
      <c r="C14" s="83">
        <v>8.527034E-2</v>
      </c>
      <c r="D14" s="84">
        <f>C14/PROP_InOut!$E$8</f>
        <v>0.31972380952380952</v>
      </c>
      <c r="E14" s="84">
        <v>4.3177460000000001E-2</v>
      </c>
      <c r="F14" s="85">
        <f>E14*PROP_InOut!$G$8</f>
        <v>2.7074966011249996E-4</v>
      </c>
      <c r="G14" s="86">
        <f>PROP_InOut!$C$4</f>
        <v>19.55</v>
      </c>
      <c r="H14" s="87">
        <f>PROP_InOut!$C$8*'PROP_Table (2)'!C14</f>
        <v>49.112190180735716</v>
      </c>
      <c r="I14" s="88">
        <f t="shared" si="5"/>
        <v>52.860284943885361</v>
      </c>
      <c r="J14" s="89">
        <f>I14/PROP_InOut!$D$8</f>
        <v>0.15272394256200339</v>
      </c>
      <c r="K14" s="87">
        <f t="shared" si="6"/>
        <v>0.3788399036433972</v>
      </c>
      <c r="L14" s="88">
        <f t="shared" si="7"/>
        <v>21.705927589909439</v>
      </c>
      <c r="M14" s="86">
        <f t="shared" si="15"/>
        <v>8.9996560226678721E-2</v>
      </c>
      <c r="N14" s="86">
        <f t="shared" si="16"/>
        <v>5.1564230716836184</v>
      </c>
      <c r="O14" s="87">
        <f t="shared" si="8"/>
        <v>0.55232165909836961</v>
      </c>
      <c r="P14" s="83">
        <v>31.645700000000001</v>
      </c>
      <c r="Q14" s="87">
        <f t="shared" si="9"/>
        <v>8.3485195228293618E-2</v>
      </c>
      <c r="R14" s="89">
        <f t="shared" si="10"/>
        <v>4.7833493384069437</v>
      </c>
      <c r="S14" s="122">
        <f t="shared" si="17"/>
        <v>4.9528557006321456</v>
      </c>
      <c r="T14" s="122">
        <f t="shared" si="18"/>
        <v>54.885309161979947</v>
      </c>
      <c r="U14" s="117">
        <v>4.9528557000478131</v>
      </c>
      <c r="V14" s="117">
        <v>5.1564230716836184</v>
      </c>
      <c r="W14" s="118">
        <f t="shared" si="19"/>
        <v>4.7833493384069437</v>
      </c>
      <c r="X14" s="117">
        <f t="shared" si="20"/>
        <v>54.885309161979947</v>
      </c>
      <c r="Y14" s="123">
        <v>1.1267100000000001</v>
      </c>
      <c r="Z14" s="122">
        <v>1.882E-2</v>
      </c>
      <c r="AA14" s="117">
        <f t="shared" si="21"/>
        <v>-1.6873073604983801E-8</v>
      </c>
      <c r="AB14" s="117">
        <f t="shared" si="22"/>
        <v>28.87581813349038</v>
      </c>
      <c r="AC14" s="117">
        <f t="shared" si="23"/>
        <v>4.9528557006321456</v>
      </c>
      <c r="AD14" s="133">
        <f t="shared" si="24"/>
        <v>5.8433258232071239E-10</v>
      </c>
      <c r="AE14" s="117">
        <f t="shared" si="25"/>
        <v>8.9996338330202291E-2</v>
      </c>
      <c r="AF14" s="117">
        <f t="shared" si="26"/>
        <v>5.15641035795203</v>
      </c>
      <c r="AG14" s="139">
        <v>0.12363746740109645</v>
      </c>
      <c r="AH14" s="86"/>
      <c r="AI14" s="47"/>
      <c r="AJ14" s="47"/>
      <c r="AK14" s="47"/>
      <c r="AL14" s="47"/>
      <c r="AM14" s="47"/>
      <c r="AN14" s="126">
        <v>5.1564230716836184</v>
      </c>
      <c r="AO14" s="90">
        <f>PROP_InOut!$F$8*'PROP_Table (2)'!I14*'PROP_Table (2)'!E14</f>
        <v>147792.18366063526</v>
      </c>
      <c r="AP14" s="87">
        <f t="shared" si="27"/>
        <v>1.1267100000000001</v>
      </c>
      <c r="AQ14" s="87">
        <f t="shared" si="28"/>
        <v>1.882E-2</v>
      </c>
      <c r="AR14" s="5">
        <f>0.5*PROP_InOut!$J$8*I14^2*E14*AP14*(C14-C13)</f>
        <v>0.28711010373518492</v>
      </c>
      <c r="AS14" s="5">
        <f>0.5*PROP_InOut!$J$8*I14^2*E14*AQ14*(C14-C13)</f>
        <v>4.7957434941521592E-3</v>
      </c>
      <c r="AT14" s="87">
        <f t="shared" si="0"/>
        <v>0.27379323229984892</v>
      </c>
      <c r="AU14" s="87">
        <f t="shared" si="1"/>
        <v>1.231923548809985E-2</v>
      </c>
      <c r="AV14" s="91">
        <f t="shared" si="2"/>
        <v>7.0953702796638138</v>
      </c>
      <c r="AW14" s="84">
        <f>PROP_InOut!$G$4/2*((PROP_InOut!$E$8-'PROP_Table (2)'!C14)/('PROP_Table (2)'!C14*SIN('PROP_Table (2)'!K14)))</f>
        <v>5.7529821984444576</v>
      </c>
      <c r="AX14" s="84">
        <f t="shared" si="11"/>
        <v>0.99797980901582872</v>
      </c>
      <c r="AY14" s="84">
        <f>PROP_InOut!$G$4/2*((C14-PROP_InOut!$J$12/2)/(C14*SIN('PROP_Table (2)'!K14)))</f>
        <v>2.2004679702039933</v>
      </c>
      <c r="AZ14" s="84">
        <f t="shared" si="12"/>
        <v>0.92934858272313126</v>
      </c>
      <c r="BA14" s="84">
        <f t="shared" si="13"/>
        <v>0.92747112109516161</v>
      </c>
      <c r="BB14" s="22">
        <f>0.5*PROP_InOut!$J$8*T14^2*E14*AP14*(C14-C13)</f>
        <v>0.30952925762196021</v>
      </c>
      <c r="BC14" s="22">
        <f>0.5*PROP_InOut!$J$8*T14^2*E14*AQ14*(C14-C13)</f>
        <v>5.1702218214494328E-3</v>
      </c>
      <c r="BD14" s="84">
        <f t="shared" si="3"/>
        <v>0.25393531610940889</v>
      </c>
      <c r="BE14" s="84">
        <f t="shared" si="4"/>
        <v>1.1425735149183268E-2</v>
      </c>
      <c r="BF14" s="84">
        <f t="shared" si="14"/>
        <v>7.0953702796638138</v>
      </c>
      <c r="BG14" s="86"/>
    </row>
    <row r="15" spans="1:62" s="92" customFormat="1" x14ac:dyDescent="0.25">
      <c r="A15" s="169"/>
      <c r="B15" s="78">
        <v>12</v>
      </c>
      <c r="C15" s="83">
        <v>8.8859359999999998E-2</v>
      </c>
      <c r="D15" s="84">
        <f>C15/PROP_InOut!$E$8</f>
        <v>0.33318095238095241</v>
      </c>
      <c r="E15" s="84">
        <v>4.3555919999999998E-2</v>
      </c>
      <c r="F15" s="85">
        <f>E15*PROP_InOut!$G$8</f>
        <v>2.7312284084999997E-4</v>
      </c>
      <c r="G15" s="86">
        <f>PROP_InOut!$C$4</f>
        <v>19.55</v>
      </c>
      <c r="H15" s="87">
        <f>PROP_InOut!$C$8*'PROP_Table (2)'!C15</f>
        <v>51.179317306093296</v>
      </c>
      <c r="I15" s="88">
        <f t="shared" si="5"/>
        <v>54.786175445250606</v>
      </c>
      <c r="J15" s="89">
        <f>I15/PROP_InOut!$D$8</f>
        <v>0.15828822566459075</v>
      </c>
      <c r="K15" s="87">
        <f t="shared" si="6"/>
        <v>0.36488497694147648</v>
      </c>
      <c r="L15" s="88">
        <f t="shared" si="7"/>
        <v>20.906369186474965</v>
      </c>
      <c r="M15" s="86">
        <f t="shared" si="15"/>
        <v>8.9119341038024644E-2</v>
      </c>
      <c r="N15" s="86">
        <f t="shared" si="16"/>
        <v>5.1061621144658487</v>
      </c>
      <c r="O15" s="87">
        <f t="shared" si="8"/>
        <v>0.53408994973203672</v>
      </c>
      <c r="P15" s="83">
        <v>30.601099999999999</v>
      </c>
      <c r="Q15" s="87">
        <f t="shared" si="9"/>
        <v>8.0085631752535621E-2</v>
      </c>
      <c r="R15" s="89">
        <f t="shared" si="10"/>
        <v>4.5885686990591852</v>
      </c>
      <c r="S15" s="122">
        <f t="shared" si="17"/>
        <v>5.0822451261698314</v>
      </c>
      <c r="T15" s="122">
        <f t="shared" si="18"/>
        <v>56.794329788454483</v>
      </c>
      <c r="U15" s="117">
        <f>U14+(U16-U14)*((C15-C14)/(C16-C14))</f>
        <v>5.072619198654464</v>
      </c>
      <c r="V15" s="117">
        <f>V14+(V16-V14)*((C15-C14)/(C16-C14))</f>
        <v>5.1061621144658487</v>
      </c>
      <c r="W15" s="118">
        <f t="shared" si="19"/>
        <v>4.5885686990591852</v>
      </c>
      <c r="X15" s="117">
        <f t="shared" si="20"/>
        <v>56.794329788454483</v>
      </c>
      <c r="Y15" s="117">
        <f>Y14+(Y16-Y14)*((C15-C14)/(C16-C14))</f>
        <v>1.1127737037943697</v>
      </c>
      <c r="Z15" s="117">
        <f>Z14+(Z16-Z14)*((C15-C14)/(C16-C14))</f>
        <v>1.809706976744186E-2</v>
      </c>
      <c r="AA15" s="117">
        <f t="shared" si="21"/>
        <v>-0.28855690435369752</v>
      </c>
      <c r="AB15" s="117">
        <f t="shared" si="22"/>
        <v>29.977049369323428</v>
      </c>
      <c r="AC15" s="117">
        <f t="shared" si="23"/>
        <v>5.0822451261698314</v>
      </c>
      <c r="AD15" s="133">
        <f t="shared" si="24"/>
        <v>9.625927515367394E-3</v>
      </c>
      <c r="AE15" s="117">
        <f t="shared" si="25"/>
        <v>8.9247367768858096E-2</v>
      </c>
      <c r="AF15" s="117">
        <f t="shared" si="26"/>
        <v>5.1134975058074632</v>
      </c>
      <c r="AG15" s="139">
        <v>0.12770285180864679</v>
      </c>
      <c r="AH15" s="47"/>
      <c r="AI15" s="47"/>
      <c r="AJ15" s="47"/>
      <c r="AK15" s="47"/>
      <c r="AL15" s="86"/>
      <c r="AM15" s="86"/>
      <c r="AN15" s="126"/>
      <c r="AO15" s="90">
        <f>PROP_InOut!$F$8*'PROP_Table (2)'!I15*'PROP_Table (2)'!E15</f>
        <v>154519.4134768254</v>
      </c>
      <c r="AP15" s="87">
        <f t="shared" si="27"/>
        <v>1.1127737037943697</v>
      </c>
      <c r="AQ15" s="87">
        <f t="shared" si="28"/>
        <v>1.809706976744186E-2</v>
      </c>
      <c r="AR15" s="5">
        <f>0.5*PROP_InOut!$J$8*I15^2*E15*AP15*(C15-C14)</f>
        <v>0.31056409240764721</v>
      </c>
      <c r="AS15" s="5">
        <f>0.5*PROP_InOut!$J$8*I15^2*E15*AQ15*(C15-C14)</f>
        <v>5.0507124929347101E-3</v>
      </c>
      <c r="AT15" s="87">
        <f t="shared" si="0"/>
        <v>0.29755865517992092</v>
      </c>
      <c r="AU15" s="87">
        <f t="shared" si="1"/>
        <v>1.3439907435462037E-2</v>
      </c>
      <c r="AV15" s="91">
        <f t="shared" si="2"/>
        <v>7.7408309850986345</v>
      </c>
      <c r="AW15" s="84">
        <f>PROP_InOut!$G$4/2*((PROP_InOut!$E$8-'PROP_Table (2)'!C15)/('PROP_Table (2)'!C15*SIN('PROP_Table (2)'!K15)))</f>
        <v>5.6085688276272538</v>
      </c>
      <c r="AX15" s="84">
        <f t="shared" si="11"/>
        <v>0.99766594759522942</v>
      </c>
      <c r="AY15" s="84">
        <f>PROP_InOut!$G$4/2*((C15-PROP_InOut!$J$12/2)/(C15*SIN('PROP_Table (2)'!K15)))</f>
        <v>2.3017112758946743</v>
      </c>
      <c r="AZ15" s="84">
        <f t="shared" si="12"/>
        <v>0.93617550528760607</v>
      </c>
      <c r="BA15" s="84">
        <f t="shared" si="13"/>
        <v>0.9339904225982022</v>
      </c>
      <c r="BB15" s="22">
        <f>0.5*PROP_InOut!$J$8*T15^2*E15*AP15*(C15-C14)</f>
        <v>0.33374842964983692</v>
      </c>
      <c r="BC15" s="22">
        <f>0.5*PROP_InOut!$J$8*T15^2*E15*AQ15*(C15-C14)</f>
        <v>5.427760015852579E-3</v>
      </c>
      <c r="BD15" s="84">
        <f t="shared" si="3"/>
        <v>0.27791693409924706</v>
      </c>
      <c r="BE15" s="84">
        <f t="shared" si="4"/>
        <v>1.2552744825327908E-2</v>
      </c>
      <c r="BF15" s="84">
        <f t="shared" si="14"/>
        <v>7.7408309850986345</v>
      </c>
      <c r="BG15" s="86"/>
    </row>
    <row r="16" spans="1:62" s="92" customFormat="1" x14ac:dyDescent="0.25">
      <c r="A16" s="169"/>
      <c r="B16" s="78">
        <v>13</v>
      </c>
      <c r="C16" s="83">
        <v>9.5646239999999993E-2</v>
      </c>
      <c r="D16" s="84">
        <f>C16/PROP_InOut!$E$8</f>
        <v>0.35862857142857141</v>
      </c>
      <c r="E16" s="84">
        <v>4.4063919999999993E-2</v>
      </c>
      <c r="F16" s="85">
        <f>E16*PROP_InOut!$G$8</f>
        <v>2.7630831834999991E-4</v>
      </c>
      <c r="G16" s="86">
        <f>PROP_InOut!$C$4</f>
        <v>19.55</v>
      </c>
      <c r="H16" s="87">
        <f>PROP_InOut!$C$8*'PROP_Table (2)'!C16</f>
        <v>55.088279570039134</v>
      </c>
      <c r="I16" s="88">
        <f t="shared" si="5"/>
        <v>58.454435639964835</v>
      </c>
      <c r="J16" s="89">
        <f>I16/PROP_InOut!$D$8</f>
        <v>0.16888656352589326</v>
      </c>
      <c r="K16" s="87">
        <f t="shared" si="6"/>
        <v>0.34102000055107123</v>
      </c>
      <c r="L16" s="88">
        <f t="shared" si="7"/>
        <v>19.539006761125389</v>
      </c>
      <c r="M16" s="86">
        <f t="shared" si="15"/>
        <v>8.7460508998333408E-2</v>
      </c>
      <c r="N16" s="86">
        <f t="shared" si="16"/>
        <v>5.0111180396704631</v>
      </c>
      <c r="O16" s="87">
        <f t="shared" si="8"/>
        <v>0.50242095045459967</v>
      </c>
      <c r="P16" s="83">
        <v>28.7866</v>
      </c>
      <c r="Q16" s="87">
        <f t="shared" si="9"/>
        <v>7.394044090519504E-2</v>
      </c>
      <c r="R16" s="89">
        <f t="shared" si="10"/>
        <v>4.2364751992041478</v>
      </c>
      <c r="S16" s="122">
        <f t="shared" si="17"/>
        <v>5.2990934231607563</v>
      </c>
      <c r="T16" s="122">
        <f t="shared" si="18"/>
        <v>60.433401274085284</v>
      </c>
      <c r="U16" s="117">
        <v>5.2990934154109901</v>
      </c>
      <c r="V16" s="117">
        <v>5.0111180396704631</v>
      </c>
      <c r="W16" s="118">
        <f t="shared" si="19"/>
        <v>4.2364751992041478</v>
      </c>
      <c r="X16" s="117">
        <f t="shared" si="20"/>
        <v>60.433401274085284</v>
      </c>
      <c r="Y16" s="123">
        <v>1.0864199999999999</v>
      </c>
      <c r="Z16" s="122">
        <v>1.6729999999999998E-2</v>
      </c>
      <c r="AA16" s="117">
        <f t="shared" si="21"/>
        <v>-2.4916221263993066E-7</v>
      </c>
      <c r="AB16" s="117">
        <f t="shared" si="22"/>
        <v>32.150933645701663</v>
      </c>
      <c r="AC16" s="117">
        <f t="shared" si="23"/>
        <v>5.2990934231607563</v>
      </c>
      <c r="AD16" s="133">
        <f t="shared" si="24"/>
        <v>7.7497661621350744E-9</v>
      </c>
      <c r="AE16" s="117">
        <f t="shared" si="25"/>
        <v>8.746115053021121E-2</v>
      </c>
      <c r="AF16" s="117">
        <f t="shared" si="26"/>
        <v>5.0111547967394845</v>
      </c>
      <c r="AG16" s="139">
        <v>0.13305866763349397</v>
      </c>
      <c r="AH16" s="86"/>
      <c r="AI16" s="86"/>
      <c r="AJ16" s="47"/>
      <c r="AK16" s="47"/>
      <c r="AL16" s="47"/>
      <c r="AM16" s="47"/>
      <c r="AN16" s="126">
        <v>5.0111180396704631</v>
      </c>
      <c r="AO16" s="90">
        <f>PROP_InOut!$F$8*'PROP_Table (2)'!I16*'PROP_Table (2)'!E16</f>
        <v>166788.25984540689</v>
      </c>
      <c r="AP16" s="87">
        <f t="shared" si="27"/>
        <v>1.0864199999999999</v>
      </c>
      <c r="AQ16" s="87">
        <f t="shared" si="28"/>
        <v>1.6729999999999998E-2</v>
      </c>
      <c r="AR16" s="5">
        <f>0.5*PROP_InOut!$J$8*I16^2*E16*AP16*(C16-C15)</f>
        <v>0.66033656340756985</v>
      </c>
      <c r="AS16" s="5">
        <f>0.5*PROP_InOut!$J$8*I16^2*E16*AQ16*(C16-C15)</f>
        <v>1.0168655497697614E-2</v>
      </c>
      <c r="AT16" s="87">
        <f t="shared" si="0"/>
        <v>0.63748265399601056</v>
      </c>
      <c r="AU16" s="87">
        <f t="shared" si="1"/>
        <v>2.8994241118531657E-2</v>
      </c>
      <c r="AV16" s="91">
        <f t="shared" si="2"/>
        <v>16.699484063971529</v>
      </c>
      <c r="AW16" s="84">
        <f>PROP_InOut!$G$4/2*((PROP_InOut!$E$8-'PROP_Table (2)'!C16)/('PROP_Table (2)'!C16*SIN('PROP_Table (2)'!K16)))</f>
        <v>5.3473108747240357</v>
      </c>
      <c r="AX16" s="84">
        <f t="shared" si="11"/>
        <v>0.99696908220361469</v>
      </c>
      <c r="AY16" s="84">
        <f>PROP_InOut!$G$4/2*((C16-PROP_InOut!$J$12/2)/(C16*SIN('PROP_Table (2)'!K16)))</f>
        <v>2.4937283994354811</v>
      </c>
      <c r="AZ16" s="84">
        <f t="shared" si="12"/>
        <v>0.94735431937999648</v>
      </c>
      <c r="BA16" s="84">
        <f t="shared" si="13"/>
        <v>0.94448296631390516</v>
      </c>
      <c r="BB16" s="22">
        <f>0.5*PROP_InOut!$J$8*T16^2*E16*AP16*(C16-C15)</f>
        <v>0.7058045872806874</v>
      </c>
      <c r="BC16" s="22">
        <f>0.5*PROP_InOut!$J$8*T16^2*E16*AQ16*(C16-C15)</f>
        <v>1.0868826738467535E-2</v>
      </c>
      <c r="BD16" s="84">
        <f t="shared" si="3"/>
        <v>0.60209150801981293</v>
      </c>
      <c r="BE16" s="84">
        <f t="shared" si="4"/>
        <v>2.738456685765138E-2</v>
      </c>
      <c r="BF16" s="84">
        <f t="shared" si="14"/>
        <v>16.699484063971529</v>
      </c>
      <c r="BG16" s="86"/>
    </row>
    <row r="17" spans="1:59" s="92" customFormat="1" x14ac:dyDescent="0.25">
      <c r="A17" s="169"/>
      <c r="B17" s="78">
        <v>14</v>
      </c>
      <c r="C17" s="83">
        <v>0.10272014</v>
      </c>
      <c r="D17" s="84">
        <f>C17/PROP_InOut!$E$8</f>
        <v>0.38515238095238097</v>
      </c>
      <c r="E17" s="84">
        <v>4.4312839999999999E-2</v>
      </c>
      <c r="F17" s="85">
        <f>E17*PROP_InOut!$G$8</f>
        <v>2.7786920232499994E-4</v>
      </c>
      <c r="G17" s="86">
        <f>PROP_InOut!$C$4</f>
        <v>19.55</v>
      </c>
      <c r="H17" s="87">
        <f>PROP_InOut!$C$8*'PROP_Table (2)'!C17</f>
        <v>59.162553486614428</v>
      </c>
      <c r="I17" s="88">
        <f t="shared" si="5"/>
        <v>62.308990001897101</v>
      </c>
      <c r="J17" s="89">
        <f>I17/PROP_InOut!$D$8</f>
        <v>0.18002314252085683</v>
      </c>
      <c r="K17" s="87">
        <f t="shared" si="6"/>
        <v>0.3191492632053215</v>
      </c>
      <c r="L17" s="88">
        <f t="shared" si="7"/>
        <v>18.285905816374779</v>
      </c>
      <c r="M17" s="86">
        <f t="shared" si="15"/>
        <v>8.5459545227639613E-2</v>
      </c>
      <c r="N17" s="86">
        <f t="shared" si="16"/>
        <v>4.8964712606511256</v>
      </c>
      <c r="O17" s="87">
        <f t="shared" si="8"/>
        <v>0.47289347016935956</v>
      </c>
      <c r="P17" s="83">
        <v>27.094799999999999</v>
      </c>
      <c r="Q17" s="87">
        <f t="shared" si="9"/>
        <v>6.8284661736398453E-2</v>
      </c>
      <c r="R17" s="89">
        <f t="shared" si="10"/>
        <v>3.9124229229740948</v>
      </c>
      <c r="S17" s="122">
        <f t="shared" si="17"/>
        <v>5.5165917416062049</v>
      </c>
      <c r="T17" s="122">
        <f t="shared" si="18"/>
        <v>64.246285345863598</v>
      </c>
      <c r="U17" s="117">
        <f>U16+(U18-U16)*((C17-C16)/(C18-C16))</f>
        <v>5.4975037815270982</v>
      </c>
      <c r="V17" s="117">
        <f>V16+(V18-V16)*((C17-C16)/(C18-C16))</f>
        <v>4.8964712606511256</v>
      </c>
      <c r="W17" s="118">
        <f t="shared" si="19"/>
        <v>3.9124229229740948</v>
      </c>
      <c r="X17" s="117">
        <f t="shared" si="20"/>
        <v>64.246285345863598</v>
      </c>
      <c r="Y17" s="117">
        <f>Y16+(Y18-Y16)*((C17-C16)/(C18-C16))</f>
        <v>1.066295</v>
      </c>
      <c r="Z17" s="117">
        <f>Z16+(Z18-Z16)*((C17-C16)/(C18-C16))</f>
        <v>1.5715E-2</v>
      </c>
      <c r="AA17" s="117">
        <f t="shared" si="21"/>
        <v>-0.66071178793578156</v>
      </c>
      <c r="AB17" s="117">
        <f t="shared" si="22"/>
        <v>34.614059606032669</v>
      </c>
      <c r="AC17" s="117">
        <f t="shared" si="23"/>
        <v>5.5165917416062049</v>
      </c>
      <c r="AD17" s="133">
        <f t="shared" si="24"/>
        <v>1.9087960079106736E-2</v>
      </c>
      <c r="AE17" s="117">
        <f t="shared" si="25"/>
        <v>8.565621168961203E-2</v>
      </c>
      <c r="AF17" s="117">
        <f t="shared" si="26"/>
        <v>4.9077394188939154</v>
      </c>
      <c r="AG17" s="139">
        <v>0.14131666006956617</v>
      </c>
      <c r="AH17" s="86"/>
      <c r="AI17" s="86"/>
      <c r="AJ17" s="86"/>
      <c r="AK17" s="47"/>
      <c r="AL17" s="47"/>
      <c r="AM17" s="47"/>
      <c r="AN17" s="126"/>
      <c r="AO17" s="90">
        <f>PROP_InOut!$F$8*'PROP_Table (2)'!I17*'PROP_Table (2)'!E17</f>
        <v>178790.80178115223</v>
      </c>
      <c r="AP17" s="87">
        <f t="shared" si="27"/>
        <v>1.066295</v>
      </c>
      <c r="AQ17" s="87">
        <f t="shared" si="28"/>
        <v>1.5715E-2</v>
      </c>
      <c r="AR17" s="5">
        <f>0.5*PROP_InOut!$J$8*I17^2*E17*AP17*(C17-C16)</f>
        <v>0.77187441500696463</v>
      </c>
      <c r="AS17" s="5">
        <f>0.5*PROP_InOut!$J$8*I17^2*E17*AQ17*(C17-C16)</f>
        <v>1.1375844800767565E-2</v>
      </c>
      <c r="AT17" s="87">
        <f t="shared" si="0"/>
        <v>0.74959779182705055</v>
      </c>
      <c r="AU17" s="87">
        <f t="shared" si="1"/>
        <v>3.4325134912376778E-2</v>
      </c>
      <c r="AV17" s="91">
        <f t="shared" si="2"/>
        <v>19.769858473603595</v>
      </c>
      <c r="AW17" s="84">
        <f>PROP_InOut!$G$4/2*((PROP_InOut!$E$8-'PROP_Table (2)'!C17)/('PROP_Table (2)'!C17*SIN('PROP_Table (2)'!K17)))</f>
        <v>5.0879034166630968</v>
      </c>
      <c r="AX17" s="84">
        <f t="shared" si="11"/>
        <v>0.99607142995326481</v>
      </c>
      <c r="AY17" s="84">
        <f>PROP_InOut!$G$4/2*((C17-PROP_InOut!$J$12/2)/(C17*SIN('PROP_Table (2)'!K17)))</f>
        <v>2.6945972787547507</v>
      </c>
      <c r="AZ17" s="84">
        <f t="shared" si="12"/>
        <v>0.95695106406715791</v>
      </c>
      <c r="BA17" s="84">
        <f t="shared" si="13"/>
        <v>0.95319161478067227</v>
      </c>
      <c r="BB17" s="22">
        <f>0.5*PROP_InOut!$J$8*T17^2*E17*AP17*(C17-C16)</f>
        <v>0.82061843130556511</v>
      </c>
      <c r="BC17" s="22">
        <f>0.5*PROP_InOut!$J$8*T17^2*E17*AQ17*(C17-C16)</f>
        <v>1.2094231566280396E-2</v>
      </c>
      <c r="BD17" s="84">
        <f t="shared" si="3"/>
        <v>0.71451032962765249</v>
      </c>
      <c r="BE17" s="84">
        <f t="shared" si="4"/>
        <v>3.2718430774692851E-2</v>
      </c>
      <c r="BF17" s="84">
        <f t="shared" si="14"/>
        <v>19.769858473603595</v>
      </c>
      <c r="BG17" s="86"/>
    </row>
    <row r="18" spans="1:59" s="92" customFormat="1" x14ac:dyDescent="0.25">
      <c r="A18" s="169"/>
      <c r="B18" s="78">
        <v>15</v>
      </c>
      <c r="C18" s="83">
        <v>0.10979404000000001</v>
      </c>
      <c r="D18" s="84">
        <f>C18/PROP_InOut!$E$8</f>
        <v>0.41167619047619053</v>
      </c>
      <c r="E18" s="84">
        <v>4.4292520000000002E-2</v>
      </c>
      <c r="F18" s="85">
        <f>E18*PROP_InOut!$G$8</f>
        <v>2.7774178322499996E-4</v>
      </c>
      <c r="G18" s="86">
        <f>PROP_InOut!$C$4</f>
        <v>19.55</v>
      </c>
      <c r="H18" s="87">
        <f>PROP_InOut!$C$8*'PROP_Table (2)'!C18</f>
        <v>63.236827403189722</v>
      </c>
      <c r="I18" s="88">
        <f t="shared" si="5"/>
        <v>66.189869617795793</v>
      </c>
      <c r="J18" s="89">
        <f>I18/PROP_InOut!$D$8</f>
        <v>0.19123578044321676</v>
      </c>
      <c r="K18" s="87">
        <f t="shared" si="6"/>
        <v>0.29983483967402691</v>
      </c>
      <c r="L18" s="88">
        <f t="shared" si="7"/>
        <v>17.179270864303433</v>
      </c>
      <c r="M18" s="86">
        <f t="shared" si="15"/>
        <v>8.3458581456945832E-2</v>
      </c>
      <c r="N18" s="86">
        <f t="shared" si="16"/>
        <v>4.781824481631789</v>
      </c>
      <c r="O18" s="87">
        <f t="shared" si="8"/>
        <v>0.44642031607510962</v>
      </c>
      <c r="P18" s="83">
        <v>25.577999999999999</v>
      </c>
      <c r="Q18" s="87">
        <f t="shared" si="9"/>
        <v>6.3126894944136869E-2</v>
      </c>
      <c r="R18" s="89">
        <f t="shared" si="10"/>
        <v>3.6169046540647773</v>
      </c>
      <c r="S18" s="122">
        <f t="shared" si="17"/>
        <v>5.6959141490950165</v>
      </c>
      <c r="T18" s="122">
        <f t="shared" si="18"/>
        <v>68.090032465633158</v>
      </c>
      <c r="U18" s="117">
        <v>5.6959141476432062</v>
      </c>
      <c r="V18" s="117">
        <v>4.781824481631789</v>
      </c>
      <c r="W18" s="118">
        <f t="shared" si="19"/>
        <v>3.6169046540647773</v>
      </c>
      <c r="X18" s="117">
        <f t="shared" si="20"/>
        <v>68.090032465633158</v>
      </c>
      <c r="Y18" s="123">
        <v>1.04617</v>
      </c>
      <c r="Z18" s="122">
        <v>1.47E-2</v>
      </c>
      <c r="AA18" s="117">
        <f t="shared" si="21"/>
        <v>-5.4082107681097114E-8</v>
      </c>
      <c r="AB18" s="117">
        <f t="shared" si="22"/>
        <v>37.251488886548408</v>
      </c>
      <c r="AC18" s="117">
        <f t="shared" si="23"/>
        <v>5.6959141490950165</v>
      </c>
      <c r="AD18" s="133">
        <f t="shared" si="24"/>
        <v>1.4518102275928868E-9</v>
      </c>
      <c r="AE18" s="117">
        <f t="shared" si="25"/>
        <v>8.3458374365167495E-2</v>
      </c>
      <c r="AF18" s="117">
        <f t="shared" si="26"/>
        <v>4.7818126161469188</v>
      </c>
      <c r="AG18" s="139">
        <v>0.14967404255888825</v>
      </c>
      <c r="AH18" s="86"/>
      <c r="AI18" s="86"/>
      <c r="AJ18" s="86"/>
      <c r="AK18" s="47"/>
      <c r="AL18" s="47"/>
      <c r="AM18" s="47"/>
      <c r="AN18" s="126">
        <v>4.781824481631789</v>
      </c>
      <c r="AO18" s="90">
        <f>PROP_InOut!$F$8*'PROP_Table (2)'!I18*'PROP_Table (2)'!E18</f>
        <v>189839.59169993916</v>
      </c>
      <c r="AP18" s="87">
        <f t="shared" si="27"/>
        <v>1.04617</v>
      </c>
      <c r="AQ18" s="87">
        <f t="shared" si="28"/>
        <v>1.47E-2</v>
      </c>
      <c r="AR18" s="5">
        <f>0.5*PROP_InOut!$J$8*I18^2*E18*AP18*(C18-C17)</f>
        <v>0.85418898789664899</v>
      </c>
      <c r="AS18" s="5">
        <f>0.5*PROP_InOut!$J$8*I18^2*E18*AQ18*(C18-C17)</f>
        <v>1.2002426108644618E-2</v>
      </c>
      <c r="AT18" s="87">
        <f t="shared" si="0"/>
        <v>0.83359516407551049</v>
      </c>
      <c r="AU18" s="87">
        <f t="shared" si="1"/>
        <v>3.8409387715537625E-2</v>
      </c>
      <c r="AV18" s="91">
        <f t="shared" si="2"/>
        <v>22.122219217269425</v>
      </c>
      <c r="AW18" s="84">
        <f>PROP_InOut!$G$4/2*((PROP_InOut!$E$8-'PROP_Table (2)'!C18)/('PROP_Table (2)'!C18*SIN('PROP_Table (2)'!K18)))</f>
        <v>4.8384408760448325</v>
      </c>
      <c r="AX18" s="84">
        <f t="shared" si="11"/>
        <v>0.99495830592961398</v>
      </c>
      <c r="AY18" s="84">
        <f>PROP_InOut!$G$4/2*((C18-PROP_InOut!$J$12/2)/(C18*SIN('PROP_Table (2)'!K18)))</f>
        <v>2.8961406066085047</v>
      </c>
      <c r="AZ18" s="84">
        <f t="shared" si="12"/>
        <v>0.9648177730366686</v>
      </c>
      <c r="BA18" s="84">
        <f t="shared" si="13"/>
        <v>0.9599534569913466</v>
      </c>
      <c r="BB18" s="22">
        <f>0.5*PROP_InOut!$J$8*T18^2*E18*AP18*(C18-C17)</f>
        <v>0.90393665911301746</v>
      </c>
      <c r="BC18" s="22">
        <f>0.5*PROP_InOut!$J$8*T18^2*E18*AQ18*(C18-C17)</f>
        <v>1.2701443253927521E-2</v>
      </c>
      <c r="BD18" s="84">
        <f t="shared" si="3"/>
        <v>0.80021255948555503</v>
      </c>
      <c r="BE18" s="84">
        <f t="shared" si="4"/>
        <v>3.6871224518451304E-2</v>
      </c>
      <c r="BF18" s="84">
        <f t="shared" si="14"/>
        <v>22.122219217269425</v>
      </c>
      <c r="BG18" s="86"/>
    </row>
    <row r="19" spans="1:59" s="92" customFormat="1" x14ac:dyDescent="0.25">
      <c r="A19" s="169"/>
      <c r="B19" s="78">
        <v>16</v>
      </c>
      <c r="C19" s="83">
        <v>0.11686793999999999</v>
      </c>
      <c r="D19" s="84">
        <f>C19/PROP_InOut!$E$8</f>
        <v>0.43819999999999998</v>
      </c>
      <c r="E19" s="84">
        <v>4.402582E-2</v>
      </c>
      <c r="F19" s="85">
        <f>E19*PROP_InOut!$G$8</f>
        <v>2.7606940753749999E-4</v>
      </c>
      <c r="G19" s="86">
        <f>PROP_InOut!$C$4</f>
        <v>19.55</v>
      </c>
      <c r="H19" s="87">
        <f>PROP_InOut!$C$8*'PROP_Table (2)'!C19</f>
        <v>67.311101319765001</v>
      </c>
      <c r="I19" s="88">
        <f t="shared" si="5"/>
        <v>70.092701908826925</v>
      </c>
      <c r="J19" s="89">
        <f>I19/PROP_InOut!$D$8</f>
        <v>0.20251184403760192</v>
      </c>
      <c r="K19" s="87">
        <f t="shared" si="6"/>
        <v>0.28266548405657183</v>
      </c>
      <c r="L19" s="88">
        <f t="shared" si="7"/>
        <v>16.195539250464027</v>
      </c>
      <c r="M19" s="86">
        <f t="shared" si="15"/>
        <v>8.1229448996111175E-2</v>
      </c>
      <c r="N19" s="86">
        <f t="shared" si="16"/>
        <v>4.6541045996503518</v>
      </c>
      <c r="O19" s="87">
        <f t="shared" si="8"/>
        <v>0.42258435448062304</v>
      </c>
      <c r="P19" s="83">
        <v>24.212299999999999</v>
      </c>
      <c r="Q19" s="87">
        <f t="shared" si="9"/>
        <v>5.8689421427940022E-2</v>
      </c>
      <c r="R19" s="89">
        <f t="shared" si="10"/>
        <v>3.3626561498856207</v>
      </c>
      <c r="S19" s="122">
        <f t="shared" si="17"/>
        <v>5.867022876429477</v>
      </c>
      <c r="T19" s="122">
        <f t="shared" si="18"/>
        <v>71.94373403208948</v>
      </c>
      <c r="U19" s="117">
        <f>U18+(U20-U18)*((C19-C18)/(C20-C18))</f>
        <v>5.8491437965999404</v>
      </c>
      <c r="V19" s="117">
        <f>V18+(V20-V18)*((C19-C18)/(C20-C18))</f>
        <v>4.6541045996503518</v>
      </c>
      <c r="W19" s="118">
        <f t="shared" si="19"/>
        <v>3.3626561498856207</v>
      </c>
      <c r="X19" s="117">
        <f t="shared" si="20"/>
        <v>71.94373403208948</v>
      </c>
      <c r="Y19" s="117">
        <f>Y18+(Y20-Y18)*((C19-C18)/(C20-C18))</f>
        <v>1.03241</v>
      </c>
      <c r="Z19" s="117">
        <f>Z18+(Z20-Z18)*((C19-C18)/(C20-C18))</f>
        <v>1.4E-2</v>
      </c>
      <c r="AA19" s="117">
        <f t="shared" si="21"/>
        <v>-0.71778605727337208</v>
      </c>
      <c r="AB19" s="117">
        <f t="shared" si="22"/>
        <v>40.14670017231996</v>
      </c>
      <c r="AC19" s="117">
        <f t="shared" si="23"/>
        <v>5.867022876429477</v>
      </c>
      <c r="AD19" s="133">
        <f t="shared" si="24"/>
        <v>1.7879079829536515E-2</v>
      </c>
      <c r="AE19" s="117">
        <f t="shared" si="25"/>
        <v>8.1370094781713864E-2</v>
      </c>
      <c r="AF19" s="117">
        <f t="shared" si="26"/>
        <v>4.6621630095716879</v>
      </c>
      <c r="AG19" s="139">
        <v>0.15810911250867413</v>
      </c>
      <c r="AH19" s="47"/>
      <c r="AI19" s="47"/>
      <c r="AJ19" s="47"/>
      <c r="AK19" s="47"/>
      <c r="AL19" s="47"/>
      <c r="AM19" s="47"/>
      <c r="AN19" s="126"/>
      <c r="AO19" s="90">
        <f>PROP_InOut!$F$8*'PROP_Table (2)'!I19*'PROP_Table (2)'!E19</f>
        <v>199822.84158188984</v>
      </c>
      <c r="AP19" s="87">
        <f t="shared" si="27"/>
        <v>1.03241</v>
      </c>
      <c r="AQ19" s="87">
        <f t="shared" si="28"/>
        <v>1.4E-2</v>
      </c>
      <c r="AR19" s="5">
        <f>0.5*PROP_InOut!$J$8*I19^2*E19*AP19*(C19-C18)</f>
        <v>0.93960111587651474</v>
      </c>
      <c r="AS19" s="5">
        <f>0.5*PROP_InOut!$J$8*I19^2*E19*AQ19*(C19-C18)</f>
        <v>1.274146474973238E-2</v>
      </c>
      <c r="AT19" s="87">
        <f t="shared" si="0"/>
        <v>0.92028555686451752</v>
      </c>
      <c r="AU19" s="87">
        <f t="shared" si="1"/>
        <v>4.2640474417979725E-2</v>
      </c>
      <c r="AV19" s="91">
        <f t="shared" si="2"/>
        <v>24.55915021580325</v>
      </c>
      <c r="AW19" s="84">
        <f>PROP_InOut!$G$4/2*((PROP_InOut!$E$8-'PROP_Table (2)'!C19)/('PROP_Table (2)'!C19*SIN('PROP_Table (2)'!K19)))</f>
        <v>4.596586119264809</v>
      </c>
      <c r="AX19" s="84">
        <f t="shared" si="11"/>
        <v>0.99357881031109185</v>
      </c>
      <c r="AY19" s="84">
        <f>PROP_InOut!$G$4/2*((C19-PROP_InOut!$J$12/2)/(C19*SIN('PROP_Table (2)'!K19)))</f>
        <v>3.0982871499447029</v>
      </c>
      <c r="AZ19" s="84">
        <f t="shared" si="12"/>
        <v>0.97126186240852075</v>
      </c>
      <c r="BA19" s="84">
        <f t="shared" si="13"/>
        <v>0.96502520575239348</v>
      </c>
      <c r="BB19" s="22">
        <f>0.5*PROP_InOut!$J$8*T19^2*E19*AP19*(C19-C18)</f>
        <v>0.98988301160245418</v>
      </c>
      <c r="BC19" s="22">
        <f>0.5*PROP_InOut!$J$8*T19^2*E19*AQ19*(C19-C18)</f>
        <v>1.3423312601034821E-2</v>
      </c>
      <c r="BD19" s="84">
        <f t="shared" si="3"/>
        <v>0.88809875886413703</v>
      </c>
      <c r="BE19" s="84">
        <f t="shared" si="4"/>
        <v>4.1149132598590557E-2</v>
      </c>
      <c r="BF19" s="84">
        <f t="shared" si="14"/>
        <v>24.55915021580325</v>
      </c>
      <c r="BG19" s="86"/>
    </row>
    <row r="20" spans="1:59" s="92" customFormat="1" x14ac:dyDescent="0.25">
      <c r="A20" s="169"/>
      <c r="B20" s="78">
        <v>17</v>
      </c>
      <c r="C20" s="83">
        <v>0.12394184</v>
      </c>
      <c r="D20" s="84">
        <f>C20/PROP_InOut!$E$8</f>
        <v>0.46472380952380954</v>
      </c>
      <c r="E20" s="84">
        <v>4.3530519999999996E-2</v>
      </c>
      <c r="F20" s="85">
        <f>E20*PROP_InOut!$G$8</f>
        <v>2.7296356697499997E-4</v>
      </c>
      <c r="G20" s="86">
        <f>PROP_InOut!$C$4</f>
        <v>19.55</v>
      </c>
      <c r="H20" s="87">
        <f>PROP_InOut!$C$8*'PROP_Table (2)'!C20</f>
        <v>71.38537523634028</v>
      </c>
      <c r="I20" s="88">
        <f t="shared" si="5"/>
        <v>74.014014197536298</v>
      </c>
      <c r="J20" s="89">
        <f>I20/PROP_InOut!$D$8</f>
        <v>0.21384130004383187</v>
      </c>
      <c r="K20" s="87">
        <f t="shared" si="6"/>
        <v>0.26731128066303306</v>
      </c>
      <c r="L20" s="88">
        <f t="shared" si="7"/>
        <v>15.315808198228808</v>
      </c>
      <c r="M20" s="86">
        <f t="shared" si="15"/>
        <v>7.9000316535276505E-2</v>
      </c>
      <c r="N20" s="86">
        <f t="shared" si="16"/>
        <v>4.5263847176689138</v>
      </c>
      <c r="O20" s="87">
        <f t="shared" si="8"/>
        <v>0.40103302887699704</v>
      </c>
      <c r="P20" s="83">
        <v>22.977499999999999</v>
      </c>
      <c r="Q20" s="87">
        <f t="shared" si="9"/>
        <v>5.4721431678687503E-2</v>
      </c>
      <c r="R20" s="89">
        <f t="shared" si="10"/>
        <v>3.1353070841022772</v>
      </c>
      <c r="S20" s="122">
        <f t="shared" si="17"/>
        <v>6.002373447270676</v>
      </c>
      <c r="T20" s="122">
        <f t="shared" si="18"/>
        <v>75.820812356069453</v>
      </c>
      <c r="U20" s="117">
        <v>6.0023734455566755</v>
      </c>
      <c r="V20" s="117">
        <v>4.5263847176689138</v>
      </c>
      <c r="W20" s="118">
        <f t="shared" si="19"/>
        <v>3.1353070841022772</v>
      </c>
      <c r="X20" s="117">
        <f t="shared" si="20"/>
        <v>75.820812356069453</v>
      </c>
      <c r="Y20" s="123">
        <v>1.0186500000000001</v>
      </c>
      <c r="Z20" s="122">
        <v>1.3299999999999999E-2</v>
      </c>
      <c r="AA20" s="117">
        <f t="shared" si="21"/>
        <v>-7.4163324370601913E-8</v>
      </c>
      <c r="AB20" s="117">
        <f t="shared" si="22"/>
        <v>43.269128293100664</v>
      </c>
      <c r="AC20" s="117">
        <f t="shared" si="23"/>
        <v>6.002373447270676</v>
      </c>
      <c r="AD20" s="133">
        <f t="shared" si="24"/>
        <v>1.7140004970883638E-9</v>
      </c>
      <c r="AE20" s="117">
        <f t="shared" si="25"/>
        <v>7.9000487739113862E-2</v>
      </c>
      <c r="AF20" s="117">
        <f t="shared" si="26"/>
        <v>4.5263945269262313</v>
      </c>
      <c r="AG20" s="139">
        <v>0.166616094155037</v>
      </c>
      <c r="AH20" s="47"/>
      <c r="AI20" s="47"/>
      <c r="AJ20" s="47"/>
      <c r="AK20" s="47"/>
      <c r="AL20" s="47"/>
      <c r="AM20" s="47"/>
      <c r="AN20" s="126">
        <v>4.5263847176689138</v>
      </c>
      <c r="AO20" s="90">
        <f>PROP_InOut!$F$8*'PROP_Table (2)'!I20*'PROP_Table (2)'!E20</f>
        <v>208628.0456625919</v>
      </c>
      <c r="AP20" s="87">
        <f t="shared" si="27"/>
        <v>1.0186500000000001</v>
      </c>
      <c r="AQ20" s="87">
        <f t="shared" si="28"/>
        <v>1.3299999999999999E-2</v>
      </c>
      <c r="AR20" s="5">
        <f>0.5*PROP_InOut!$J$8*I20^2*E20*AP20*(C20-C19)</f>
        <v>1.022080324195191</v>
      </c>
      <c r="AS20" s="5">
        <f>0.5*PROP_InOut!$J$8*I20^2*E20*AQ20*(C20-C19)</f>
        <v>1.3344788015310497E-2</v>
      </c>
      <c r="AT20" s="87">
        <f t="shared" si="0"/>
        <v>1.0041585338397816</v>
      </c>
      <c r="AU20" s="87">
        <f t="shared" si="1"/>
        <v>4.6756194426176963E-2</v>
      </c>
      <c r="AV20" s="91">
        <f t="shared" si="2"/>
        <v>26.929634768500488</v>
      </c>
      <c r="AW20" s="84">
        <f>PROP_InOut!$G$4/2*((PROP_InOut!$E$8-'PROP_Table (2)'!C20)/('PROP_Table (2)'!C20*SIN('PROP_Table (2)'!K20)))</f>
        <v>4.3606396545001367</v>
      </c>
      <c r="AX20" s="84">
        <f t="shared" si="11"/>
        <v>0.99187000669101588</v>
      </c>
      <c r="AY20" s="84">
        <f>PROP_InOut!$G$4/2*((C20-PROP_InOut!$J$12/2)/(C20*SIN('PROP_Table (2)'!K20)))</f>
        <v>3.3009710116782225</v>
      </c>
      <c r="AZ20" s="84">
        <f t="shared" si="12"/>
        <v>0.97653692373133916</v>
      </c>
      <c r="BA20" s="84">
        <f t="shared" si="13"/>
        <v>0.96859768507542743</v>
      </c>
      <c r="BB20" s="22">
        <f>0.5*PROP_InOut!$J$8*T20^2*E20*AP20*(C20-C19)</f>
        <v>1.0725905742372184</v>
      </c>
      <c r="BC20" s="22">
        <f>0.5*PROP_InOut!$J$8*T20^2*E20*AQ20*(C20-C19)</f>
        <v>1.4004274910278312E-2</v>
      </c>
      <c r="BD20" s="84">
        <f t="shared" si="3"/>
        <v>0.9726256313259477</v>
      </c>
      <c r="BE20" s="84">
        <f t="shared" si="4"/>
        <v>4.5287941684131611E-2</v>
      </c>
      <c r="BF20" s="84">
        <f t="shared" si="14"/>
        <v>26.929634768500488</v>
      </c>
      <c r="BG20" s="86"/>
    </row>
    <row r="21" spans="1:59" s="92" customFormat="1" x14ac:dyDescent="0.25">
      <c r="A21" s="169"/>
      <c r="B21" s="78">
        <v>18</v>
      </c>
      <c r="C21" s="83">
        <v>0.13101573999999999</v>
      </c>
      <c r="D21" s="84">
        <f>C21/PROP_InOut!$E$8</f>
        <v>0.49124761904761904</v>
      </c>
      <c r="E21" s="84">
        <v>4.2821859999999996E-2</v>
      </c>
      <c r="F21" s="85">
        <f>E21*PROP_InOut!$G$8</f>
        <v>2.6851982586249996E-4</v>
      </c>
      <c r="G21" s="86">
        <f>PROP_InOut!$C$4</f>
        <v>19.55</v>
      </c>
      <c r="H21" s="87">
        <f>PROP_InOut!$C$8*'PROP_Table (2)'!C21</f>
        <v>75.459649152915574</v>
      </c>
      <c r="I21" s="88">
        <f t="shared" si="5"/>
        <v>77.951017634673079</v>
      </c>
      <c r="J21" s="89">
        <f>I21/PROP_InOut!$D$8</f>
        <v>0.22521609091826586</v>
      </c>
      <c r="K21" s="87">
        <f t="shared" si="6"/>
        <v>0.25350505288815728</v>
      </c>
      <c r="L21" s="88">
        <f t="shared" si="7"/>
        <v>14.524769615732133</v>
      </c>
      <c r="M21" s="86">
        <f t="shared" si="15"/>
        <v>7.6622072565071531E-2</v>
      </c>
      <c r="N21" s="86">
        <f t="shared" si="16"/>
        <v>4.3901213755237327</v>
      </c>
      <c r="O21" s="87">
        <f t="shared" si="8"/>
        <v>0.38146963329139266</v>
      </c>
      <c r="P21" s="83">
        <v>21.8566</v>
      </c>
      <c r="Q21" s="87">
        <f t="shared" si="9"/>
        <v>5.1342507838163812E-2</v>
      </c>
      <c r="R21" s="89">
        <f t="shared" si="10"/>
        <v>2.9417090087441347</v>
      </c>
      <c r="S21" s="122">
        <f t="shared" si="17"/>
        <v>6.1274288345112335</v>
      </c>
      <c r="T21" s="122">
        <f t="shared" si="18"/>
        <v>79.703310036553205</v>
      </c>
      <c r="U21" s="117">
        <f>U20+(U22-U20)*((C21-C20)/(C22-C20))</f>
        <v>6.1104555786098587</v>
      </c>
      <c r="V21" s="117">
        <f>V20+(V22-V20)*((C21-C20)/(C22-C20))</f>
        <v>4.3901213755237327</v>
      </c>
      <c r="W21" s="118">
        <f t="shared" si="19"/>
        <v>2.9417090087441347</v>
      </c>
      <c r="X21" s="117">
        <f t="shared" si="20"/>
        <v>79.703310036553205</v>
      </c>
      <c r="Y21" s="117">
        <f>Y20+(Y22-Y20)*((C21-C20)/(C22-C20))</f>
        <v>1.01007</v>
      </c>
      <c r="Z21" s="117">
        <f>Z20+(Z22-Z20)*((C21-C20)/(C22-C20))</f>
        <v>1.2785000000000001E-2</v>
      </c>
      <c r="AA21" s="117">
        <f t="shared" si="21"/>
        <v>-0.79301272835215286</v>
      </c>
      <c r="AB21" s="117">
        <f t="shared" si="22"/>
        <v>46.721308684678256</v>
      </c>
      <c r="AC21" s="117">
        <f t="shared" si="23"/>
        <v>6.1274288345112335</v>
      </c>
      <c r="AD21" s="133">
        <f t="shared" si="24"/>
        <v>1.6973255901374884E-2</v>
      </c>
      <c r="AE21" s="117">
        <f t="shared" si="25"/>
        <v>7.6727051480394784E-2</v>
      </c>
      <c r="AF21" s="117">
        <f t="shared" si="26"/>
        <v>4.3961362243096165</v>
      </c>
      <c r="AG21" s="139">
        <v>0.17517841857770275</v>
      </c>
      <c r="AJ21" s="47"/>
      <c r="AK21" s="47"/>
      <c r="AL21" s="47"/>
      <c r="AM21" s="47"/>
      <c r="AN21" s="126"/>
      <c r="AO21" s="90">
        <f>PROP_InOut!$F$8*'PROP_Table (2)'!I21*'PROP_Table (2)'!E21</f>
        <v>216148.48309804336</v>
      </c>
      <c r="AP21" s="87">
        <f t="shared" si="27"/>
        <v>1.01007</v>
      </c>
      <c r="AQ21" s="87">
        <f t="shared" si="28"/>
        <v>1.2785000000000001E-2</v>
      </c>
      <c r="AR21" s="5">
        <f>0.5*PROP_InOut!$J$8*I21^2*E21*AP21*(C21-C20)</f>
        <v>1.1058566733984516</v>
      </c>
      <c r="AS21" s="5">
        <f>0.5*PROP_InOut!$J$8*I21^2*E21*AQ21*(C21-C20)</f>
        <v>1.3997423514607112E-2</v>
      </c>
      <c r="AT21" s="87">
        <f t="shared" si="0"/>
        <v>1.0889598559069344</v>
      </c>
      <c r="AU21" s="87">
        <f t="shared" si="1"/>
        <v>5.0915288692499026E-2</v>
      </c>
      <c r="AV21" s="91">
        <f t="shared" si="2"/>
        <v>29.325101100489043</v>
      </c>
      <c r="AW21" s="84">
        <f>PROP_InOut!$G$4/2*((PROP_InOut!$E$8-'PROP_Table (2)'!C21)/('PROP_Table (2)'!C21*SIN('PROP_Table (2)'!K21)))</f>
        <v>4.1293436187412347</v>
      </c>
      <c r="AX21" s="84">
        <f t="shared" si="11"/>
        <v>0.98975415635280417</v>
      </c>
      <c r="AY21" s="84">
        <f>PROP_InOut!$G$4/2*((C21-PROP_InOut!$J$12/2)/(C21*SIN('PROP_Table (2)'!K21)))</f>
        <v>3.5041329036702087</v>
      </c>
      <c r="AZ21" s="84">
        <f t="shared" si="12"/>
        <v>0.98085214977957469</v>
      </c>
      <c r="BA21" s="84">
        <f t="shared" si="13"/>
        <v>0.97080249201191726</v>
      </c>
      <c r="BB21" s="22">
        <f>0.5*PROP_InOut!$J$8*T21^2*E21*AP21*(C21-C20)</f>
        <v>1.1561334862765607</v>
      </c>
      <c r="BC21" s="22">
        <f>0.5*PROP_InOut!$J$8*T21^2*E21*AQ21*(C21-C20)</f>
        <v>1.4633804213614727E-2</v>
      </c>
      <c r="BD21" s="84">
        <f t="shared" si="3"/>
        <v>1.0571649418153903</v>
      </c>
      <c r="BE21" s="84">
        <f t="shared" si="4"/>
        <v>4.9428689144184246E-2</v>
      </c>
      <c r="BF21" s="84">
        <f t="shared" si="14"/>
        <v>29.325101100489043</v>
      </c>
      <c r="BG21" s="86"/>
    </row>
    <row r="22" spans="1:59" s="92" customFormat="1" x14ac:dyDescent="0.25">
      <c r="A22" s="169"/>
      <c r="B22" s="78">
        <v>19</v>
      </c>
      <c r="C22" s="83">
        <v>0.13808964000000001</v>
      </c>
      <c r="D22" s="84">
        <f>C22/PROP_InOut!$E$8</f>
        <v>0.51777142857142866</v>
      </c>
      <c r="E22" s="84">
        <v>4.19227E-2</v>
      </c>
      <c r="F22" s="85">
        <f>E22*PROP_InOut!$G$8</f>
        <v>2.6288153068749999E-4</v>
      </c>
      <c r="G22" s="86">
        <f>PROP_InOut!$C$4</f>
        <v>19.55</v>
      </c>
      <c r="H22" s="87">
        <f>PROP_InOut!$C$8*'PROP_Table (2)'!C22</f>
        <v>79.533923069490868</v>
      </c>
      <c r="I22" s="88">
        <f t="shared" si="5"/>
        <v>81.901449430542385</v>
      </c>
      <c r="J22" s="89">
        <f>I22/PROP_InOut!$D$8</f>
        <v>0.23662967900860485</v>
      </c>
      <c r="K22" s="87">
        <f t="shared" si="6"/>
        <v>0.24102849241523561</v>
      </c>
      <c r="L22" s="88">
        <f t="shared" si="7"/>
        <v>13.809915357793974</v>
      </c>
      <c r="M22" s="86">
        <f t="shared" si="15"/>
        <v>7.4243828594866557E-2</v>
      </c>
      <c r="N22" s="86">
        <f t="shared" si="16"/>
        <v>4.2538580333785507</v>
      </c>
      <c r="O22" s="87">
        <f t="shared" si="8"/>
        <v>0.36364458564077456</v>
      </c>
      <c r="P22" s="83">
        <v>20.8353</v>
      </c>
      <c r="Q22" s="87">
        <f t="shared" si="9"/>
        <v>4.8372264630672381E-2</v>
      </c>
      <c r="R22" s="89">
        <f t="shared" si="10"/>
        <v>2.7715266088274753</v>
      </c>
      <c r="S22" s="122">
        <f t="shared" si="17"/>
        <v>6.2185377135732214</v>
      </c>
      <c r="T22" s="122">
        <f t="shared" si="18"/>
        <v>83.604201178057394</v>
      </c>
      <c r="U22" s="117">
        <v>6.2185377116630418</v>
      </c>
      <c r="V22" s="117">
        <v>4.2538580333785507</v>
      </c>
      <c r="W22" s="118">
        <f t="shared" si="19"/>
        <v>2.7715266088274753</v>
      </c>
      <c r="X22" s="117">
        <f t="shared" si="20"/>
        <v>83.604201178057394</v>
      </c>
      <c r="Y22" s="123">
        <v>1.00149</v>
      </c>
      <c r="Z22" s="122">
        <v>1.227E-2</v>
      </c>
      <c r="AA22" s="117">
        <f t="shared" si="21"/>
        <v>-9.6411213235114701E-8</v>
      </c>
      <c r="AB22" s="117">
        <f t="shared" si="22"/>
        <v>50.472322868516279</v>
      </c>
      <c r="AC22" s="117">
        <f t="shared" si="23"/>
        <v>6.2185377135732214</v>
      </c>
      <c r="AD22" s="133">
        <f t="shared" si="24"/>
        <v>1.910179570074888E-9</v>
      </c>
      <c r="AE22" s="117">
        <f t="shared" si="25"/>
        <v>7.4243968039805902E-2</v>
      </c>
      <c r="AF22" s="117">
        <f t="shared" si="26"/>
        <v>4.2538660229850498</v>
      </c>
      <c r="AG22" s="139">
        <v>0.18379450611778758</v>
      </c>
      <c r="AH22" s="47"/>
      <c r="AI22" s="47"/>
      <c r="AJ22" s="47"/>
      <c r="AK22" s="47"/>
      <c r="AL22" s="47"/>
      <c r="AM22" s="47"/>
      <c r="AN22" s="126">
        <v>4.2538580333785507</v>
      </c>
      <c r="AO22" s="90">
        <f>PROP_InOut!$F$8*'PROP_Table (2)'!I22*'PROP_Table (2)'!E22</f>
        <v>222333.91148385307</v>
      </c>
      <c r="AP22" s="87">
        <f t="shared" si="27"/>
        <v>1.00149</v>
      </c>
      <c r="AQ22" s="87">
        <f t="shared" si="28"/>
        <v>1.227E-2</v>
      </c>
      <c r="AR22" s="5">
        <f>0.5*PROP_InOut!$J$8*I22^2*E22*AP22*(C22-C21)</f>
        <v>1.1849971417403309</v>
      </c>
      <c r="AS22" s="5">
        <f>0.5*PROP_InOut!$J$8*I22^2*E22*AQ22*(C22-C21)</f>
        <v>1.4518282687948816E-2</v>
      </c>
      <c r="AT22" s="87">
        <f t="shared" si="0"/>
        <v>1.1692312498427497</v>
      </c>
      <c r="AU22" s="87">
        <f t="shared" si="1"/>
        <v>5.4857232219646168E-2</v>
      </c>
      <c r="AV22" s="91">
        <f t="shared" si="2"/>
        <v>31.595497585210111</v>
      </c>
      <c r="AW22" s="84">
        <f>PROP_InOut!$G$4/2*((PROP_InOut!$E$8-'PROP_Table (2)'!C22)/('PROP_Table (2)'!C22*SIN('PROP_Table (2)'!K22)))</f>
        <v>3.9017521862722817</v>
      </c>
      <c r="AX22" s="84">
        <f t="shared" si="11"/>
        <v>0.98713528299925124</v>
      </c>
      <c r="AY22" s="84">
        <f>PROP_InOut!$G$4/2*((C22-PROP_InOut!$J$12/2)/(C22*SIN('PROP_Table (2)'!K22)))</f>
        <v>3.7077202708590504</v>
      </c>
      <c r="AZ22" s="84">
        <f t="shared" si="12"/>
        <v>0.98437999226657114</v>
      </c>
      <c r="BA22" s="84">
        <f t="shared" si="13"/>
        <v>0.97171622224486243</v>
      </c>
      <c r="BB22" s="22">
        <f>0.5*PROP_InOut!$J$8*T22^2*E22*AP22*(C22-C21)</f>
        <v>1.2347821161245471</v>
      </c>
      <c r="BC22" s="22">
        <f>0.5*PROP_InOut!$J$8*T22^2*E22*AQ22*(C22-C21)</f>
        <v>1.5128235493962191E-2</v>
      </c>
      <c r="BD22" s="84">
        <f t="shared" si="3"/>
        <v>1.1361609730278357</v>
      </c>
      <c r="BE22" s="84">
        <f t="shared" si="4"/>
        <v>5.3305662455283724E-2</v>
      </c>
      <c r="BF22" s="84">
        <f t="shared" si="14"/>
        <v>31.595497585210111</v>
      </c>
      <c r="BG22" s="86"/>
    </row>
    <row r="23" spans="1:59" s="92" customFormat="1" x14ac:dyDescent="0.25">
      <c r="A23" s="170"/>
      <c r="B23" s="93">
        <v>20</v>
      </c>
      <c r="C23" s="83">
        <v>0.14516353999999998</v>
      </c>
      <c r="D23" s="94">
        <f>C23/PROP_InOut!$E$8</f>
        <v>0.54429523809523805</v>
      </c>
      <c r="E23" s="84">
        <v>4.0848280000000001E-2</v>
      </c>
      <c r="F23" s="95">
        <f>E23*PROP_InOut!$G$8</f>
        <v>2.5614424577499999E-4</v>
      </c>
      <c r="G23" s="96">
        <f>PROP_InOut!$C$4</f>
        <v>19.55</v>
      </c>
      <c r="H23" s="97">
        <f>PROP_InOut!$C$8*'PROP_Table (2)'!C23</f>
        <v>83.608196986066133</v>
      </c>
      <c r="I23" s="98">
        <f t="shared" si="5"/>
        <v>85.863456157208333</v>
      </c>
      <c r="J23" s="99">
        <f>I23/PROP_InOut!$D$8</f>
        <v>0.24807670939060047</v>
      </c>
      <c r="K23" s="97">
        <f t="shared" si="6"/>
        <v>0.22970171624464567</v>
      </c>
      <c r="L23" s="98">
        <f t="shared" si="7"/>
        <v>13.160938887729818</v>
      </c>
      <c r="M23" s="86">
        <f t="shared" si="15"/>
        <v>7.1736889811083657E-2</v>
      </c>
      <c r="N23" s="86">
        <f t="shared" si="16"/>
        <v>4.1102210215701307</v>
      </c>
      <c r="O23" s="97">
        <f t="shared" si="8"/>
        <v>0.34734670108565147</v>
      </c>
      <c r="P23" s="83">
        <v>19.901499999999999</v>
      </c>
      <c r="Q23" s="97">
        <f>RADIANS(R23)</f>
        <v>4.5908095029922144E-2</v>
      </c>
      <c r="R23" s="99">
        <f t="shared" si="10"/>
        <v>2.6303400907000496</v>
      </c>
      <c r="S23" s="142">
        <f t="shared" si="17"/>
        <v>6.2953672140900512</v>
      </c>
      <c r="T23" s="142">
        <f t="shared" si="18"/>
        <v>87.506956976002215</v>
      </c>
      <c r="U23" s="117">
        <f>U22+(U24-U22)*((C23-C22)/(C24-C22))</f>
        <v>6.2789937074417468</v>
      </c>
      <c r="V23" s="117">
        <f>V22+(V24-V22)*((C23-C22)/(C24-C22))</f>
        <v>4.1102210215701307</v>
      </c>
      <c r="W23" s="143">
        <f t="shared" si="19"/>
        <v>2.6303400907000496</v>
      </c>
      <c r="X23" s="127">
        <f t="shared" si="20"/>
        <v>87.506956976002215</v>
      </c>
      <c r="Y23" s="117">
        <f>Y22+(Y24-Y22)*((C23-C22)/(C24-C22))</f>
        <v>0.99675999999999998</v>
      </c>
      <c r="Z23" s="117">
        <f>Z22+(Z24-Z22)*((C23-C22)/(C24-C22))</f>
        <v>1.1920000000000002E-2</v>
      </c>
      <c r="AA23" s="127">
        <f t="shared" si="21"/>
        <v>-0.89464462824088287</v>
      </c>
      <c r="AB23" s="127">
        <f t="shared" si="22"/>
        <v>54.639769443251318</v>
      </c>
      <c r="AC23" s="127">
        <f t="shared" si="23"/>
        <v>6.2953672140900512</v>
      </c>
      <c r="AD23" s="144">
        <f t="shared" si="24"/>
        <v>1.6373506648304392E-2</v>
      </c>
      <c r="AE23" s="127">
        <f t="shared" si="25"/>
        <v>7.1817605809894283E-2</v>
      </c>
      <c r="AF23" s="127">
        <f t="shared" si="26"/>
        <v>4.1148457076411633</v>
      </c>
      <c r="AG23" s="145">
        <v>0.19245428013280028</v>
      </c>
      <c r="AH23" s="96"/>
      <c r="AI23" s="96"/>
      <c r="AJ23" s="96"/>
      <c r="AK23" s="127"/>
      <c r="AL23" s="127"/>
      <c r="AM23" s="127"/>
      <c r="AN23" s="128"/>
      <c r="AO23" s="100">
        <f>PROP_InOut!$F$8*'PROP_Table (2)'!I23*'PROP_Table (2)'!E23</f>
        <v>227115.62602886467</v>
      </c>
      <c r="AP23" s="87">
        <f t="shared" si="27"/>
        <v>0.99675999999999998</v>
      </c>
      <c r="AQ23" s="87">
        <f t="shared" si="28"/>
        <v>1.1920000000000002E-2</v>
      </c>
      <c r="AR23" s="5">
        <f>0.5*PROP_InOut!$J$8*I23^2*E23*AP23*(C23-C22)</f>
        <v>1.2630465942325773</v>
      </c>
      <c r="AS23" s="5">
        <f>0.5*PROP_InOut!$J$8*I23^2*E23*AQ23*(C23-C22)</f>
        <v>1.5104453833673424E-2</v>
      </c>
      <c r="AT23" s="97">
        <f t="shared" si="0"/>
        <v>1.2480518752765331</v>
      </c>
      <c r="AU23" s="97">
        <f t="shared" si="1"/>
        <v>5.8713544093172268E-2</v>
      </c>
      <c r="AV23" s="101">
        <f t="shared" si="2"/>
        <v>33.816573778043903</v>
      </c>
      <c r="AW23" s="94">
        <f>PROP_InOut!$G$4/2*((PROP_InOut!$E$8-'PROP_Table (2)'!C23)/('PROP_Table (2)'!C23*SIN('PROP_Table (2)'!K23)))</f>
        <v>3.6771439859671458</v>
      </c>
      <c r="AX23" s="94">
        <f t="shared" si="11"/>
        <v>0.98389491189826483</v>
      </c>
      <c r="AY23" s="94">
        <f>PROP_InOut!$G$4/2*((C23-PROP_InOut!$J$12/2)/(C23*SIN('PROP_Table (2)'!K23)))</f>
        <v>3.911686890629138</v>
      </c>
      <c r="AZ23" s="94">
        <f t="shared" si="12"/>
        <v>0.98726247445103532</v>
      </c>
      <c r="BA23" s="94">
        <f t="shared" si="13"/>
        <v>0.9713625253204643</v>
      </c>
      <c r="BB23" s="22">
        <f>0.5*PROP_InOut!$J$8*T23^2*E23*AP23*(C23-C22)</f>
        <v>1.3118609486194444</v>
      </c>
      <c r="BC23" s="22">
        <f>0.5*PROP_InOut!$J$8*T23^2*E23*AQ23*(C23-C22)</f>
        <v>1.5688212315445826E-2</v>
      </c>
      <c r="BD23" s="94">
        <f t="shared" si="3"/>
        <v>1.2123108212995544</v>
      </c>
      <c r="BE23" s="94">
        <f t="shared" si="4"/>
        <v>5.7032136460858245E-2</v>
      </c>
      <c r="BF23" s="94">
        <f t="shared" si="14"/>
        <v>33.816573778043903</v>
      </c>
      <c r="BG23" s="96"/>
    </row>
    <row r="24" spans="1:59" s="92" customFormat="1" x14ac:dyDescent="0.25">
      <c r="A24" s="171" t="s">
        <v>85</v>
      </c>
      <c r="B24" s="102">
        <v>21</v>
      </c>
      <c r="C24" s="83">
        <v>0.15223744</v>
      </c>
      <c r="D24" s="103">
        <f>C24/PROP_InOut!$E$8</f>
        <v>0.57081904761904767</v>
      </c>
      <c r="E24" s="84">
        <v>3.9618920000000002E-2</v>
      </c>
      <c r="F24" s="104">
        <f>E24*PROP_InOut!$G$8</f>
        <v>2.4843539022499997E-4</v>
      </c>
      <c r="G24" s="92">
        <f>PROP_InOut!$C$4</f>
        <v>19.55</v>
      </c>
      <c r="H24" s="105">
        <f>PROP_InOut!$C$8*'PROP_Table (2)'!C24</f>
        <v>87.682470902641441</v>
      </c>
      <c r="I24" s="106">
        <f t="shared" si="5"/>
        <v>89.835506363534037</v>
      </c>
      <c r="J24" s="107">
        <f>I24/PROP_InOut!$D$8</f>
        <v>0.25955275739541644</v>
      </c>
      <c r="K24" s="105">
        <f t="shared" si="6"/>
        <v>0.21937533112028204</v>
      </c>
      <c r="L24" s="106">
        <f t="shared" si="7"/>
        <v>12.569280602477107</v>
      </c>
      <c r="M24" s="86">
        <f t="shared" si="15"/>
        <v>6.9229951027300715E-2</v>
      </c>
      <c r="N24" s="86">
        <f t="shared" si="16"/>
        <v>3.9665840097617089</v>
      </c>
      <c r="O24" s="105">
        <f t="shared" si="8"/>
        <v>0.33239446538381606</v>
      </c>
      <c r="P24" s="83">
        <v>19.044799999999999</v>
      </c>
      <c r="Q24" s="105">
        <f t="shared" ref="Q24:Q41" si="29">RADIANS(R24)</f>
        <v>4.3789183236233278E-2</v>
      </c>
      <c r="R24" s="107">
        <f t="shared" si="10"/>
        <v>2.5089353877611824</v>
      </c>
      <c r="S24" s="122">
        <f t="shared" si="17"/>
        <v>6.3394497052461363</v>
      </c>
      <c r="T24" s="122">
        <f t="shared" si="18"/>
        <v>91.424719357119955</v>
      </c>
      <c r="U24" s="117">
        <v>6.3394497032204518</v>
      </c>
      <c r="V24" s="117">
        <v>3.9665840097617089</v>
      </c>
      <c r="W24" s="118">
        <f t="shared" si="19"/>
        <v>2.5089353877611824</v>
      </c>
      <c r="X24" s="117">
        <f t="shared" si="20"/>
        <v>91.424719357119955</v>
      </c>
      <c r="Y24" s="123">
        <v>0.99202999999999997</v>
      </c>
      <c r="Z24" s="122">
        <v>1.157E-2</v>
      </c>
      <c r="AA24" s="117">
        <f t="shared" si="21"/>
        <v>-1.1992733561783098E-7</v>
      </c>
      <c r="AB24" s="117">
        <f t="shared" si="22"/>
        <v>59.203351450398209</v>
      </c>
      <c r="AC24" s="117">
        <f t="shared" si="23"/>
        <v>6.3394497052461363</v>
      </c>
      <c r="AD24" s="133">
        <f t="shared" si="24"/>
        <v>2.0256845090216302E-9</v>
      </c>
      <c r="AE24" s="117">
        <f t="shared" si="25"/>
        <v>6.9229839253898529E-2</v>
      </c>
      <c r="AF24" s="117">
        <f t="shared" si="26"/>
        <v>3.9665776056175015</v>
      </c>
      <c r="AG24" s="139">
        <v>0.20114873093987878</v>
      </c>
      <c r="AK24" s="47"/>
      <c r="AL24" s="47"/>
      <c r="AM24" s="47"/>
      <c r="AN24" s="126">
        <v>3.9665840097617089</v>
      </c>
      <c r="AO24" s="108">
        <f>PROP_InOut!$F$8*'PROP_Table (2)'!I24*'PROP_Table (2)'!E24</f>
        <v>230470.59779360483</v>
      </c>
      <c r="AP24" s="87">
        <f t="shared" si="27"/>
        <v>0.99202999999999997</v>
      </c>
      <c r="AQ24" s="87">
        <f t="shared" si="28"/>
        <v>1.157E-2</v>
      </c>
      <c r="AR24" s="5">
        <f>0.5*PROP_InOut!$J$8*I24^2*E24*AP24*(C24-C23)</f>
        <v>1.3346326457692288</v>
      </c>
      <c r="AS24" s="5">
        <f>0.5*PROP_InOut!$J$8*I24^2*E24*AQ24*(C24-C23)</f>
        <v>1.5565758809259778E-2</v>
      </c>
      <c r="AT24" s="105">
        <f t="shared" si="0"/>
        <v>1.3205136504311537</v>
      </c>
      <c r="AU24" s="105">
        <f t="shared" si="1"/>
        <v>6.2245338876476985E-2</v>
      </c>
      <c r="AV24" s="91">
        <f t="shared" si="2"/>
        <v>35.850741544666995</v>
      </c>
      <c r="AW24" s="84">
        <f>PROP_InOut!$G$4/2*((PROP_InOut!$E$8-'PROP_Table (2)'!C24)/('PROP_Table (2)'!C24*SIN('PROP_Table (2)'!K24)))</f>
        <v>3.4549617279456974</v>
      </c>
      <c r="AX24" s="84">
        <f t="shared" si="11"/>
        <v>0.97988678197085344</v>
      </c>
      <c r="AY24" s="84">
        <f>PROP_InOut!$G$4/2*((C24-PROP_InOut!$J$12/2)/(C24*SIN('PROP_Table (2)'!K24)))</f>
        <v>4.1159922627039922</v>
      </c>
      <c r="AZ24" s="84">
        <f t="shared" si="12"/>
        <v>0.9896164310308635</v>
      </c>
      <c r="BA24" s="84">
        <f t="shared" si="13"/>
        <v>0.96971205998831389</v>
      </c>
      <c r="BB24" s="22">
        <f>0.5*PROP_InOut!$J$8*T24^2*E24*AP24*(C24-C23)</f>
        <v>1.3822702955488735</v>
      </c>
      <c r="BC24" s="22">
        <f>0.5*PROP_InOut!$J$8*T24^2*E24*AQ24*(C24-C23)</f>
        <v>1.6121354514984899E-2</v>
      </c>
      <c r="BD24" s="103">
        <f t="shared" si="3"/>
        <v>1.2805180122022821</v>
      </c>
      <c r="BE24" s="103">
        <f t="shared" si="4"/>
        <v>6.036005578657918E-2</v>
      </c>
      <c r="BF24" s="103">
        <f t="shared" si="14"/>
        <v>35.850741544666995</v>
      </c>
    </row>
    <row r="25" spans="1:59" s="92" customFormat="1" x14ac:dyDescent="0.25">
      <c r="A25" s="171"/>
      <c r="B25" s="102">
        <v>22</v>
      </c>
      <c r="C25" s="83">
        <v>0.15931134</v>
      </c>
      <c r="D25" s="103">
        <f>C25/PROP_InOut!$E$8</f>
        <v>0.59734285714285718</v>
      </c>
      <c r="E25" s="84">
        <v>3.8252399999999999E-2</v>
      </c>
      <c r="F25" s="104">
        <f>E25*PROP_InOut!$G$8</f>
        <v>2.3986645574999998E-4</v>
      </c>
      <c r="G25" s="92">
        <f>PROP_InOut!$C$4</f>
        <v>19.55</v>
      </c>
      <c r="H25" s="105">
        <f>PROP_InOut!$C$8*'PROP_Table (2)'!C25</f>
        <v>91.756744819216721</v>
      </c>
      <c r="I25" s="106">
        <f t="shared" si="5"/>
        <v>93.816324378110522</v>
      </c>
      <c r="J25" s="107">
        <f>I25/PROP_InOut!$D$8</f>
        <v>0.27105413735304179</v>
      </c>
      <c r="K25" s="105">
        <f t="shared" si="6"/>
        <v>0.20992434736262849</v>
      </c>
      <c r="L25" s="106">
        <f t="shared" si="7"/>
        <v>12.027779120916867</v>
      </c>
      <c r="M25" s="86">
        <f t="shared" si="15"/>
        <v>6.662266340561411E-2</v>
      </c>
      <c r="N25" s="86">
        <f t="shared" si="16"/>
        <v>3.8171974330623639</v>
      </c>
      <c r="O25" s="105">
        <f t="shared" si="8"/>
        <v>0.31863428956109274</v>
      </c>
      <c r="P25" s="83">
        <v>18.256399999999999</v>
      </c>
      <c r="Q25" s="105">
        <f t="shared" si="29"/>
        <v>4.2087278792850173E-2</v>
      </c>
      <c r="R25" s="107">
        <f t="shared" si="10"/>
        <v>2.4114234460207689</v>
      </c>
      <c r="S25" s="122">
        <f t="shared" si="17"/>
        <v>6.3671723254488333</v>
      </c>
      <c r="T25" s="122">
        <f t="shared" si="18"/>
        <v>95.342494260638091</v>
      </c>
      <c r="U25" s="117">
        <f>U24+(U26-U24)*((C25-C24)/(C26-C24))</f>
        <v>6.3515635053359496</v>
      </c>
      <c r="V25" s="117">
        <f>V24+(V26-V24)*((C25-C24)/(C26-C24))</f>
        <v>3.8171974330623639</v>
      </c>
      <c r="W25" s="118">
        <f t="shared" si="19"/>
        <v>2.4114234460207689</v>
      </c>
      <c r="X25" s="117">
        <f t="shared" si="20"/>
        <v>95.342494260638091</v>
      </c>
      <c r="Y25" s="117">
        <f>Y24+(Y26-Y24)*((C25-C24)/(C26-C24))</f>
        <v>0.99036499999999994</v>
      </c>
      <c r="Z25" s="117">
        <f>Z24+(Z26-Z24)*((C25-C24)/(C26-C24))</f>
        <v>1.1339999999999999E-2</v>
      </c>
      <c r="AA25" s="117">
        <f t="shared" si="21"/>
        <v>-1.0036448147168358</v>
      </c>
      <c r="AB25" s="117">
        <f t="shared" si="22"/>
        <v>64.299851459524746</v>
      </c>
      <c r="AC25" s="117">
        <f t="shared" si="23"/>
        <v>6.3671723254488333</v>
      </c>
      <c r="AD25" s="133">
        <f t="shared" si="24"/>
        <v>1.560882011288367E-2</v>
      </c>
      <c r="AE25" s="117">
        <f t="shared" si="25"/>
        <v>6.668308900610119E-2</v>
      </c>
      <c r="AF25" s="117">
        <f t="shared" si="26"/>
        <v>3.8206595649448176</v>
      </c>
      <c r="AG25" s="139">
        <v>0.20987985179996124</v>
      </c>
      <c r="AH25" s="47"/>
      <c r="AI25" s="47"/>
      <c r="AJ25" s="47"/>
      <c r="AK25" s="47"/>
      <c r="AL25" s="47"/>
      <c r="AM25" s="47"/>
      <c r="AN25" s="126"/>
      <c r="AO25" s="108">
        <f>PROP_InOut!$F$8*'PROP_Table (2)'!I25*'PROP_Table (2)'!E25</f>
        <v>232381.72854598734</v>
      </c>
      <c r="AP25" s="87">
        <f t="shared" si="27"/>
        <v>0.99036499999999994</v>
      </c>
      <c r="AQ25" s="87">
        <f t="shared" si="28"/>
        <v>1.1339999999999999E-2</v>
      </c>
      <c r="AR25" s="5">
        <f>0.5*PROP_InOut!$J$8*I25^2*E25*AP25*(C25-C24)</f>
        <v>1.4029721977006897</v>
      </c>
      <c r="AS25" s="5">
        <f>0.5*PROP_InOut!$J$8*I25^2*E25*AQ25*(C25-C24)</f>
        <v>1.6064486044969097E-2</v>
      </c>
      <c r="AT25" s="105">
        <f t="shared" si="0"/>
        <v>1.3894036526128741</v>
      </c>
      <c r="AU25" s="105">
        <f t="shared" si="1"/>
        <v>6.55704082450006E-2</v>
      </c>
      <c r="AV25" s="91">
        <f t="shared" si="2"/>
        <v>37.765844019819205</v>
      </c>
      <c r="AW25" s="84">
        <f>PROP_InOut!$G$4/2*((PROP_InOut!$E$8-'PROP_Table (2)'!C25)/('PROP_Table (2)'!C25*SIN('PROP_Table (2)'!K25)))</f>
        <v>3.2347698361669428</v>
      </c>
      <c r="AX25" s="84">
        <f t="shared" si="11"/>
        <v>0.97493026836128749</v>
      </c>
      <c r="AY25" s="84">
        <f>PROP_InOut!$G$4/2*((C25-PROP_InOut!$J$12/2)/(C25*SIN('PROP_Table (2)'!K25)))</f>
        <v>4.3206009465262527</v>
      </c>
      <c r="AZ25" s="84">
        <f t="shared" si="12"/>
        <v>0.99153786864746096</v>
      </c>
      <c r="BA25" s="84">
        <f t="shared" si="13"/>
        <v>0.96668028037084819</v>
      </c>
      <c r="BB25" s="22">
        <f>0.5*PROP_InOut!$J$8*T25^2*E25*AP25*(C25-C24)</f>
        <v>1.4489895587121817</v>
      </c>
      <c r="BC25" s="22">
        <f>0.5*PROP_InOut!$J$8*T25^2*E25*AQ25*(C25-C24)</f>
        <v>1.6591399732216041E-2</v>
      </c>
      <c r="BD25" s="103">
        <f t="shared" si="3"/>
        <v>1.3431091124560937</v>
      </c>
      <c r="BE25" s="103">
        <f t="shared" si="4"/>
        <v>6.3385620626308162E-2</v>
      </c>
      <c r="BF25" s="103">
        <f t="shared" si="14"/>
        <v>37.765844019819205</v>
      </c>
    </row>
    <row r="26" spans="1:59" s="92" customFormat="1" x14ac:dyDescent="0.25">
      <c r="A26" s="171"/>
      <c r="B26" s="102">
        <v>23</v>
      </c>
      <c r="C26" s="83">
        <v>0.16638523999999999</v>
      </c>
      <c r="D26" s="103">
        <f>C26/PROP_InOut!$E$8</f>
        <v>0.62386666666666668</v>
      </c>
      <c r="E26" s="84">
        <v>3.6769039999999996E-2</v>
      </c>
      <c r="F26" s="104">
        <f>E26*PROP_InOut!$G$8</f>
        <v>2.3056486144999995E-4</v>
      </c>
      <c r="G26" s="92">
        <f>PROP_InOut!$C$4</f>
        <v>19.55</v>
      </c>
      <c r="H26" s="105">
        <f>PROP_InOut!$C$8*'PROP_Table (2)'!C26</f>
        <v>95.831018735792</v>
      </c>
      <c r="I26" s="106">
        <f t="shared" si="5"/>
        <v>97.80483961409945</v>
      </c>
      <c r="J26" s="107">
        <f>I26/PROP_InOut!$D$8</f>
        <v>0.28257775612383529</v>
      </c>
      <c r="K26" s="105">
        <f t="shared" si="6"/>
        <v>0.20124346879938074</v>
      </c>
      <c r="L26" s="106">
        <f t="shared" si="7"/>
        <v>11.530401416777181</v>
      </c>
      <c r="M26" s="86">
        <f t="shared" si="15"/>
        <v>6.4015375783927492E-2</v>
      </c>
      <c r="N26" s="86">
        <f t="shared" si="16"/>
        <v>3.667810856363019</v>
      </c>
      <c r="O26" s="105">
        <f t="shared" si="8"/>
        <v>0.30593352859433004</v>
      </c>
      <c r="P26" s="83">
        <v>17.528700000000001</v>
      </c>
      <c r="Q26" s="105">
        <f t="shared" si="29"/>
        <v>4.0674684011021811E-2</v>
      </c>
      <c r="R26" s="107">
        <f t="shared" si="10"/>
        <v>2.3304877268598005</v>
      </c>
      <c r="S26" s="122">
        <f t="shared" si="17"/>
        <v>6.3636773091148733</v>
      </c>
      <c r="T26" s="122">
        <f t="shared" si="18"/>
        <v>99.27287053135133</v>
      </c>
      <c r="U26" s="117">
        <v>6.3636773074514474</v>
      </c>
      <c r="V26" s="117">
        <v>3.667810856363019</v>
      </c>
      <c r="W26" s="118">
        <f t="shared" si="19"/>
        <v>2.3304877268598005</v>
      </c>
      <c r="X26" s="117">
        <f t="shared" si="20"/>
        <v>99.27287053135133</v>
      </c>
      <c r="Y26" s="123">
        <v>0.98870000000000002</v>
      </c>
      <c r="Z26" s="122">
        <v>1.111E-2</v>
      </c>
      <c r="AA26" s="117">
        <f t="shared" si="21"/>
        <v>-1.1630675089691067E-7</v>
      </c>
      <c r="AB26" s="117">
        <f t="shared" si="22"/>
        <v>69.920064361584934</v>
      </c>
      <c r="AC26" s="117">
        <f t="shared" si="23"/>
        <v>6.3636773091148724</v>
      </c>
      <c r="AD26" s="133">
        <f t="shared" si="24"/>
        <v>1.6634249533353795E-9</v>
      </c>
      <c r="AE26" s="117">
        <f t="shared" si="25"/>
        <v>6.4015296473779473E-2</v>
      </c>
      <c r="AF26" s="117">
        <f t="shared" si="26"/>
        <v>3.667806312226265</v>
      </c>
      <c r="AG26" s="139">
        <v>0.2186402976193545</v>
      </c>
      <c r="AH26" s="47"/>
      <c r="AN26" s="126">
        <v>3.667810856363019</v>
      </c>
      <c r="AO26" s="108">
        <f>PROP_InOut!$F$8*'PROP_Table (2)'!I26*'PROP_Table (2)'!E26</f>
        <v>232866.76602370798</v>
      </c>
      <c r="AP26" s="87">
        <f t="shared" si="27"/>
        <v>0.98870000000000002</v>
      </c>
      <c r="AQ26" s="87">
        <f t="shared" si="28"/>
        <v>1.111E-2</v>
      </c>
      <c r="AR26" s="5">
        <f>0.5*PROP_InOut!$J$8*I26^2*E26*AP26*(C26-C25)</f>
        <v>1.4632070357180325</v>
      </c>
      <c r="AS26" s="5">
        <f>0.5*PROP_InOut!$J$8*I26^2*E26*AQ26*(C26-C25)</f>
        <v>1.6442025049891111E-2</v>
      </c>
      <c r="AT26" s="105">
        <f t="shared" si="0"/>
        <v>1.4502968194371473</v>
      </c>
      <c r="AU26" s="105">
        <f t="shared" si="1"/>
        <v>6.8474443853224348E-2</v>
      </c>
      <c r="AV26" s="91">
        <f t="shared" si="2"/>
        <v>39.438448457455003</v>
      </c>
      <c r="AW26" s="84">
        <f>PROP_InOut!$G$4/2*((PROP_InOut!$E$8-'PROP_Table (2)'!C26)/('PROP_Table (2)'!C26*SIN('PROP_Table (2)'!K26)))</f>
        <v>3.0162242303875515</v>
      </c>
      <c r="AX26" s="84">
        <f t="shared" si="11"/>
        <v>0.9688021671990481</v>
      </c>
      <c r="AY26" s="84">
        <f>PROP_InOut!$G$4/2*((C26-PROP_InOut!$J$12/2)/(C26*SIN('PROP_Table (2)'!K26)))</f>
        <v>4.5254819211992894</v>
      </c>
      <c r="AZ26" s="84">
        <f t="shared" si="12"/>
        <v>0.99310559509271112</v>
      </c>
      <c r="BA26" s="84">
        <f t="shared" si="13"/>
        <v>0.96212285278331888</v>
      </c>
      <c r="BB26" s="22">
        <f>0.5*PROP_InOut!$J$8*T26^2*E26*AP26*(C26-C25)</f>
        <v>1.5074615725614362</v>
      </c>
      <c r="BC26" s="22">
        <f>0.5*PROP_InOut!$J$8*T26^2*E26*AQ26*(C26-C25)</f>
        <v>1.6939312300149244E-2</v>
      </c>
      <c r="BD26" s="103">
        <f t="shared" si="3"/>
        <v>1.3953637132994421</v>
      </c>
      <c r="BE26" s="103">
        <f t="shared" si="4"/>
        <v>6.5880827262815397E-2</v>
      </c>
      <c r="BF26" s="103">
        <f t="shared" si="14"/>
        <v>39.438448457455003</v>
      </c>
    </row>
    <row r="27" spans="1:59" s="92" customFormat="1" x14ac:dyDescent="0.25">
      <c r="A27" s="171"/>
      <c r="B27" s="102">
        <v>24</v>
      </c>
      <c r="C27" s="83">
        <v>0.17345914000000001</v>
      </c>
      <c r="D27" s="103">
        <f>C27/PROP_InOut!$E$8</f>
        <v>0.6503904761904763</v>
      </c>
      <c r="E27" s="84">
        <v>3.5186619999999995E-2</v>
      </c>
      <c r="F27" s="104">
        <f>E27*PROP_InOut!$G$8</f>
        <v>2.2064209903749994E-4</v>
      </c>
      <c r="G27" s="92">
        <f>PROP_InOut!$C$4</f>
        <v>19.55</v>
      </c>
      <c r="H27" s="105">
        <f>PROP_InOut!$C$8*'PROP_Table (2)'!C27</f>
        <v>99.905292652367308</v>
      </c>
      <c r="I27" s="106">
        <f t="shared" si="5"/>
        <v>101.80014734741378</v>
      </c>
      <c r="J27" s="107">
        <f>I27/PROP_InOut!$D$8</f>
        <v>0.2941209997788396</v>
      </c>
      <c r="K27" s="105">
        <f t="shared" si="6"/>
        <v>0.19324341576527881</v>
      </c>
      <c r="L27" s="106">
        <f t="shared" si="7"/>
        <v>11.072032142042312</v>
      </c>
      <c r="M27" s="86">
        <f t="shared" si="15"/>
        <v>6.1313866407664001E-2</v>
      </c>
      <c r="N27" s="86">
        <f t="shared" si="16"/>
        <v>3.5130257707881016</v>
      </c>
      <c r="O27" s="105">
        <f t="shared" si="8"/>
        <v>0.29417873608214823</v>
      </c>
      <c r="P27" s="83">
        <v>16.8552</v>
      </c>
      <c r="Q27" s="105">
        <f t="shared" si="29"/>
        <v>3.9621453909205399E-2</v>
      </c>
      <c r="R27" s="107">
        <f t="shared" si="10"/>
        <v>2.2701420871695861</v>
      </c>
      <c r="S27" s="122">
        <f t="shared" si="17"/>
        <v>6.340201209473725</v>
      </c>
      <c r="T27" s="122">
        <f t="shared" si="18"/>
        <v>103.20175050178871</v>
      </c>
      <c r="U27" s="117">
        <f>U26+(U28-U26)*((C27-C26)/(C28-C26))</f>
        <v>6.325351334393285</v>
      </c>
      <c r="V27" s="117">
        <f>V26+(V28-V26)*((C27-C26)/(C28-C26))</f>
        <v>3.5130257707881016</v>
      </c>
      <c r="W27" s="118">
        <f t="shared" si="19"/>
        <v>2.2701420871695861</v>
      </c>
      <c r="X27" s="117">
        <f t="shared" si="20"/>
        <v>103.20175050178871</v>
      </c>
      <c r="Y27" s="117">
        <f>Y26+(Y28-Y26)*((C27-C26)/(C28-C26))</f>
        <v>0.98907500000000004</v>
      </c>
      <c r="Z27" s="117">
        <f>Z26+(Z28-Z26)*((C27-C26)/(C28-C26))</f>
        <v>1.099E-2</v>
      </c>
      <c r="AA27" s="117">
        <f t="shared" si="21"/>
        <v>-1.1319276324069278</v>
      </c>
      <c r="AB27" s="117">
        <f t="shared" si="22"/>
        <v>76.224724199727234</v>
      </c>
      <c r="AC27" s="117">
        <f t="shared" si="23"/>
        <v>6.340201209473725</v>
      </c>
      <c r="AD27" s="133">
        <f t="shared" si="24"/>
        <v>1.484987508044E-2</v>
      </c>
      <c r="AE27" s="117">
        <f t="shared" si="25"/>
        <v>6.1357900115658871E-2</v>
      </c>
      <c r="AF27" s="117">
        <f t="shared" si="26"/>
        <v>3.515548716412519</v>
      </c>
      <c r="AG27" s="140">
        <v>0.22742327997316811</v>
      </c>
      <c r="AM27" s="47"/>
      <c r="AN27" s="126"/>
      <c r="AO27" s="108">
        <f>PROP_InOut!$F$8*'PROP_Table (2)'!I27*'PROP_Table (2)'!E27</f>
        <v>231948.10731033838</v>
      </c>
      <c r="AP27" s="87">
        <f t="shared" si="27"/>
        <v>0.98907500000000004</v>
      </c>
      <c r="AQ27" s="87">
        <f t="shared" si="28"/>
        <v>1.099E-2</v>
      </c>
      <c r="AR27" s="5">
        <f>0.5*PROP_InOut!$J$8*I27^2*E27*AP27*(C27-C26)</f>
        <v>1.5175459633391317</v>
      </c>
      <c r="AS27" s="5">
        <f>0.5*PROP_InOut!$J$8*I27^2*E27*AQ27*(C27-C26)</f>
        <v>1.6862048011624046E-2</v>
      </c>
      <c r="AT27" s="105">
        <f t="shared" si="0"/>
        <v>1.5049984656647351</v>
      </c>
      <c r="AU27" s="105">
        <f t="shared" si="1"/>
        <v>7.10332966779266E-2</v>
      </c>
      <c r="AV27" s="91">
        <f t="shared" si="2"/>
        <v>40.912241884000387</v>
      </c>
      <c r="AW27" s="84">
        <f>PROP_InOut!$G$4/2*((PROP_InOut!$E$8-'PROP_Table (2)'!C27)/('PROP_Table (2)'!C27*SIN('PROP_Table (2)'!K27)))</f>
        <v>2.7990504520849835</v>
      </c>
      <c r="AX27" s="84">
        <f t="shared" si="11"/>
        <v>0.96122636736649159</v>
      </c>
      <c r="AY27" s="84">
        <f>PROP_InOut!$G$4/2*((C27-PROP_InOut!$J$12/2)/(C27*SIN('PROP_Table (2)'!K27)))</f>
        <v>4.7306080007029472</v>
      </c>
      <c r="AZ27" s="84">
        <f t="shared" si="12"/>
        <v>0.99438423656739661</v>
      </c>
      <c r="BA27" s="84">
        <f t="shared" si="13"/>
        <v>0.9558283474821806</v>
      </c>
      <c r="BB27" s="22">
        <f>0.5*PROP_InOut!$J$8*T27^2*E27*AP27*(C27-C26)</f>
        <v>1.5596213376748849</v>
      </c>
      <c r="BC27" s="22">
        <f>0.5*PROP_InOut!$J$8*T27^2*E27*AQ27*(C27-C26)</f>
        <v>1.7329563987611641E-2</v>
      </c>
      <c r="BD27" s="103">
        <f t="shared" si="3"/>
        <v>1.4385201963995411</v>
      </c>
      <c r="BE27" s="103">
        <f t="shared" si="4"/>
        <v>6.7895638579874046E-2</v>
      </c>
      <c r="BF27" s="103">
        <f t="shared" si="14"/>
        <v>40.912241884000387</v>
      </c>
    </row>
    <row r="28" spans="1:59" s="92" customFormat="1" x14ac:dyDescent="0.25">
      <c r="A28" s="171"/>
      <c r="B28" s="102">
        <v>25</v>
      </c>
      <c r="C28" s="83">
        <v>0.18053303999999998</v>
      </c>
      <c r="D28" s="103">
        <f>C28/PROP_InOut!$E$8</f>
        <v>0.67691428571428569</v>
      </c>
      <c r="E28" s="84">
        <v>3.3522919999999998E-2</v>
      </c>
      <c r="F28" s="104">
        <f>E28*PROP_InOut!$G$8</f>
        <v>2.1020966022499996E-4</v>
      </c>
      <c r="G28" s="92">
        <f>PROP_InOut!$C$4</f>
        <v>19.55</v>
      </c>
      <c r="H28" s="105">
        <f>PROP_InOut!$C$8*'PROP_Table (2)'!C28</f>
        <v>103.97956656894257</v>
      </c>
      <c r="I28" s="106">
        <f t="shared" si="5"/>
        <v>105.80147807977524</v>
      </c>
      <c r="J28" s="107">
        <f>I28/PROP_InOut!$D$8</f>
        <v>0.30568164508352291</v>
      </c>
      <c r="K28" s="105">
        <f t="shared" si="6"/>
        <v>0.18584803051997353</v>
      </c>
      <c r="L28" s="106">
        <f t="shared" si="7"/>
        <v>10.648307779612997</v>
      </c>
      <c r="M28" s="86">
        <f t="shared" si="15"/>
        <v>5.8612357031400539E-2</v>
      </c>
      <c r="N28" s="86">
        <f t="shared" si="16"/>
        <v>3.3582406852131856</v>
      </c>
      <c r="O28" s="105">
        <f t="shared" si="8"/>
        <v>0.28326868292793167</v>
      </c>
      <c r="P28" s="83">
        <v>16.2301</v>
      </c>
      <c r="Q28" s="105">
        <f t="shared" si="29"/>
        <v>3.8808295376557618E-2</v>
      </c>
      <c r="R28" s="107">
        <f t="shared" si="10"/>
        <v>2.2235515351738173</v>
      </c>
      <c r="S28" s="122">
        <f t="shared" si="17"/>
        <v>6.287025363751626</v>
      </c>
      <c r="T28" s="122">
        <f t="shared" si="18"/>
        <v>107.14150523204084</v>
      </c>
      <c r="U28" s="117">
        <v>6.2870253613351226</v>
      </c>
      <c r="V28" s="117">
        <v>3.3582406852131856</v>
      </c>
      <c r="W28" s="118">
        <f t="shared" si="19"/>
        <v>2.2235515351738173</v>
      </c>
      <c r="X28" s="117">
        <f t="shared" si="20"/>
        <v>107.14150523204084</v>
      </c>
      <c r="Y28" s="123">
        <v>0.98945000000000005</v>
      </c>
      <c r="Z28" s="122">
        <v>1.0869999999999999E-2</v>
      </c>
      <c r="AA28" s="117">
        <f t="shared" si="21"/>
        <v>-2.0112412357775611E-7</v>
      </c>
      <c r="AB28" s="117">
        <f t="shared" si="22"/>
        <v>83.229385576857183</v>
      </c>
      <c r="AC28" s="117">
        <f t="shared" si="23"/>
        <v>6.287025363751626</v>
      </c>
      <c r="AD28" s="133">
        <f t="shared" si="24"/>
        <v>2.4165034417933384E-9</v>
      </c>
      <c r="AE28" s="117">
        <f t="shared" si="25"/>
        <v>5.8612432057788558E-2</v>
      </c>
      <c r="AF28" s="117">
        <f t="shared" si="26"/>
        <v>3.3582449839085711</v>
      </c>
      <c r="AG28" s="139">
        <v>0.23623269586523635</v>
      </c>
      <c r="AH28" s="47"/>
      <c r="AI28" s="47"/>
      <c r="AJ28" s="47"/>
      <c r="AK28" s="47"/>
      <c r="AL28" s="47"/>
      <c r="AM28" s="47"/>
      <c r="AN28" s="126">
        <v>3.3582406852131856</v>
      </c>
      <c r="AO28" s="108">
        <f>PROP_InOut!$F$8*'PROP_Table (2)'!I28*'PROP_Table (2)'!E28</f>
        <v>229666.92263022868</v>
      </c>
      <c r="AP28" s="87">
        <f t="shared" si="27"/>
        <v>0.98945000000000005</v>
      </c>
      <c r="AQ28" s="87">
        <f t="shared" si="28"/>
        <v>1.0869999999999999E-2</v>
      </c>
      <c r="AR28" s="5">
        <f>0.5*PROP_InOut!$J$8*I28^2*E28*AP28*(C28-C27)</f>
        <v>1.5622748035351668</v>
      </c>
      <c r="AS28" s="5">
        <f>0.5*PROP_InOut!$J$8*I28^2*E28*AQ28*(C28-C27)</f>
        <v>1.7162996729928E-2</v>
      </c>
      <c r="AT28" s="105">
        <f t="shared" si="0"/>
        <v>1.5502059497278426</v>
      </c>
      <c r="AU28" s="105">
        <f t="shared" si="1"/>
        <v>7.3086596420954525E-2</v>
      </c>
      <c r="AV28" s="91">
        <f t="shared" si="2"/>
        <v>42.094857638524687</v>
      </c>
      <c r="AW28" s="84">
        <f>PROP_InOut!$G$4/2*((PROP_InOut!$E$8-'PROP_Table (2)'!C28)/('PROP_Table (2)'!C28*SIN('PROP_Table (2)'!K28)))</f>
        <v>2.5830276142423219</v>
      </c>
      <c r="AX28" s="84">
        <f t="shared" si="11"/>
        <v>0.95186073669563165</v>
      </c>
      <c r="AY28" s="84">
        <f>PROP_InOut!$G$4/2*((C28-PROP_InOut!$J$12/2)/(C28*SIN('PROP_Table (2)'!K28)))</f>
        <v>4.9359553154366438</v>
      </c>
      <c r="AZ28" s="84">
        <f t="shared" si="12"/>
        <v>0.99542674200959913</v>
      </c>
      <c r="BA28" s="84">
        <f t="shared" si="13"/>
        <v>0.94750763197578947</v>
      </c>
      <c r="BB28" s="22">
        <f>0.5*PROP_InOut!$J$8*T28^2*E28*AP28*(C28-C27)</f>
        <v>1.6020993548117362</v>
      </c>
      <c r="BC28" s="22">
        <f>0.5*PROP_InOut!$J$8*T28^2*E28*AQ28*(C28-C27)</f>
        <v>1.7600505317907494E-2</v>
      </c>
      <c r="BD28" s="103">
        <f t="shared" si="3"/>
        <v>1.468831968501408</v>
      </c>
      <c r="BE28" s="103">
        <f t="shared" si="4"/>
        <v>6.9250107903988833E-2</v>
      </c>
      <c r="BF28" s="103">
        <f t="shared" si="14"/>
        <v>42.094857638524687</v>
      </c>
    </row>
    <row r="29" spans="1:59" s="92" customFormat="1" x14ac:dyDescent="0.25">
      <c r="A29" s="171"/>
      <c r="B29" s="102">
        <v>26</v>
      </c>
      <c r="C29" s="83">
        <v>0.18760694</v>
      </c>
      <c r="D29" s="103">
        <f>C29/PROP_InOut!$E$8</f>
        <v>0.70343809523809531</v>
      </c>
      <c r="E29" s="84">
        <v>3.179572E-2</v>
      </c>
      <c r="F29" s="104">
        <f>E29*PROP_InOut!$G$8</f>
        <v>1.9937903672499998E-4</v>
      </c>
      <c r="G29" s="92">
        <f>PROP_InOut!$C$4</f>
        <v>19.55</v>
      </c>
      <c r="H29" s="105">
        <f>PROP_InOut!$C$8*'PROP_Table (2)'!C29</f>
        <v>108.05384048551787</v>
      </c>
      <c r="I29" s="106">
        <f t="shared" si="5"/>
        <v>109.80817339191896</v>
      </c>
      <c r="J29" s="107">
        <f>I29/PROP_InOut!$D$8</f>
        <v>0.31725778973285418</v>
      </c>
      <c r="K29" s="105">
        <f t="shared" si="6"/>
        <v>0.17899198037393182</v>
      </c>
      <c r="L29" s="106">
        <f t="shared" si="7"/>
        <v>10.255485042114756</v>
      </c>
      <c r="M29" s="86">
        <f t="shared" si="15"/>
        <v>5.5866145884382414E-2</v>
      </c>
      <c r="N29" s="86">
        <f t="shared" si="16"/>
        <v>3.2008943768372662</v>
      </c>
      <c r="O29" s="105">
        <f t="shared" si="8"/>
        <v>0.27312133865683663</v>
      </c>
      <c r="P29" s="83">
        <v>15.6487</v>
      </c>
      <c r="Q29" s="105">
        <f t="shared" si="29"/>
        <v>3.82632123985224E-2</v>
      </c>
      <c r="R29" s="107">
        <f t="shared" si="10"/>
        <v>2.1923205810479773</v>
      </c>
      <c r="S29" s="122">
        <f t="shared" si="17"/>
        <v>6.2148537244973019</v>
      </c>
      <c r="T29" s="122">
        <f t="shared" si="18"/>
        <v>111.08003175777677</v>
      </c>
      <c r="U29" s="117">
        <f>U28+(U30-U28)*((C29-C28)/(C30-C28))</f>
        <v>6.2015244527184095</v>
      </c>
      <c r="V29" s="117">
        <f>V28+(V30-V28)*((C29-C28)/(C30-C28))</f>
        <v>3.2008943768372662</v>
      </c>
      <c r="W29" s="118">
        <f t="shared" si="19"/>
        <v>2.1923205810479773</v>
      </c>
      <c r="X29" s="117">
        <f t="shared" si="20"/>
        <v>111.08003175777677</v>
      </c>
      <c r="Y29" s="117">
        <f>Y28+(Y30-Y28)*((C29-C28)/(C30-C28))</f>
        <v>0.99173458984024421</v>
      </c>
      <c r="Z29" s="117">
        <f>Z28+(Z30-Z28)*((C29-C28)/(C30-C28))</f>
        <v>1.0855002692514808E-2</v>
      </c>
      <c r="AA29" s="117">
        <f t="shared" si="21"/>
        <v>-1.2147533189818773</v>
      </c>
      <c r="AB29" s="117">
        <f t="shared" si="22"/>
        <v>91.134259930500022</v>
      </c>
      <c r="AC29" s="117">
        <f t="shared" si="23"/>
        <v>6.2148537244973019</v>
      </c>
      <c r="AD29" s="133">
        <f t="shared" si="24"/>
        <v>1.3329271778892426E-2</v>
      </c>
      <c r="AE29" s="117">
        <f t="shared" si="25"/>
        <v>5.5891062827031393E-2</v>
      </c>
      <c r="AF29" s="117">
        <f t="shared" si="26"/>
        <v>3.2023220124894221</v>
      </c>
      <c r="AG29" s="139">
        <v>0.24506267001813392</v>
      </c>
      <c r="AH29" s="47"/>
      <c r="AI29" s="47"/>
      <c r="AJ29" s="47"/>
      <c r="AK29" s="47"/>
      <c r="AL29" s="47"/>
      <c r="AM29" s="47"/>
      <c r="AN29" s="126"/>
      <c r="AO29" s="108">
        <f>PROP_InOut!$F$8*'PROP_Table (2)'!I29*'PROP_Table (2)'!E29</f>
        <v>226083.15583357372</v>
      </c>
      <c r="AP29" s="87">
        <f t="shared" si="27"/>
        <v>0.99173458984024421</v>
      </c>
      <c r="AQ29" s="87">
        <f t="shared" si="28"/>
        <v>1.0855002692514808E-2</v>
      </c>
      <c r="AR29" s="5">
        <f>0.5*PROP_InOut!$J$8*I29^2*E29*AP29*(C29-C28)</f>
        <v>1.5998222199254746</v>
      </c>
      <c r="AS29" s="5">
        <f>0.5*PROP_InOut!$J$8*I29^2*E29*AQ29*(C29-C28)</f>
        <v>1.7510808519478477E-2</v>
      </c>
      <c r="AT29" s="105">
        <f t="shared" si="0"/>
        <v>1.5879844623687014</v>
      </c>
      <c r="AU29" s="105">
        <f t="shared" si="1"/>
        <v>7.4740264052200953E-2</v>
      </c>
      <c r="AV29" s="91">
        <f t="shared" si="2"/>
        <v>43.047301820188565</v>
      </c>
      <c r="AW29" s="84">
        <f>PROP_InOut!$G$4/2*((PROP_InOut!$E$8-'PROP_Table (2)'!C29)/('PROP_Table (2)'!C29*SIN('PROP_Table (2)'!K29)))</f>
        <v>2.3679764767593379</v>
      </c>
      <c r="AX29" s="84">
        <f t="shared" si="11"/>
        <v>0.94028022699425717</v>
      </c>
      <c r="AY29" s="84">
        <f>PROP_InOut!$G$4/2*((C29-PROP_InOut!$J$12/2)/(C29*SIN('PROP_Table (2)'!K29)))</f>
        <v>5.1415028604057804</v>
      </c>
      <c r="AZ29" s="84">
        <f t="shared" si="12"/>
        <v>0.99627645781704333</v>
      </c>
      <c r="BA29" s="84">
        <f t="shared" si="13"/>
        <v>0.93677905390524396</v>
      </c>
      <c r="BB29" s="22">
        <f>0.5*PROP_InOut!$J$8*T29^2*E29*AP29*(C29-C28)</f>
        <v>1.6370968778928863</v>
      </c>
      <c r="BC29" s="22">
        <f>0.5*PROP_InOut!$J$8*T29^2*E29*AQ29*(C29-C28)</f>
        <v>1.7918797226077896E-2</v>
      </c>
      <c r="BD29" s="103">
        <f t="shared" si="3"/>
        <v>1.4875905822739797</v>
      </c>
      <c r="BE29" s="103">
        <f t="shared" si="4"/>
        <v>7.001511384744892E-2</v>
      </c>
      <c r="BF29" s="103">
        <f t="shared" si="14"/>
        <v>43.047301820188565</v>
      </c>
    </row>
    <row r="30" spans="1:59" s="92" customFormat="1" x14ac:dyDescent="0.25">
      <c r="A30" s="171"/>
      <c r="B30" s="102">
        <v>27</v>
      </c>
      <c r="C30" s="83">
        <v>0.19468337999999999</v>
      </c>
      <c r="D30" s="103">
        <f>C30/PROP_InOut!$E$8</f>
        <v>0.7299714285714286</v>
      </c>
      <c r="E30" s="84">
        <v>3.0027879999999996E-2</v>
      </c>
      <c r="F30" s="104">
        <f>E30*PROP_InOut!$G$8</f>
        <v>1.8829357502499997E-4</v>
      </c>
      <c r="G30" s="92">
        <f>PROP_InOut!$C$4</f>
        <v>19.55</v>
      </c>
      <c r="H30" s="105">
        <f>PROP_InOut!$C$8*'PROP_Table (2)'!C30</f>
        <v>112.12957733707218</v>
      </c>
      <c r="I30" s="106">
        <f t="shared" si="5"/>
        <v>113.82110794483793</v>
      </c>
      <c r="J30" s="107">
        <f>I30/PROP_InOut!$D$8</f>
        <v>0.32885196079749524</v>
      </c>
      <c r="K30" s="105">
        <f t="shared" si="6"/>
        <v>0.17261671358305727</v>
      </c>
      <c r="L30" s="106">
        <f t="shared" si="7"/>
        <v>9.8902091617277321</v>
      </c>
      <c r="M30" s="86">
        <f t="shared" si="15"/>
        <v>5.3118948665139158E-2</v>
      </c>
      <c r="N30" s="86">
        <f t="shared" si="16"/>
        <v>3.0434915706845516</v>
      </c>
      <c r="O30" s="105">
        <f t="shared" si="8"/>
        <v>0.26365816345252341</v>
      </c>
      <c r="P30" s="83">
        <v>15.1065</v>
      </c>
      <c r="Q30" s="105">
        <f t="shared" si="29"/>
        <v>3.7922501204326969E-2</v>
      </c>
      <c r="R30" s="107">
        <f t="shared" si="10"/>
        <v>2.1727992675877168</v>
      </c>
      <c r="S30" s="122">
        <f t="shared" si="17"/>
        <v>6.1159928458552155</v>
      </c>
      <c r="T30" s="122">
        <f t="shared" si="18"/>
        <v>115.02949753188513</v>
      </c>
      <c r="U30" s="117">
        <v>6.1159928435959099</v>
      </c>
      <c r="V30" s="117">
        <v>3.0434915706845516</v>
      </c>
      <c r="W30" s="118">
        <f t="shared" si="19"/>
        <v>2.1727992675877168</v>
      </c>
      <c r="X30" s="117">
        <f t="shared" si="20"/>
        <v>115.02949753188513</v>
      </c>
      <c r="Y30" s="123">
        <v>0.99402000000000001</v>
      </c>
      <c r="Z30" s="122">
        <v>1.0840000000000001E-2</v>
      </c>
      <c r="AA30" s="117">
        <f t="shared" si="21"/>
        <v>-2.2586158365811571E-7</v>
      </c>
      <c r="AB30" s="117">
        <f t="shared" si="22"/>
        <v>99.969463746144243</v>
      </c>
      <c r="AC30" s="117">
        <f t="shared" si="23"/>
        <v>6.1159928458552155</v>
      </c>
      <c r="AD30" s="133">
        <f t="shared" si="24"/>
        <v>2.259305631469033E-9</v>
      </c>
      <c r="AE30" s="117">
        <f t="shared" si="25"/>
        <v>5.3118891810303867E-2</v>
      </c>
      <c r="AF30" s="117">
        <f t="shared" si="26"/>
        <v>3.0434883131424448</v>
      </c>
      <c r="AG30" s="139">
        <v>0.2539076353331573</v>
      </c>
      <c r="AH30" s="47"/>
      <c r="AI30" s="47"/>
      <c r="AJ30" s="47"/>
      <c r="AK30" s="47"/>
      <c r="AL30" s="47"/>
      <c r="AM30" s="47"/>
      <c r="AN30" s="126">
        <v>3.0434915706845516</v>
      </c>
      <c r="AO30" s="108">
        <f>PROP_InOut!$F$8*'PROP_Table (2)'!I30*'PROP_Table (2)'!E30</f>
        <v>221315.76745771861</v>
      </c>
      <c r="AP30" s="87">
        <f t="shared" si="27"/>
        <v>0.99402000000000001</v>
      </c>
      <c r="AQ30" s="87">
        <f t="shared" si="28"/>
        <v>1.0840000000000001E-2</v>
      </c>
      <c r="AR30" s="5">
        <f>0.5*PROP_InOut!$J$8*I30^2*E30*AP30*(C30-C29)</f>
        <v>1.6276446289400186</v>
      </c>
      <c r="AS30" s="5">
        <f>0.5*PROP_InOut!$J$8*I30^2*E30*AQ30*(C30-C29)</f>
        <v>1.7749811651385086E-2</v>
      </c>
      <c r="AT30" s="105">
        <f t="shared" si="0"/>
        <v>1.6161551938800787</v>
      </c>
      <c r="AU30" s="105">
        <f t="shared" si="1"/>
        <v>7.5877877372155803E-2</v>
      </c>
      <c r="AV30" s="91">
        <f t="shared" si="2"/>
        <v>43.702520055764509</v>
      </c>
      <c r="AW30" s="84">
        <f>PROP_InOut!$G$4/2*((PROP_InOut!$E$8-'PROP_Table (2)'!C30)/('PROP_Table (2)'!C30*SIN('PROP_Table (2)'!K30)))</f>
        <v>2.153673696342715</v>
      </c>
      <c r="AX30" s="84">
        <f t="shared" si="11"/>
        <v>0.92594893528096756</v>
      </c>
      <c r="AY30" s="84">
        <f>PROP_InOut!$G$4/2*((C30-PROP_InOut!$J$12/2)/(C30*SIN('PROP_Table (2)'!K30)))</f>
        <v>5.347306006469795</v>
      </c>
      <c r="AZ30" s="84">
        <f t="shared" si="12"/>
        <v>0.99696906744818892</v>
      </c>
      <c r="BA30" s="84">
        <f t="shared" si="13"/>
        <v>0.92314244651170962</v>
      </c>
      <c r="BB30" s="22">
        <f>0.5*PROP_InOut!$J$8*T30^2*E30*AP30*(C30-C29)</f>
        <v>1.662388084581248</v>
      </c>
      <c r="BC30" s="22">
        <f>0.5*PROP_InOut!$J$8*T30^2*E30*AQ30*(C30-C29)</f>
        <v>1.8128696441581386E-2</v>
      </c>
      <c r="BD30" s="103">
        <f t="shared" si="3"/>
        <v>1.4919414596210623</v>
      </c>
      <c r="BE30" s="103">
        <f t="shared" si="4"/>
        <v>7.0046089353447402E-2</v>
      </c>
      <c r="BF30" s="103">
        <f t="shared" si="14"/>
        <v>43.702520055764509</v>
      </c>
    </row>
    <row r="31" spans="1:59" s="92" customFormat="1" x14ac:dyDescent="0.25">
      <c r="A31" s="171"/>
      <c r="B31" s="102">
        <v>28</v>
      </c>
      <c r="C31" s="83">
        <v>0.20175727999999998</v>
      </c>
      <c r="D31" s="103">
        <f>C31/PROP_InOut!$E$8</f>
        <v>0.756495238095238</v>
      </c>
      <c r="E31" s="84">
        <v>2.8232099999999996E-2</v>
      </c>
      <c r="F31" s="104">
        <f>E31*PROP_InOut!$G$8</f>
        <v>1.7703291206249994E-4</v>
      </c>
      <c r="G31" s="92">
        <f>PROP_InOut!$C$4</f>
        <v>19.55</v>
      </c>
      <c r="H31" s="105">
        <f>PROP_InOut!$C$8*'PROP_Table (2)'!C31</f>
        <v>116.20385125364746</v>
      </c>
      <c r="I31" s="106">
        <f t="shared" si="5"/>
        <v>117.83691079699868</v>
      </c>
      <c r="J31" s="107">
        <f>I31/PROP_InOut!$D$8</f>
        <v>0.34045441895270184</v>
      </c>
      <c r="K31" s="105">
        <f t="shared" si="6"/>
        <v>0.1666779589687582</v>
      </c>
      <c r="L31" s="106">
        <f t="shared" si="7"/>
        <v>9.5499435867645524</v>
      </c>
      <c r="M31" s="86">
        <f t="shared" si="15"/>
        <v>5.0342261363799448E-2</v>
      </c>
      <c r="N31" s="86">
        <f t="shared" si="16"/>
        <v>2.884399107290216</v>
      </c>
      <c r="O31" s="105">
        <f t="shared" si="8"/>
        <v>0.25481458013266811</v>
      </c>
      <c r="P31" s="83">
        <v>14.5998</v>
      </c>
      <c r="Q31" s="105">
        <f t="shared" si="29"/>
        <v>3.7794359800110477E-2</v>
      </c>
      <c r="R31" s="107">
        <f t="shared" si="10"/>
        <v>2.1654573059452318</v>
      </c>
      <c r="S31" s="122">
        <f t="shared" si="17"/>
        <v>5.995538620628146</v>
      </c>
      <c r="T31" s="122">
        <f t="shared" si="18"/>
        <v>118.9761000663686</v>
      </c>
      <c r="U31" s="117">
        <f>U30+(U32-U30)*((C31-C30)/(C32-C30))</f>
        <v>5.9838469648177304</v>
      </c>
      <c r="V31" s="117">
        <f>V30+(V32-V30)*((C31-C30)/(C32-C30))</f>
        <v>2.884399107290216</v>
      </c>
      <c r="W31" s="118">
        <f t="shared" si="19"/>
        <v>2.1654573059452318</v>
      </c>
      <c r="X31" s="117">
        <f t="shared" si="20"/>
        <v>118.9761000663686</v>
      </c>
      <c r="Y31" s="117">
        <f>Y30+(Y32-Y30)*((C31-C30)/(C32-C30))</f>
        <v>0.99723499999999998</v>
      </c>
      <c r="Z31" s="117">
        <f>Z30+(Z32-Z30)*((C31-C30)/(C32-C30))</f>
        <v>1.093E-2</v>
      </c>
      <c r="AA31" s="117">
        <f t="shared" si="21"/>
        <v>-1.2858391946832626</v>
      </c>
      <c r="AB31" s="117">
        <f t="shared" si="22"/>
        <v>109.97922069667075</v>
      </c>
      <c r="AC31" s="117">
        <f t="shared" si="23"/>
        <v>5.995538620628146</v>
      </c>
      <c r="AD31" s="133">
        <f t="shared" si="24"/>
        <v>1.1691655810415646E-2</v>
      </c>
      <c r="AE31" s="117">
        <f t="shared" si="25"/>
        <v>5.0350206841631974E-2</v>
      </c>
      <c r="AF31" s="117">
        <f t="shared" si="26"/>
        <v>2.8848543496362349</v>
      </c>
      <c r="AG31" s="139">
        <v>0.26277257028014195</v>
      </c>
      <c r="AH31" s="47"/>
      <c r="AI31" s="47"/>
      <c r="AJ31" s="47"/>
      <c r="AK31" s="47"/>
      <c r="AL31" s="47"/>
      <c r="AM31" s="47"/>
      <c r="AN31" s="126"/>
      <c r="AO31" s="108">
        <f>PROP_InOut!$F$8*'PROP_Table (2)'!I31*'PROP_Table (2)'!E31</f>
        <v>215421.67966231925</v>
      </c>
      <c r="AP31" s="87">
        <f t="shared" si="27"/>
        <v>0.99723499999999998</v>
      </c>
      <c r="AQ31" s="87">
        <f t="shared" si="28"/>
        <v>1.093E-2</v>
      </c>
      <c r="AR31" s="5">
        <f>0.5*PROP_InOut!$J$8*I31^2*E31*AP31*(C31-C30)</f>
        <v>1.6449081726453756</v>
      </c>
      <c r="AS31" s="5">
        <f>0.5*PROP_InOut!$J$8*I31^2*E31*AQ31*(C31-C30)</f>
        <v>1.8028695670543007E-2</v>
      </c>
      <c r="AT31" s="105">
        <f t="shared" si="0"/>
        <v>1.6335752669318739</v>
      </c>
      <c r="AU31" s="105">
        <f t="shared" si="1"/>
        <v>7.6468403407300031E-2</v>
      </c>
      <c r="AV31" s="91">
        <f t="shared" si="2"/>
        <v>44.042638635620989</v>
      </c>
      <c r="AW31" s="84">
        <f>PROP_InOut!$G$4/2*((PROP_InOut!$E$8-'PROP_Table (2)'!C31)/('PROP_Table (2)'!C31*SIN('PROP_Table (2)'!K31)))</f>
        <v>1.9401524064191198</v>
      </c>
      <c r="AX31" s="84">
        <f t="shared" si="11"/>
        <v>0.90821147697208293</v>
      </c>
      <c r="AY31" s="84">
        <f>PROP_InOut!$G$4/2*((C31-PROP_InOut!$J$12/2)/(C31*SIN('PROP_Table (2)'!K31)))</f>
        <v>5.5532006182166764</v>
      </c>
      <c r="AZ31" s="84">
        <f t="shared" si="12"/>
        <v>0.99753307001100666</v>
      </c>
      <c r="BA31" s="84">
        <f t="shared" si="13"/>
        <v>0.90597098284319255</v>
      </c>
      <c r="BB31" s="22">
        <f>0.5*PROP_InOut!$J$8*T31^2*E31*AP31*(C31-C30)</f>
        <v>1.676866232530893</v>
      </c>
      <c r="BC31" s="22">
        <f>0.5*PROP_InOut!$J$8*T31^2*E31*AQ31*(C31-C30)</f>
        <v>1.8378965761894302E-2</v>
      </c>
      <c r="BD31" s="103">
        <f t="shared" si="3"/>
        <v>1.4799717901306004</v>
      </c>
      <c r="BE31" s="103">
        <f t="shared" si="4"/>
        <v>6.9278154591361343E-2</v>
      </c>
      <c r="BF31" s="103">
        <f t="shared" si="14"/>
        <v>44.042638635620989</v>
      </c>
    </row>
    <row r="32" spans="1:59" s="92" customFormat="1" x14ac:dyDescent="0.25">
      <c r="A32" s="171"/>
      <c r="B32" s="102">
        <v>29</v>
      </c>
      <c r="C32" s="83">
        <v>0.20883118000000001</v>
      </c>
      <c r="D32" s="103">
        <f>C32/PROP_InOut!$E$8</f>
        <v>0.78301904761904761</v>
      </c>
      <c r="E32" s="84">
        <v>2.6431239999999998E-2</v>
      </c>
      <c r="F32" s="104">
        <f>E32*PROP_InOut!$G$8</f>
        <v>1.6574039432499998E-4</v>
      </c>
      <c r="G32" s="92">
        <f>PROP_InOut!$C$4</f>
        <v>19.55</v>
      </c>
      <c r="H32" s="105">
        <f>PROP_InOut!$C$8*'PROP_Table (2)'!C32</f>
        <v>120.27812517022275</v>
      </c>
      <c r="I32" s="106">
        <f t="shared" si="5"/>
        <v>121.85659561330183</v>
      </c>
      <c r="J32" s="107">
        <f>I32/PROP_InOut!$D$8</f>
        <v>0.35206809287924495</v>
      </c>
      <c r="K32" s="105">
        <f t="shared" si="6"/>
        <v>0.16113082284651697</v>
      </c>
      <c r="L32" s="106">
        <f t="shared" si="7"/>
        <v>9.232116098575565</v>
      </c>
      <c r="M32" s="86">
        <f t="shared" si="15"/>
        <v>4.7565574062459731E-2</v>
      </c>
      <c r="N32" s="86">
        <f t="shared" si="16"/>
        <v>2.72530664389588</v>
      </c>
      <c r="O32" s="105">
        <f t="shared" si="8"/>
        <v>0.24653473816120705</v>
      </c>
      <c r="P32" s="83">
        <v>14.125400000000001</v>
      </c>
      <c r="Q32" s="105">
        <f t="shared" si="29"/>
        <v>3.7838341252230324E-2</v>
      </c>
      <c r="R32" s="107">
        <f t="shared" si="10"/>
        <v>2.1679772575285559</v>
      </c>
      <c r="S32" s="122">
        <f t="shared" si="17"/>
        <v>5.8517010876478803</v>
      </c>
      <c r="T32" s="122">
        <f t="shared" si="18"/>
        <v>122.93117510431711</v>
      </c>
      <c r="U32" s="117">
        <v>5.85170108603955</v>
      </c>
      <c r="V32" s="117">
        <v>2.72530664389588</v>
      </c>
      <c r="W32" s="118">
        <f t="shared" si="19"/>
        <v>2.1679772575285559</v>
      </c>
      <c r="X32" s="117">
        <f t="shared" si="20"/>
        <v>122.93117510431711</v>
      </c>
      <c r="Y32" s="123">
        <v>1.0004500000000001</v>
      </c>
      <c r="Z32" s="122">
        <v>1.102E-2</v>
      </c>
      <c r="AA32" s="117">
        <f t="shared" si="21"/>
        <v>-1.9498565961839631E-7</v>
      </c>
      <c r="AB32" s="117">
        <f t="shared" si="22"/>
        <v>121.23482097132862</v>
      </c>
      <c r="AC32" s="117">
        <f t="shared" si="23"/>
        <v>5.8517010876478803</v>
      </c>
      <c r="AD32" s="133">
        <f t="shared" si="24"/>
        <v>1.6083303577829611E-9</v>
      </c>
      <c r="AE32" s="117">
        <f t="shared" si="25"/>
        <v>4.7565536549124751E-2</v>
      </c>
      <c r="AF32" s="117">
        <f t="shared" si="26"/>
        <v>2.7253044945401101</v>
      </c>
      <c r="AG32" s="139">
        <v>0.27165243864439176</v>
      </c>
      <c r="AH32" s="47"/>
      <c r="AI32" s="47"/>
      <c r="AJ32" s="47"/>
      <c r="AK32" s="47"/>
      <c r="AL32" s="47"/>
      <c r="AM32" s="47"/>
      <c r="AN32" s="126">
        <v>2.72530664389588</v>
      </c>
      <c r="AO32" s="108">
        <f>PROP_InOut!$F$8*'PROP_Table (2)'!I32*'PROP_Table (2)'!E32</f>
        <v>208560.20957252922</v>
      </c>
      <c r="AP32" s="87">
        <f t="shared" si="27"/>
        <v>1.0004500000000001</v>
      </c>
      <c r="AQ32" s="87">
        <f t="shared" si="28"/>
        <v>1.102E-2</v>
      </c>
      <c r="AR32" s="5">
        <f>0.5*PROP_InOut!$J$8*I32^2*E32*AP32*(C32-C31)</f>
        <v>1.6521492341048269</v>
      </c>
      <c r="AS32" s="5">
        <f>0.5*PROP_InOut!$J$8*I32^2*E32*AQ32*(C32-C31)</f>
        <v>1.819849523697855E-2</v>
      </c>
      <c r="AT32" s="105">
        <f t="shared" si="0"/>
        <v>1.6410954228228534</v>
      </c>
      <c r="AU32" s="105">
        <f t="shared" si="1"/>
        <v>7.6533043724529945E-2</v>
      </c>
      <c r="AV32" s="91">
        <f t="shared" si="2"/>
        <v>44.079868785672446</v>
      </c>
      <c r="AW32" s="84">
        <f>PROP_InOut!$G$4/2*((PROP_InOut!$E$8-'PROP_Table (2)'!C32)/('PROP_Table (2)'!C32*SIN('PROP_Table (2)'!K32)))</f>
        <v>1.7272355312842063</v>
      </c>
      <c r="AX32" s="84">
        <f t="shared" si="11"/>
        <v>0.8862200291707325</v>
      </c>
      <c r="AY32" s="84">
        <f>PROP_InOut!$G$4/2*((C32-PROP_InOut!$J$12/2)/(C32*SIN('PROP_Table (2)'!K32)))</f>
        <v>5.7592459994323546</v>
      </c>
      <c r="AZ32" s="84">
        <f t="shared" si="12"/>
        <v>0.99799242358337437</v>
      </c>
      <c r="BA32" s="84">
        <f t="shared" si="13"/>
        <v>0.88444087474022803</v>
      </c>
      <c r="BB32" s="22">
        <f>0.5*PROP_InOut!$J$8*T32^2*E32*AP32*(C32-C31)</f>
        <v>1.6814163182749673</v>
      </c>
      <c r="BC32" s="22">
        <f>0.5*PROP_InOut!$J$8*T32^2*E32*AQ32*(C32-C31)</f>
        <v>1.8520873434344685E-2</v>
      </c>
      <c r="BD32" s="103">
        <f t="shared" si="3"/>
        <v>1.4514518712936288</v>
      </c>
      <c r="BE32" s="103">
        <f t="shared" si="4"/>
        <v>6.768895213825539E-2</v>
      </c>
      <c r="BF32" s="103">
        <f t="shared" si="14"/>
        <v>44.079868785672446</v>
      </c>
    </row>
    <row r="33" spans="1:58" s="92" customFormat="1" x14ac:dyDescent="0.25">
      <c r="A33" s="171"/>
      <c r="B33" s="102">
        <v>30</v>
      </c>
      <c r="C33" s="83">
        <v>0.21590507999999997</v>
      </c>
      <c r="D33" s="103">
        <f>C33/PROP_InOut!$E$8</f>
        <v>0.80954285714285701</v>
      </c>
      <c r="E33" s="84">
        <v>2.4643079999999998E-2</v>
      </c>
      <c r="F33" s="104">
        <f>E33*PROP_InOut!$G$8</f>
        <v>1.5452751352499998E-4</v>
      </c>
      <c r="G33" s="92">
        <f>PROP_InOut!$C$4</f>
        <v>19.55</v>
      </c>
      <c r="H33" s="105">
        <f>PROP_InOut!$C$8*'PROP_Table (2)'!C33</f>
        <v>124.35239908679803</v>
      </c>
      <c r="I33" s="106">
        <f t="shared" si="5"/>
        <v>125.87979050920877</v>
      </c>
      <c r="J33" s="107">
        <f>I33/PROP_InOut!$D$8</f>
        <v>0.36369190812826419</v>
      </c>
      <c r="K33" s="105">
        <f t="shared" si="6"/>
        <v>0.15593811504903149</v>
      </c>
      <c r="L33" s="106">
        <f t="shared" si="7"/>
        <v>8.9345958575349727</v>
      </c>
      <c r="M33" s="86">
        <f t="shared" si="15"/>
        <v>4.4824007432451192E-2</v>
      </c>
      <c r="N33" s="86">
        <f t="shared" si="16"/>
        <v>2.5682264467424867</v>
      </c>
      <c r="O33" s="105">
        <f t="shared" si="8"/>
        <v>0.23876627766058028</v>
      </c>
      <c r="P33" s="83">
        <v>13.680300000000001</v>
      </c>
      <c r="Q33" s="105">
        <f t="shared" si="29"/>
        <v>3.8004155179097596E-2</v>
      </c>
      <c r="R33" s="107">
        <f t="shared" si="10"/>
        <v>2.1774776957225415</v>
      </c>
      <c r="S33" s="122">
        <f t="shared" si="17"/>
        <v>5.689863693920536</v>
      </c>
      <c r="T33" s="122">
        <f t="shared" si="18"/>
        <v>126.88619691754846</v>
      </c>
      <c r="U33" s="117">
        <f>U32+(U34-U32)*((C33-C32)/(C34-C32))</f>
        <v>5.6806918168447247</v>
      </c>
      <c r="V33" s="117">
        <f>V32+(V34-V32)*((C33-C32)/(C34-C32))</f>
        <v>2.5682264467424867</v>
      </c>
      <c r="W33" s="118">
        <f t="shared" si="19"/>
        <v>2.1774776957225415</v>
      </c>
      <c r="X33" s="117">
        <f t="shared" si="20"/>
        <v>126.88619691754846</v>
      </c>
      <c r="Y33" s="117">
        <f>Y32+(Y34-Y32)*((C33-C32)/(C34-C32))</f>
        <v>1.0043299999999999</v>
      </c>
      <c r="Z33" s="117">
        <f>Z32+(Z34-Z32)*((C33-C32)/(C34-C32))</f>
        <v>1.1205E-2</v>
      </c>
      <c r="AA33" s="117">
        <f t="shared" si="21"/>
        <v>-1.2291146720293682</v>
      </c>
      <c r="AB33" s="117">
        <f t="shared" si="22"/>
        <v>134.00906508775688</v>
      </c>
      <c r="AC33" s="117">
        <f t="shared" si="23"/>
        <v>5.689863693920536</v>
      </c>
      <c r="AD33" s="133">
        <f t="shared" si="24"/>
        <v>9.1718770758113521E-3</v>
      </c>
      <c r="AE33" s="117">
        <f t="shared" si="25"/>
        <v>4.4812238425774614E-2</v>
      </c>
      <c r="AF33" s="117">
        <f t="shared" si="26"/>
        <v>2.5675521323308574</v>
      </c>
      <c r="AG33" s="139">
        <v>0.28054238356955719</v>
      </c>
      <c r="AH33" s="47"/>
      <c r="AI33" s="47"/>
      <c r="AJ33" s="47"/>
      <c r="AK33" s="47"/>
      <c r="AL33" s="47"/>
      <c r="AM33" s="47"/>
      <c r="AN33" s="126"/>
      <c r="AO33" s="108">
        <f>PROP_InOut!$F$8*'PROP_Table (2)'!I33*'PROP_Table (2)'!E33</f>
        <v>200870.36743378549</v>
      </c>
      <c r="AP33" s="87">
        <f t="shared" si="27"/>
        <v>1.0043299999999999</v>
      </c>
      <c r="AQ33" s="87">
        <f t="shared" si="28"/>
        <v>1.1205E-2</v>
      </c>
      <c r="AR33" s="5">
        <f>0.5*PROP_InOut!$J$8*I33^2*E33*AP33*(C33-C32)</f>
        <v>1.6501434903427803</v>
      </c>
      <c r="AS33" s="5">
        <f>0.5*PROP_InOut!$J$8*I33^2*E33*AQ33*(C33-C32)</f>
        <v>1.8410141894885997E-2</v>
      </c>
      <c r="AT33" s="105">
        <f t="shared" si="0"/>
        <v>1.639229072300366</v>
      </c>
      <c r="AU33" s="105">
        <f t="shared" si="1"/>
        <v>7.6144996876345517E-2</v>
      </c>
      <c r="AV33" s="91">
        <f t="shared" si="2"/>
        <v>43.856369845629885</v>
      </c>
      <c r="AW33" s="84">
        <f>PROP_InOut!$G$4/2*((PROP_InOut!$E$8-'PROP_Table (2)'!C33)/('PROP_Table (2)'!C33*SIN('PROP_Table (2)'!K33)))</f>
        <v>1.5148396692475348</v>
      </c>
      <c r="AX33" s="84">
        <f t="shared" si="11"/>
        <v>0.85889069959666364</v>
      </c>
      <c r="AY33" s="84">
        <f>PROP_InOut!$G$4/2*((C33-PROP_InOut!$J$12/2)/(C33*SIN('PROP_Table (2)'!K33)))</f>
        <v>5.9654292245515448</v>
      </c>
      <c r="AZ33" s="84">
        <f t="shared" si="12"/>
        <v>0.99836646815554042</v>
      </c>
      <c r="BA33" s="84">
        <f t="shared" si="13"/>
        <v>0.85748767428796235</v>
      </c>
      <c r="BB33" s="22">
        <f>0.5*PROP_InOut!$J$8*T33^2*E33*AP33*(C33-C32)</f>
        <v>1.6766346954545848</v>
      </c>
      <c r="BC33" s="22">
        <f>0.5*PROP_InOut!$J$8*T33^2*E33*AQ33*(C33-C32)</f>
        <v>1.8705696098462277E-2</v>
      </c>
      <c r="BD33" s="103">
        <f t="shared" si="3"/>
        <v>1.4056187248320549</v>
      </c>
      <c r="BE33" s="103">
        <f t="shared" si="4"/>
        <v>6.5293396280161675E-2</v>
      </c>
      <c r="BF33" s="103">
        <f t="shared" si="14"/>
        <v>43.856369845629885</v>
      </c>
    </row>
    <row r="34" spans="1:58" s="92" customFormat="1" x14ac:dyDescent="0.25">
      <c r="A34" s="171"/>
      <c r="B34" s="102">
        <v>31</v>
      </c>
      <c r="C34" s="83">
        <v>0.22297897999999999</v>
      </c>
      <c r="D34" s="103">
        <f>C34/PROP_InOut!$E$8</f>
        <v>0.83606666666666662</v>
      </c>
      <c r="E34" s="84">
        <v>2.28854E-2</v>
      </c>
      <c r="F34" s="104">
        <f>E34*PROP_InOut!$G$8</f>
        <v>1.4350576137499998E-4</v>
      </c>
      <c r="G34" s="92">
        <f>PROP_InOut!$C$4</f>
        <v>19.55</v>
      </c>
      <c r="H34" s="105">
        <f>PROP_InOut!$C$8*'PROP_Table (2)'!C34</f>
        <v>128.42667300337334</v>
      </c>
      <c r="I34" s="106">
        <f t="shared" si="5"/>
        <v>129.90616936356557</v>
      </c>
      <c r="J34" s="107">
        <f>I34/PROP_InOut!$D$8</f>
        <v>0.37532492247047655</v>
      </c>
      <c r="K34" s="105">
        <f t="shared" si="6"/>
        <v>0.15106717353933924</v>
      </c>
      <c r="L34" s="106">
        <f t="shared" si="7"/>
        <v>8.6555114667745254</v>
      </c>
      <c r="M34" s="86">
        <f t="shared" si="15"/>
        <v>4.2082440802442639E-2</v>
      </c>
      <c r="N34" s="86">
        <f t="shared" si="16"/>
        <v>2.4111462495890925</v>
      </c>
      <c r="O34" s="105">
        <f t="shared" si="8"/>
        <v>0.23146207474098399</v>
      </c>
      <c r="P34" s="83">
        <v>13.261799999999999</v>
      </c>
      <c r="Q34" s="105">
        <f t="shared" si="29"/>
        <v>3.8312460399202095E-2</v>
      </c>
      <c r="R34" s="107">
        <f t="shared" si="10"/>
        <v>2.1951422836363812</v>
      </c>
      <c r="S34" s="122">
        <f t="shared" si="17"/>
        <v>5.5096825509189804</v>
      </c>
      <c r="T34" s="122">
        <f t="shared" si="18"/>
        <v>130.84876013208674</v>
      </c>
      <c r="U34" s="117">
        <v>5.5096825476498976</v>
      </c>
      <c r="V34" s="117">
        <v>2.4111462495890925</v>
      </c>
      <c r="W34" s="118">
        <f t="shared" si="19"/>
        <v>2.1951422836363812</v>
      </c>
      <c r="X34" s="117">
        <f t="shared" si="20"/>
        <v>130.84876013208674</v>
      </c>
      <c r="Y34" s="123">
        <v>1.0082100000000001</v>
      </c>
      <c r="Z34" s="122">
        <v>1.1390000000000001E-2</v>
      </c>
      <c r="AA34" s="117">
        <f t="shared" si="21"/>
        <v>-4.8522770157433115E-7</v>
      </c>
      <c r="AB34" s="117">
        <f t="shared" si="22"/>
        <v>148.42929679905853</v>
      </c>
      <c r="AC34" s="117">
        <f t="shared" si="23"/>
        <v>5.5096825509189804</v>
      </c>
      <c r="AD34" s="133">
        <f t="shared" si="24"/>
        <v>3.2690827822534629E-9</v>
      </c>
      <c r="AE34" s="117">
        <f t="shared" si="25"/>
        <v>4.2082399127776289E-2</v>
      </c>
      <c r="AF34" s="117">
        <f t="shared" si="26"/>
        <v>2.4111438618065981</v>
      </c>
      <c r="AG34" s="139">
        <v>0.28944803243276407</v>
      </c>
      <c r="AH34" s="47"/>
      <c r="AI34" s="47"/>
      <c r="AJ34" s="47"/>
      <c r="AK34" s="47"/>
      <c r="AL34" s="47"/>
      <c r="AM34" s="47"/>
      <c r="AN34" s="126">
        <v>2.4111462495890925</v>
      </c>
      <c r="AO34" s="108">
        <f>PROP_InOut!$F$8*'PROP_Table (2)'!I34*'PROP_Table (2)'!E34</f>
        <v>192509.94050741356</v>
      </c>
      <c r="AP34" s="87">
        <f t="shared" si="27"/>
        <v>1.0082100000000001</v>
      </c>
      <c r="AQ34" s="87">
        <f t="shared" si="28"/>
        <v>1.1390000000000001E-2</v>
      </c>
      <c r="AR34" s="5">
        <f>0.5*PROP_InOut!$J$8*I34^2*E34*AP34*(C34-C33)</f>
        <v>1.6383524185255329</v>
      </c>
      <c r="AS34" s="5">
        <f>0.5*PROP_InOut!$J$8*I34^2*E34*AQ34*(C34-C33)</f>
        <v>1.8508876173620396E-2</v>
      </c>
      <c r="AT34" s="105">
        <f t="shared" si="0"/>
        <v>1.6277000435014377</v>
      </c>
      <c r="AU34" s="105">
        <f t="shared" si="1"/>
        <v>7.5253789787934608E-2</v>
      </c>
      <c r="AV34" s="91">
        <f t="shared" si="2"/>
        <v>43.343071411303761</v>
      </c>
      <c r="AW34" s="84">
        <f>PROP_InOut!$G$4/2*((PROP_InOut!$E$8-'PROP_Table (2)'!C34)/('PROP_Table (2)'!C34*SIN('PROP_Table (2)'!K34)))</f>
        <v>1.3028948749992924</v>
      </c>
      <c r="AX34" s="84">
        <f t="shared" si="11"/>
        <v>0.82479921431287939</v>
      </c>
      <c r="AY34" s="84">
        <f>PROP_InOut!$G$4/2*((C34-PROP_InOut!$J$12/2)/(C34*SIN('PROP_Table (2)'!K34)))</f>
        <v>6.1717387685364136</v>
      </c>
      <c r="AZ34" s="84">
        <f t="shared" si="12"/>
        <v>0.99867098969785251</v>
      </c>
      <c r="BA34" s="84">
        <f t="shared" si="13"/>
        <v>0.82370304765985447</v>
      </c>
      <c r="BB34" s="22">
        <f>0.5*PROP_InOut!$J$8*T34^2*E34*AP34*(C34-C33)</f>
        <v>1.6622142339939108</v>
      </c>
      <c r="BC34" s="22">
        <f>0.5*PROP_InOut!$J$8*T34^2*E34*AQ34*(C34-C33)</f>
        <v>1.8778449058421007E-2</v>
      </c>
      <c r="BD34" s="103">
        <f t="shared" si="3"/>
        <v>1.3407414865082119</v>
      </c>
      <c r="BE34" s="103">
        <f t="shared" si="4"/>
        <v>6.1986775996275771E-2</v>
      </c>
      <c r="BF34" s="103">
        <f t="shared" si="14"/>
        <v>43.343071411303761</v>
      </c>
    </row>
    <row r="35" spans="1:58" s="92" customFormat="1" x14ac:dyDescent="0.25">
      <c r="A35" s="171"/>
      <c r="B35" s="102">
        <v>32</v>
      </c>
      <c r="C35" s="83">
        <v>0.23005287999999999</v>
      </c>
      <c r="D35" s="103">
        <f>C35/PROP_InOut!$E$8</f>
        <v>0.86259047619047613</v>
      </c>
      <c r="E35" s="84">
        <v>2.117598E-2</v>
      </c>
      <c r="F35" s="104">
        <f>E35*PROP_InOut!$G$8</f>
        <v>1.327866295875E-4</v>
      </c>
      <c r="G35" s="92">
        <f>PROP_InOut!$C$4</f>
        <v>19.55</v>
      </c>
      <c r="H35" s="105">
        <f>PROP_InOut!$C$8*'PROP_Table (2)'!C35</f>
        <v>132.5009469199486</v>
      </c>
      <c r="I35" s="106">
        <f t="shared" si="5"/>
        <v>133.93544502738263</v>
      </c>
      <c r="J35" s="107">
        <f>I35/PROP_InOut!$D$8</f>
        <v>0.38696630627498174</v>
      </c>
      <c r="K35" s="105">
        <f t="shared" si="6"/>
        <v>0.14648920081669828</v>
      </c>
      <c r="L35" s="106">
        <f t="shared" si="7"/>
        <v>8.3932129510411837</v>
      </c>
      <c r="M35" s="86">
        <f t="shared" si="15"/>
        <v>3.941613443033154E-2</v>
      </c>
      <c r="N35" s="86">
        <f t="shared" si="16"/>
        <v>2.2583781475782887</v>
      </c>
      <c r="O35" s="105">
        <f t="shared" si="8"/>
        <v>0.22458547748812635</v>
      </c>
      <c r="P35" s="83">
        <v>12.867800000000001</v>
      </c>
      <c r="Q35" s="105">
        <f t="shared" si="29"/>
        <v>3.8680142241096525E-2</v>
      </c>
      <c r="R35" s="107">
        <f t="shared" si="10"/>
        <v>2.2162089013805284</v>
      </c>
      <c r="S35" s="122">
        <f t="shared" si="17"/>
        <v>5.3111879256313994</v>
      </c>
      <c r="T35" s="122">
        <f t="shared" si="18"/>
        <v>134.81219240973252</v>
      </c>
      <c r="U35" s="117">
        <f>U34+(U36-U34)*((C35-C34)/(C36-C34))</f>
        <v>5.3061116757168527</v>
      </c>
      <c r="V35" s="117">
        <f>V34+(V36-V34)*((C35-C34)/(C36-C34))</f>
        <v>2.2583781475782887</v>
      </c>
      <c r="W35" s="118">
        <f t="shared" si="19"/>
        <v>2.2162089013805284</v>
      </c>
      <c r="X35" s="117">
        <f t="shared" si="20"/>
        <v>134.81219240973252</v>
      </c>
      <c r="Y35" s="117">
        <f>Y34+(Y36-Y34)*((C35-C34)/(C36-C34))</f>
        <v>1.0113449999999999</v>
      </c>
      <c r="Z35" s="117">
        <f>Z34+(Z36-Z34)*((C35-C34)/(C36-C34))</f>
        <v>1.1690000000000001E-2</v>
      </c>
      <c r="AA35" s="117">
        <f t="shared" si="21"/>
        <v>-0.83640197364218238</v>
      </c>
      <c r="AB35" s="117">
        <f t="shared" si="22"/>
        <v>164.76769026783518</v>
      </c>
      <c r="AC35" s="117">
        <f t="shared" si="23"/>
        <v>5.3111879256313994</v>
      </c>
      <c r="AD35" s="133">
        <f t="shared" si="24"/>
        <v>5.0762499145466933E-3</v>
      </c>
      <c r="AE35" s="117">
        <f t="shared" si="25"/>
        <v>3.9376576567933086E-2</v>
      </c>
      <c r="AF35" s="117">
        <f t="shared" si="26"/>
        <v>2.2561116490162978</v>
      </c>
      <c r="AG35" s="139">
        <v>0.29836485265219259</v>
      </c>
      <c r="AH35" s="47"/>
      <c r="AI35" s="47"/>
      <c r="AJ35" s="47"/>
      <c r="AK35" s="47"/>
      <c r="AL35" s="47"/>
      <c r="AM35" s="47"/>
      <c r="AN35" s="126"/>
      <c r="AO35" s="108">
        <f>PROP_InOut!$F$8*'PROP_Table (2)'!I35*'PROP_Table (2)'!E35</f>
        <v>183655.49150273006</v>
      </c>
      <c r="AP35" s="87">
        <f t="shared" si="27"/>
        <v>1.0113449999999999</v>
      </c>
      <c r="AQ35" s="87">
        <f t="shared" si="28"/>
        <v>1.1690000000000001E-2</v>
      </c>
      <c r="AR35" s="5">
        <f>0.5*PROP_InOut!$J$8*I35^2*E35*AP35*(C35-C34)</f>
        <v>1.6164868089447717</v>
      </c>
      <c r="AS35" s="5">
        <f>0.5*PROP_InOut!$J$8*I35^2*E35*AQ35*(C35-C34)</f>
        <v>1.8684752281925933E-2</v>
      </c>
      <c r="AT35" s="105">
        <f t="shared" si="0"/>
        <v>1.6060012557344308</v>
      </c>
      <c r="AU35" s="105">
        <f t="shared" si="1"/>
        <v>7.3919219929111712E-2</v>
      </c>
      <c r="AV35" s="91">
        <f t="shared" si="2"/>
        <v>42.57441435287069</v>
      </c>
      <c r="AW35" s="84">
        <f>PROP_InOut!$G$4/2*((PROP_InOut!$E$8-'PROP_Table (2)'!C35)/('PROP_Table (2)'!C35*SIN('PROP_Table (2)'!K35)))</f>
        <v>1.0913421755288479</v>
      </c>
      <c r="AX35" s="84">
        <f t="shared" si="11"/>
        <v>0.7820100395581091</v>
      </c>
      <c r="AY35" s="84">
        <f>PROP_InOut!$G$4/2*((C35-PROP_InOut!$J$12/2)/(C35*SIN('PROP_Table (2)'!K35)))</f>
        <v>6.3781643280387792</v>
      </c>
      <c r="AZ35" s="84">
        <f t="shared" si="12"/>
        <v>0.99891886790706341</v>
      </c>
      <c r="BA35" s="84">
        <f t="shared" si="13"/>
        <v>0.78116458340734418</v>
      </c>
      <c r="BB35" s="22">
        <f>0.5*PROP_InOut!$J$8*T35^2*E35*AP35*(C35-C34)</f>
        <v>1.6377192656813231</v>
      </c>
      <c r="BC35" s="22">
        <f>0.5*PROP_InOut!$J$8*T35^2*E35*AQ35*(C35-C34)</f>
        <v>1.8930175376171997E-2</v>
      </c>
      <c r="BD35" s="103">
        <f t="shared" si="3"/>
        <v>1.2545513018874583</v>
      </c>
      <c r="BE35" s="103">
        <f t="shared" si="4"/>
        <v>5.7743076641720403E-2</v>
      </c>
      <c r="BF35" s="103">
        <f t="shared" si="14"/>
        <v>42.57441435287069</v>
      </c>
    </row>
    <row r="36" spans="1:58" s="92" customFormat="1" x14ac:dyDescent="0.25">
      <c r="A36" s="171"/>
      <c r="B36" s="102">
        <v>33</v>
      </c>
      <c r="C36" s="83">
        <v>0.23712677999999998</v>
      </c>
      <c r="D36" s="103">
        <f>C36/PROP_InOut!$E$8</f>
        <v>0.88911428571428563</v>
      </c>
      <c r="E36" s="84">
        <v>1.9535139999999999E-2</v>
      </c>
      <c r="F36" s="104">
        <f>E36*PROP_InOut!$G$8</f>
        <v>1.2249753726249998E-4</v>
      </c>
      <c r="G36" s="92">
        <f>PROP_InOut!$C$4</f>
        <v>19.55</v>
      </c>
      <c r="H36" s="105">
        <f>PROP_InOut!$C$8*'PROP_Table (2)'!C36</f>
        <v>136.5752208365239</v>
      </c>
      <c r="I36" s="106">
        <f t="shared" si="5"/>
        <v>137.96736370078713</v>
      </c>
      <c r="J36" s="107">
        <f>I36/PROP_InOut!$D$8</f>
        <v>0.39861532626315205</v>
      </c>
      <c r="K36" s="105">
        <f t="shared" si="6"/>
        <v>0.14217871282706523</v>
      </c>
      <c r="L36" s="106">
        <f t="shared" si="7"/>
        <v>8.1462401815933791</v>
      </c>
      <c r="M36" s="86">
        <f t="shared" si="15"/>
        <v>3.6749828058220448E-2</v>
      </c>
      <c r="N36" s="86">
        <f t="shared" si="16"/>
        <v>2.1056100455674849</v>
      </c>
      <c r="O36" s="105">
        <f t="shared" si="8"/>
        <v>0.2180998339877154</v>
      </c>
      <c r="P36" s="83">
        <v>12.4962</v>
      </c>
      <c r="Q36" s="105">
        <f t="shared" si="29"/>
        <v>3.9171293102429727E-2</v>
      </c>
      <c r="R36" s="107">
        <f t="shared" si="10"/>
        <v>2.2443497728391359</v>
      </c>
      <c r="S36" s="122">
        <f t="shared" si="17"/>
        <v>5.1025408466211077</v>
      </c>
      <c r="T36" s="122">
        <f t="shared" si="18"/>
        <v>138.78234294976971</v>
      </c>
      <c r="U36" s="117">
        <v>5.1025408037838087</v>
      </c>
      <c r="V36" s="117">
        <v>2.1056100455674849</v>
      </c>
      <c r="W36" s="118">
        <f t="shared" si="19"/>
        <v>2.2443497728391359</v>
      </c>
      <c r="X36" s="117">
        <f t="shared" si="20"/>
        <v>138.78234294976971</v>
      </c>
      <c r="Y36" s="123">
        <v>1.01448</v>
      </c>
      <c r="Z36" s="122">
        <v>1.1990000000000001E-2</v>
      </c>
      <c r="AA36" s="117">
        <f t="shared" si="21"/>
        <v>-7.8469190611940576E-6</v>
      </c>
      <c r="AB36" s="117">
        <f t="shared" si="22"/>
        <v>183.17959541499158</v>
      </c>
      <c r="AC36" s="117">
        <f t="shared" si="23"/>
        <v>5.1025408466211077</v>
      </c>
      <c r="AD36" s="133">
        <f t="shared" si="24"/>
        <v>4.2837299041309507E-8</v>
      </c>
      <c r="AE36" s="117">
        <f t="shared" si="25"/>
        <v>3.6749945548305615E-2</v>
      </c>
      <c r="AF36" s="117">
        <f t="shared" si="26"/>
        <v>2.1056167772534997</v>
      </c>
      <c r="AG36" s="139">
        <v>0.30728842049285371</v>
      </c>
      <c r="AH36" s="47"/>
      <c r="AI36" s="47"/>
      <c r="AJ36" s="47"/>
      <c r="AK36" s="47"/>
      <c r="AL36" s="47"/>
      <c r="AM36" s="47"/>
      <c r="AN36" s="126">
        <v>2.1056100455674849</v>
      </c>
      <c r="AO36" s="108">
        <f>PROP_InOut!$F$8*'PROP_Table (2)'!I36*'PROP_Table (2)'!E36</f>
        <v>174525.04930917881</v>
      </c>
      <c r="AP36" s="87">
        <f t="shared" si="27"/>
        <v>1.01448</v>
      </c>
      <c r="AQ36" s="87">
        <f t="shared" si="28"/>
        <v>1.1990000000000001E-2</v>
      </c>
      <c r="AR36" s="5">
        <f>0.5*PROP_InOut!$J$8*I36^2*E36*AP36*(C36-C35)</f>
        <v>1.5872707536565975</v>
      </c>
      <c r="AS36" s="5">
        <f>0.5*PROP_InOut!$J$8*I36^2*E36*AQ36*(C36-C35)</f>
        <v>1.8759735368210909E-2</v>
      </c>
      <c r="AT36" s="105">
        <f t="shared" si="0"/>
        <v>1.5770588441982634</v>
      </c>
      <c r="AU36" s="105">
        <f t="shared" si="1"/>
        <v>7.2210148835278501E-2</v>
      </c>
      <c r="AV36" s="91">
        <f t="shared" si="2"/>
        <v>41.590060067515026</v>
      </c>
      <c r="AW36" s="84">
        <f>PROP_InOut!$G$4/2*((PROP_InOut!$E$8-'PROP_Table (2)'!C36)/('PROP_Table (2)'!C36*SIN('PROP_Table (2)'!K36)))</f>
        <v>0.88013160029905002</v>
      </c>
      <c r="AX36" s="84">
        <f t="shared" si="11"/>
        <v>0.72775323023469407</v>
      </c>
      <c r="AY36" s="84">
        <f>PROP_InOut!$G$4/2*((C36-PROP_InOut!$J$12/2)/(C36*SIN('PROP_Table (2)'!K36)))</f>
        <v>6.5846966681481849</v>
      </c>
      <c r="AZ36" s="84">
        <f t="shared" si="12"/>
        <v>0.99912060734665298</v>
      </c>
      <c r="BA36" s="84">
        <f t="shared" si="13"/>
        <v>0.72711324939057609</v>
      </c>
      <c r="BB36" s="22">
        <f>0.5*PROP_InOut!$J$8*T36^2*E36*AP36*(C36-C35)</f>
        <v>1.6060782940247043</v>
      </c>
      <c r="BC36" s="22">
        <f>0.5*PROP_InOut!$J$8*T36^2*E36*AQ36*(C36-C35)</f>
        <v>1.8982019108662766E-2</v>
      </c>
      <c r="BD36" s="103">
        <f t="shared" si="3"/>
        <v>1.1467003806851455</v>
      </c>
      <c r="BE36" s="103">
        <f t="shared" si="4"/>
        <v>5.2504955958596472E-2</v>
      </c>
      <c r="BF36" s="103">
        <f t="shared" si="14"/>
        <v>41.590060067515026</v>
      </c>
    </row>
    <row r="37" spans="1:58" s="92" customFormat="1" x14ac:dyDescent="0.25">
      <c r="A37" s="171"/>
      <c r="B37" s="102">
        <v>34</v>
      </c>
      <c r="C37" s="83">
        <v>0.24420068</v>
      </c>
      <c r="D37" s="103">
        <f>C37/PROP_InOut!$E$8</f>
        <v>0.91563809523809525</v>
      </c>
      <c r="E37" s="84">
        <v>1.7980659999999999E-2</v>
      </c>
      <c r="F37" s="104">
        <f>E37*PROP_InOut!$G$8</f>
        <v>1.1274997611249998E-4</v>
      </c>
      <c r="G37" s="92">
        <f>PROP_InOut!$C$4</f>
        <v>19.55</v>
      </c>
      <c r="H37" s="105">
        <f>PROP_InOut!$C$8*'PROP_Table (2)'!C37</f>
        <v>140.64949475309919</v>
      </c>
      <c r="I37" s="106">
        <f t="shared" si="5"/>
        <v>142.00170025144797</v>
      </c>
      <c r="J37" s="107">
        <f>I37/PROP_InOut!$D$8</f>
        <v>0.41027133198262533</v>
      </c>
      <c r="K37" s="105">
        <f t="shared" si="6"/>
        <v>0.13811307890288321</v>
      </c>
      <c r="L37" s="106">
        <f t="shared" si="7"/>
        <v>7.9132965166925384</v>
      </c>
      <c r="M37" s="86">
        <f t="shared" si="15"/>
        <v>3.4283726677808164E-2</v>
      </c>
      <c r="N37" s="86">
        <f t="shared" si="16"/>
        <v>1.9643128446184748</v>
      </c>
      <c r="O37" s="105">
        <f t="shared" si="8"/>
        <v>0.2119719829839633</v>
      </c>
      <c r="P37" s="83">
        <v>12.145099999999999</v>
      </c>
      <c r="Q37" s="105">
        <f t="shared" si="29"/>
        <v>3.9575177403271926E-2</v>
      </c>
      <c r="R37" s="107">
        <f t="shared" si="10"/>
        <v>2.2674906386889861</v>
      </c>
      <c r="S37" s="122">
        <f t="shared" si="17"/>
        <v>4.8859151081862846</v>
      </c>
      <c r="T37" s="122">
        <f t="shared" si="18"/>
        <v>142.7565090513823</v>
      </c>
      <c r="U37" s="117">
        <f>U36+(U38-U36)*((C37-C36)/(C38-C36))</f>
        <v>4.8864584634378136</v>
      </c>
      <c r="V37" s="117">
        <f>V36+(V38-V36)*((C37-C36)/(C38-C36))</f>
        <v>1.9643128446184748</v>
      </c>
      <c r="W37" s="118">
        <f t="shared" si="19"/>
        <v>2.2674906386889861</v>
      </c>
      <c r="X37" s="117">
        <f t="shared" si="20"/>
        <v>142.7565090513823</v>
      </c>
      <c r="Y37" s="117">
        <f>Y36+(Y38-Y36)*((C37-C36)/(C38-C36))</f>
        <v>1.01698</v>
      </c>
      <c r="Z37" s="117">
        <f>Z36+(Z38-Z36)*((C37-C36)/(C38-C36))</f>
        <v>1.2395000000000002E-2</v>
      </c>
      <c r="AA37" s="117">
        <f t="shared" si="21"/>
        <v>0.11077021698838507</v>
      </c>
      <c r="AB37" s="117">
        <f t="shared" si="22"/>
        <v>203.86334111361765</v>
      </c>
      <c r="AC37" s="117">
        <f t="shared" si="23"/>
        <v>4.8859151081862846</v>
      </c>
      <c r="AD37" s="133">
        <f t="shared" si="24"/>
        <v>-5.4335525152904296E-4</v>
      </c>
      <c r="AE37" s="117">
        <f t="shared" si="25"/>
        <v>3.4212161086874276E-2</v>
      </c>
      <c r="AF37" s="117">
        <f t="shared" si="26"/>
        <v>1.9602124382996033</v>
      </c>
      <c r="AG37" s="139">
        <v>0.31622477126002646</v>
      </c>
      <c r="AH37" s="47"/>
      <c r="AI37" s="47"/>
      <c r="AJ37" s="47"/>
      <c r="AK37" s="47"/>
      <c r="AL37" s="47"/>
      <c r="AM37" s="47"/>
      <c r="AN37" s="126"/>
      <c r="AO37" s="108">
        <f>PROP_InOut!$F$8*'PROP_Table (2)'!I37*'PROP_Table (2)'!E37</f>
        <v>165334.71418915244</v>
      </c>
      <c r="AP37" s="87">
        <f t="shared" si="27"/>
        <v>1.01698</v>
      </c>
      <c r="AQ37" s="87">
        <f t="shared" si="28"/>
        <v>1.2395000000000002E-2</v>
      </c>
      <c r="AR37" s="5">
        <f>0.5*PROP_InOut!$J$8*I37^2*E37*AP37*(C37-C36)</f>
        <v>1.5514700454757457</v>
      </c>
      <c r="AS37" s="5">
        <f>0.5*PROP_InOut!$J$8*I37^2*E37*AQ37*(C37-C36)</f>
        <v>1.8909389775287489E-2</v>
      </c>
      <c r="AT37" s="105">
        <f t="shared" si="0"/>
        <v>1.5414857064427463</v>
      </c>
      <c r="AU37" s="105">
        <f t="shared" si="1"/>
        <v>7.0283427755808398E-2</v>
      </c>
      <c r="AV37" s="91">
        <f t="shared" si="2"/>
        <v>40.48034838957205</v>
      </c>
      <c r="AW37" s="84">
        <f>PROP_InOut!$G$4/2*((PROP_InOut!$E$8-'PROP_Table (2)'!C37)/('PROP_Table (2)'!C37*SIN('PROP_Table (2)'!K37)))</f>
        <v>0.66922060821444007</v>
      </c>
      <c r="AX37" s="84">
        <f t="shared" si="11"/>
        <v>0.65772983170445798</v>
      </c>
      <c r="AY37" s="84">
        <f>PROP_InOut!$G$4/2*((C37-PROP_InOut!$J$12/2)/(C37*SIN('PROP_Table (2)'!K37)))</f>
        <v>6.791327490811975</v>
      </c>
      <c r="AZ37" s="84">
        <f t="shared" si="12"/>
        <v>0.99928477257271975</v>
      </c>
      <c r="BA37" s="84">
        <f t="shared" si="13"/>
        <v>0.65725940528908255</v>
      </c>
      <c r="BB37" s="22">
        <f>0.5*PROP_InOut!$J$8*T37^2*E37*AP37*(C37-C36)</f>
        <v>1.5680075324116234</v>
      </c>
      <c r="BC37" s="22">
        <f>0.5*PROP_InOut!$J$8*T37^2*E37*AQ37*(C37-C36)</f>
        <v>1.9110949442704944E-2</v>
      </c>
      <c r="BD37" s="103">
        <f t="shared" si="3"/>
        <v>1.0131559786781807</v>
      </c>
      <c r="BE37" s="103">
        <f t="shared" si="4"/>
        <v>4.6194443928460824E-2</v>
      </c>
      <c r="BF37" s="103">
        <f t="shared" si="14"/>
        <v>40.48034838957205</v>
      </c>
    </row>
    <row r="38" spans="1:58" s="92" customFormat="1" x14ac:dyDescent="0.25">
      <c r="A38" s="171"/>
      <c r="B38" s="102">
        <v>35</v>
      </c>
      <c r="C38" s="83">
        <v>0.25127457999999997</v>
      </c>
      <c r="D38" s="103">
        <f>C38/PROP_InOut!$E$8</f>
        <v>0.94216190476190464</v>
      </c>
      <c r="E38" s="84">
        <v>1.653286E-2</v>
      </c>
      <c r="F38" s="104">
        <f>E38*PROP_InOut!$G$8</f>
        <v>1.0367136523749998E-4</v>
      </c>
      <c r="G38" s="92">
        <f>PROP_InOut!$C$4</f>
        <v>19.55</v>
      </c>
      <c r="H38" s="105">
        <f>PROP_InOut!$C$8*'PROP_Table (2)'!C38</f>
        <v>144.72376866967446</v>
      </c>
      <c r="I38" s="106">
        <f t="shared" si="5"/>
        <v>146.03825429644607</v>
      </c>
      <c r="J38" s="107">
        <f>I38/PROP_InOut!$D$8</f>
        <v>0.42193374448704418</v>
      </c>
      <c r="K38" s="105">
        <f t="shared" si="6"/>
        <v>0.13427213578212169</v>
      </c>
      <c r="L38" s="106">
        <f t="shared" si="7"/>
        <v>7.6932266865230954</v>
      </c>
      <c r="M38" s="86">
        <f t="shared" si="15"/>
        <v>3.1817625297395902E-2</v>
      </c>
      <c r="N38" s="86">
        <f t="shared" si="16"/>
        <v>1.823015643669466</v>
      </c>
      <c r="O38" s="105">
        <f t="shared" si="8"/>
        <v>0.20617399920883817</v>
      </c>
      <c r="P38" s="83">
        <v>11.812900000000001</v>
      </c>
      <c r="Q38" s="105">
        <f t="shared" si="29"/>
        <v>4.0084238129320583E-2</v>
      </c>
      <c r="R38" s="107">
        <f t="shared" si="10"/>
        <v>2.2966576698074395</v>
      </c>
      <c r="S38" s="122">
        <f t="shared" si="17"/>
        <v>4.670376133222554</v>
      </c>
      <c r="T38" s="122">
        <f t="shared" si="18"/>
        <v>146.73648434352475</v>
      </c>
      <c r="U38" s="117">
        <v>4.6703761230918204</v>
      </c>
      <c r="V38" s="146">
        <v>1.823015643669466</v>
      </c>
      <c r="W38" s="118">
        <f t="shared" si="19"/>
        <v>2.2966576698074395</v>
      </c>
      <c r="X38" s="117">
        <f t="shared" si="20"/>
        <v>146.73648434352475</v>
      </c>
      <c r="Y38" s="123">
        <v>1.0194799999999999</v>
      </c>
      <c r="Z38" s="122">
        <v>1.2800000000000001E-2</v>
      </c>
      <c r="AA38" s="117">
        <f t="shared" si="21"/>
        <v>-2.2985859686741605E-6</v>
      </c>
      <c r="AB38" s="117">
        <f t="shared" si="22"/>
        <v>226.89235471678165</v>
      </c>
      <c r="AC38" s="117">
        <f t="shared" si="23"/>
        <v>4.670376133222554</v>
      </c>
      <c r="AD38" s="133">
        <f t="shared" si="24"/>
        <v>1.0130733585356211E-8</v>
      </c>
      <c r="AE38" s="117">
        <f t="shared" si="25"/>
        <v>3.1817581129342042E-2</v>
      </c>
      <c r="AF38" s="117">
        <f t="shared" si="26"/>
        <v>1.8230131130263905</v>
      </c>
      <c r="AG38" s="139">
        <v>0.32516968780403804</v>
      </c>
      <c r="AH38" s="47"/>
      <c r="AI38" s="47"/>
      <c r="AJ38" s="47"/>
      <c r="AK38" s="47"/>
      <c r="AL38" s="47"/>
      <c r="AM38" s="47"/>
      <c r="AN38" s="126">
        <v>1.823015643669466</v>
      </c>
      <c r="AO38" s="108">
        <f>PROP_InOut!$F$8*'PROP_Table (2)'!I38*'PROP_Table (2)'!E38</f>
        <v>156343.37994543614</v>
      </c>
      <c r="AP38" s="87">
        <f t="shared" si="27"/>
        <v>1.0194799999999999</v>
      </c>
      <c r="AQ38" s="87">
        <f t="shared" si="28"/>
        <v>1.2800000000000001E-2</v>
      </c>
      <c r="AR38" s="5">
        <f>0.5*PROP_InOut!$J$8*I38^2*E38*AP38*(C38-C37)</f>
        <v>1.5125099113578908</v>
      </c>
      <c r="AS38" s="5">
        <f>0.5*PROP_InOut!$J$8*I38^2*E38*AQ38*(C38-C37)</f>
        <v>1.899019781200318E-2</v>
      </c>
      <c r="AT38" s="105">
        <f t="shared" si="0"/>
        <v>1.5028243585427659</v>
      </c>
      <c r="AU38" s="105">
        <f t="shared" si="1"/>
        <v>6.8186940528703985E-2</v>
      </c>
      <c r="AV38" s="91">
        <f t="shared" si="2"/>
        <v>39.272858429885773</v>
      </c>
      <c r="AW38" s="84">
        <f>PROP_InOut!$G$4/2*((PROP_InOut!$E$8-'PROP_Table (2)'!C38)/('PROP_Table (2)'!C38*SIN('PROP_Table (2)'!K38)))</f>
        <v>0.45857282314028414</v>
      </c>
      <c r="AX38" s="84">
        <f t="shared" si="11"/>
        <v>0.56431632907771645</v>
      </c>
      <c r="AY38" s="84">
        <f>PROP_InOut!$G$4/2*((C38-PROP_InOut!$J$12/2)/(C38*SIN('PROP_Table (2)'!K38)))</f>
        <v>6.9980493216156834</v>
      </c>
      <c r="AZ38" s="84">
        <f t="shared" si="12"/>
        <v>0.99941834431264143</v>
      </c>
      <c r="BA38" s="84">
        <f t="shared" si="13"/>
        <v>0.56398809127543903</v>
      </c>
      <c r="BB38" s="22">
        <f>0.5*PROP_InOut!$J$8*T38^2*E38*AP38*(C38-C37)</f>
        <v>1.5270075442845612</v>
      </c>
      <c r="BC38" s="22">
        <f>0.5*PROP_InOut!$J$8*T38^2*E38*AQ38*(C38-C37)</f>
        <v>1.9172221688353266E-2</v>
      </c>
      <c r="BD38" s="103">
        <f t="shared" si="3"/>
        <v>0.84757504149677054</v>
      </c>
      <c r="BE38" s="103">
        <f t="shared" si="4"/>
        <v>3.8456622438695638E-2</v>
      </c>
      <c r="BF38" s="103">
        <f t="shared" si="14"/>
        <v>39.272858429885773</v>
      </c>
    </row>
    <row r="39" spans="1:58" s="92" customFormat="1" x14ac:dyDescent="0.25">
      <c r="A39" s="171"/>
      <c r="B39" s="102">
        <v>36</v>
      </c>
      <c r="C39" s="83">
        <v>0.2583434</v>
      </c>
      <c r="D39" s="103">
        <f>C39/PROP_InOut!$E$8</f>
        <v>0.96866666666666668</v>
      </c>
      <c r="E39" s="84">
        <v>1.48971E-2</v>
      </c>
      <c r="F39" s="104">
        <f>E39*PROP_InOut!$G$8</f>
        <v>9.3414127687499988E-5</v>
      </c>
      <c r="G39" s="92">
        <f>PROP_InOut!$C$4</f>
        <v>19.55</v>
      </c>
      <c r="H39" s="105">
        <f>PROP_InOut!$C$8*'PROP_Table (2)'!C39</f>
        <v>148.79511671629172</v>
      </c>
      <c r="I39" s="106">
        <f t="shared" si="5"/>
        <v>150.07394596869528</v>
      </c>
      <c r="J39" s="107">
        <f>I39/PROP_InOut!$D$8</f>
        <v>0.43359366542399785</v>
      </c>
      <c r="K39" s="105">
        <f t="shared" si="6"/>
        <v>0.13064040194691384</v>
      </c>
      <c r="L39" s="106">
        <f t="shared" si="7"/>
        <v>7.4851436654508259</v>
      </c>
      <c r="M39" s="86">
        <f t="shared" si="15"/>
        <v>2.9080928196884067E-2</v>
      </c>
      <c r="N39" s="86">
        <f t="shared" si="16"/>
        <v>1.6662144500044482</v>
      </c>
      <c r="O39" s="105">
        <f t="shared" si="8"/>
        <v>0.20068493871131599</v>
      </c>
      <c r="P39" s="83">
        <v>11.4984</v>
      </c>
      <c r="Q39" s="105">
        <f t="shared" si="29"/>
        <v>4.0963608567518087E-2</v>
      </c>
      <c r="R39" s="107">
        <f t="shared" si="10"/>
        <v>2.3470418845447263</v>
      </c>
      <c r="S39" s="122">
        <f t="shared" si="17"/>
        <v>4.3839541573802387</v>
      </c>
      <c r="T39" s="122">
        <f t="shared" si="18"/>
        <v>150.70773344500429</v>
      </c>
      <c r="U39" s="117">
        <v>4.3839541554584942</v>
      </c>
      <c r="V39" s="117">
        <v>1.6662144500044482</v>
      </c>
      <c r="W39" s="118">
        <f t="shared" si="19"/>
        <v>2.3470418845447263</v>
      </c>
      <c r="X39" s="117">
        <f t="shared" si="20"/>
        <v>150.70773344500429</v>
      </c>
      <c r="Y39" s="123">
        <v>1.0218400000000001</v>
      </c>
      <c r="Z39" s="122">
        <v>1.346E-2</v>
      </c>
      <c r="AA39" s="117">
        <f t="shared" si="21"/>
        <v>-4.9373295496479841E-7</v>
      </c>
      <c r="AB39" s="117">
        <f t="shared" si="22"/>
        <v>256.9191641845116</v>
      </c>
      <c r="AC39" s="117">
        <f t="shared" si="23"/>
        <v>4.3839541573802387</v>
      </c>
      <c r="AD39" s="133">
        <f t="shared" si="24"/>
        <v>1.9217445412778034E-9</v>
      </c>
      <c r="AE39" s="117">
        <f t="shared" si="25"/>
        <v>2.9080911454893974E-2</v>
      </c>
      <c r="AF39" s="117">
        <f t="shared" si="26"/>
        <v>1.6662134907590753</v>
      </c>
      <c r="AG39" s="139">
        <v>0.33411902138427935</v>
      </c>
      <c r="AH39" s="47"/>
      <c r="AI39" s="47"/>
      <c r="AJ39" s="47"/>
      <c r="AK39" s="47"/>
      <c r="AL39" s="47"/>
      <c r="AM39" s="47"/>
      <c r="AN39" s="126">
        <v>1.6662144500044482</v>
      </c>
      <c r="AO39" s="108">
        <f>PROP_InOut!$F$8*'PROP_Table (2)'!I39*'PROP_Table (2)'!E39</f>
        <v>144767.77862825172</v>
      </c>
      <c r="AP39" s="87">
        <f t="shared" si="27"/>
        <v>1.0218400000000001</v>
      </c>
      <c r="AQ39" s="87">
        <f t="shared" si="28"/>
        <v>1.346E-2</v>
      </c>
      <c r="AR39" s="5">
        <f>0.5*PROP_InOut!$J$8*I39^2*E39*AP39*(C39-C38)</f>
        <v>1.4415227731196689</v>
      </c>
      <c r="AS39" s="5">
        <f>0.5*PROP_InOut!$J$8*I39^2*E39*AQ39*(C39-C38)</f>
        <v>1.8988194361339094E-2</v>
      </c>
      <c r="AT39" s="105">
        <f t="shared" si="0"/>
        <v>1.4321750459418983</v>
      </c>
      <c r="AU39" s="105">
        <f t="shared" si="1"/>
        <v>6.4614254140786087E-2</v>
      </c>
      <c r="AV39" s="91">
        <f t="shared" si="2"/>
        <v>37.215138789744202</v>
      </c>
      <c r="AW39" s="84">
        <f>PROP_InOut!$G$4/2*((PROP_InOut!$E$8-'PROP_Table (2)'!C39)/('PROP_Table (2)'!C39*SIN('PROP_Table (2)'!K39)))</f>
        <v>0.24830804105901971</v>
      </c>
      <c r="AX39" s="84">
        <f t="shared" si="11"/>
        <v>0.43031636743371054</v>
      </c>
      <c r="AY39" s="84">
        <f>PROP_InOut!$G$4/2*((C39-PROP_InOut!$J$12/2)/(C39*SIN('PROP_Table (2)'!K39)))</f>
        <v>7.2047068691471257</v>
      </c>
      <c r="AZ39" s="84">
        <f t="shared" si="12"/>
        <v>0.99952694054628266</v>
      </c>
      <c r="BA39" s="84">
        <f t="shared" si="13"/>
        <v>0.43011280220800674</v>
      </c>
      <c r="BB39" s="22">
        <f>0.5*PROP_InOut!$J$8*T39^2*E39*AP39*(C39-C38)</f>
        <v>1.4537240683932739</v>
      </c>
      <c r="BC39" s="22">
        <f>0.5*PROP_InOut!$J$8*T39^2*E39*AQ39*(C39-C38)</f>
        <v>1.914891368567825E-2</v>
      </c>
      <c r="BD39" s="103">
        <f t="shared" si="3"/>
        <v>0.61599682226245067</v>
      </c>
      <c r="BE39" s="103">
        <f t="shared" si="4"/>
        <v>2.7791417911073805E-2</v>
      </c>
      <c r="BF39" s="103">
        <f t="shared" si="14"/>
        <v>37.215138789744202</v>
      </c>
    </row>
    <row r="40" spans="1:58" s="92" customFormat="1" x14ac:dyDescent="0.25">
      <c r="A40" s="171"/>
      <c r="B40" s="102">
        <v>37</v>
      </c>
      <c r="C40" s="83">
        <v>0.26524458000000001</v>
      </c>
      <c r="D40" s="103">
        <f>C40/PROP_InOut!$E$8</f>
        <v>0.99454285714285717</v>
      </c>
      <c r="E40" s="84">
        <v>6.2712599999999999E-3</v>
      </c>
      <c r="F40" s="104">
        <f>E40*PROP_InOut!$G$8</f>
        <v>3.9324719737499991E-5</v>
      </c>
      <c r="G40" s="92">
        <f>PROP_InOut!$C$4</f>
        <v>19.55</v>
      </c>
      <c r="H40" s="105">
        <f>PROP_InOut!$C$8*'PROP_Table (2)'!C40</f>
        <v>152.76991105429354</v>
      </c>
      <c r="I40" s="106">
        <f t="shared" si="5"/>
        <v>154.01574018111512</v>
      </c>
      <c r="J40" s="107">
        <f>I40/PROP_InOut!$D$8</f>
        <v>0.4449822978070414</v>
      </c>
      <c r="K40" s="105">
        <f t="shared" si="6"/>
        <v>0.12727844743376235</v>
      </c>
      <c r="L40" s="106">
        <f t="shared" si="7"/>
        <v>7.2925178609322865</v>
      </c>
      <c r="M40" s="86">
        <f t="shared" si="15"/>
        <v>1.2689897757975395E-2</v>
      </c>
      <c r="N40" s="86">
        <f t="shared" si="16"/>
        <v>0.72707758398451594</v>
      </c>
      <c r="O40" s="105">
        <f t="shared" si="8"/>
        <v>0.19559730394175251</v>
      </c>
      <c r="P40" s="83">
        <v>11.206899999999999</v>
      </c>
      <c r="Q40" s="105">
        <f t="shared" si="29"/>
        <v>5.5628958750014751E-2</v>
      </c>
      <c r="R40" s="107">
        <f t="shared" si="10"/>
        <v>3.1873045550831969</v>
      </c>
      <c r="S40" s="122">
        <f t="shared" si="17"/>
        <v>1.9578653161897039</v>
      </c>
      <c r="T40" s="122">
        <f t="shared" si="18"/>
        <v>154.27648554186129</v>
      </c>
      <c r="U40" s="117">
        <v>1.9578652499818185</v>
      </c>
      <c r="V40" s="117">
        <v>0.72707758398451594</v>
      </c>
      <c r="W40" s="118">
        <f t="shared" si="19"/>
        <v>3.1873045550831969</v>
      </c>
      <c r="X40" s="117">
        <f t="shared" si="20"/>
        <v>154.27648554186129</v>
      </c>
      <c r="Y40" s="123">
        <v>0.95370999999999995</v>
      </c>
      <c r="Z40" s="122">
        <v>2.9139999999999999E-2</v>
      </c>
      <c r="AA40" s="117">
        <f t="shared" si="21"/>
        <v>-3.8344229096765048E-5</v>
      </c>
      <c r="AB40" s="117">
        <f t="shared" si="22"/>
        <v>579.14897961365409</v>
      </c>
      <c r="AC40" s="117">
        <f t="shared" si="23"/>
        <v>1.9578653161897037</v>
      </c>
      <c r="AD40" s="133">
        <f t="shared" si="24"/>
        <v>6.6207885174307535E-8</v>
      </c>
      <c r="AE40" s="117">
        <f t="shared" si="25"/>
        <v>1.2689945673963969E-2</v>
      </c>
      <c r="AF40" s="117">
        <f t="shared" si="26"/>
        <v>0.72708032936843248</v>
      </c>
      <c r="AG40" s="139">
        <v>0.3430617567620789</v>
      </c>
      <c r="AL40" s="47"/>
      <c r="AM40" s="47"/>
      <c r="AN40" s="92">
        <v>0.72707758398451594</v>
      </c>
      <c r="AO40" s="108">
        <f>PROP_InOut!$F$8*'PROP_Table (2)'!I40*'PROP_Table (2)'!E40</f>
        <v>62543.875632658979</v>
      </c>
      <c r="AP40" s="87">
        <f t="shared" si="27"/>
        <v>0.95370999999999995</v>
      </c>
      <c r="AQ40" s="87">
        <f t="shared" si="28"/>
        <v>2.9139999999999999E-2</v>
      </c>
      <c r="AR40" s="5">
        <f>0.5*PROP_InOut!$J$8*I40^2*E40*AP40*(C40-C39)</f>
        <v>0.58237679446113966</v>
      </c>
      <c r="AS40" s="5">
        <f>0.5*PROP_InOut!$J$8*I40^2*E40*AQ40*(C40-C39)</f>
        <v>1.7794151042347894E-2</v>
      </c>
      <c r="AT40" s="105">
        <f t="shared" si="0"/>
        <v>0.57614475509897811</v>
      </c>
      <c r="AU40" s="105">
        <f t="shared" si="1"/>
        <v>2.631321635454089E-2</v>
      </c>
      <c r="AV40" s="91">
        <f t="shared" si="2"/>
        <v>15.155324651819818</v>
      </c>
      <c r="AW40" s="84">
        <f>PROP_InOut!$G$4/2*((PROP_InOut!$E$8-'PROP_Table (2)'!C40)/('PROP_Table (2)'!C40*SIN('PROP_Table (2)'!K40)))</f>
        <v>4.3227504622915441E-2</v>
      </c>
      <c r="AX40" s="84">
        <f t="shared" si="11"/>
        <v>0.18584114972853966</v>
      </c>
      <c r="AY40" s="84">
        <f>PROP_InOut!$G$4/2*((C40-PROP_InOut!$J$12/2)/(C40*SIN('PROP_Table (2)'!K40)))</f>
        <v>7.4065387807399885</v>
      </c>
      <c r="AZ40" s="84">
        <f t="shared" si="12"/>
        <v>0.99961340055414316</v>
      </c>
      <c r="BA40" s="84">
        <f t="shared" si="13"/>
        <v>0.1857693036430372</v>
      </c>
      <c r="BB40" s="22">
        <f>0.5*PROP_InOut!$J$8*T40^2*E40*AP40*(C40-C39)</f>
        <v>0.58435036662098172</v>
      </c>
      <c r="BC40" s="22">
        <f>0.5*PROP_InOut!$J$8*T40^2*E40*AQ40*(C40-C39)</f>
        <v>1.7854452279346351E-2</v>
      </c>
      <c r="BD40" s="103">
        <f t="shared" si="3"/>
        <v>0.10703000995232537</v>
      </c>
      <c r="BE40" s="103">
        <f t="shared" si="4"/>
        <v>4.8881878787916389E-3</v>
      </c>
      <c r="BF40" s="103">
        <f t="shared" si="14"/>
        <v>15.155324651819818</v>
      </c>
    </row>
    <row r="41" spans="1:58" s="92" customFormat="1" x14ac:dyDescent="0.25">
      <c r="A41" s="171"/>
      <c r="B41" s="102">
        <v>38</v>
      </c>
      <c r="C41" s="83">
        <v>0.26669999999999999</v>
      </c>
      <c r="D41" s="103">
        <f>C41/PROP_InOut!$E$8</f>
        <v>1</v>
      </c>
      <c r="E41" s="84">
        <v>5.0000000000000001E-3</v>
      </c>
      <c r="F41" s="104">
        <f>E41*PROP_InOut!$G$8</f>
        <v>3.1353124999999998E-5</v>
      </c>
      <c r="G41" s="92">
        <f>PROP_InOut!$C$4</f>
        <v>19.55</v>
      </c>
      <c r="H41" s="105">
        <f>PROP_InOut!$C$8*'PROP_Table (2)'!C41</f>
        <v>153.60817279727294</v>
      </c>
      <c r="I41" s="106">
        <f t="shared" si="5"/>
        <v>154.84725780625521</v>
      </c>
      <c r="J41" s="107">
        <f>I41/PROP_InOut!$D$8</f>
        <v>0.44738471864446216</v>
      </c>
      <c r="K41" s="105">
        <f t="shared" si="6"/>
        <v>0.12659128752116025</v>
      </c>
      <c r="L41" s="106">
        <f t="shared" si="7"/>
        <v>7.253146498089607</v>
      </c>
      <c r="M41" s="86">
        <f t="shared" si="15"/>
        <v>9.005870102864643E-3</v>
      </c>
      <c r="N41" s="86">
        <f t="shared" si="16"/>
        <v>0.51599834773719255</v>
      </c>
      <c r="O41" s="105">
        <f t="shared" si="8"/>
        <v>0.19198621771937624</v>
      </c>
      <c r="P41" s="83">
        <v>11</v>
      </c>
      <c r="Q41" s="105">
        <f t="shared" si="29"/>
        <v>5.6389060095351363E-2</v>
      </c>
      <c r="R41" s="107">
        <f t="shared" si="10"/>
        <v>3.2308551541732005</v>
      </c>
      <c r="S41" s="122">
        <f t="shared" si="17"/>
        <v>1.3962151881624625</v>
      </c>
      <c r="T41" s="122">
        <f t="shared" si="18"/>
        <v>155.02972192719974</v>
      </c>
      <c r="U41" s="117">
        <v>1.3962151881436076</v>
      </c>
      <c r="V41" s="117">
        <v>0.51599834773719255</v>
      </c>
      <c r="W41" s="118">
        <f t="shared" si="19"/>
        <v>3.2308551541732005</v>
      </c>
      <c r="X41" s="117">
        <f t="shared" si="20"/>
        <v>155.02972192719974</v>
      </c>
      <c r="Y41" s="123">
        <v>0.82879999999999998</v>
      </c>
      <c r="Z41" s="122">
        <v>4.1259999999999998E-2</v>
      </c>
      <c r="AA41" s="117">
        <f t="shared" si="21"/>
        <v>-1.3471094462147448E-8</v>
      </c>
      <c r="AB41" s="117">
        <f t="shared" si="22"/>
        <v>714.45960232382117</v>
      </c>
      <c r="AC41" s="117">
        <f t="shared" si="23"/>
        <v>1.3962151881624625</v>
      </c>
      <c r="AD41" s="133">
        <f t="shared" si="24"/>
        <v>1.8854917627209034E-11</v>
      </c>
      <c r="AE41" s="117">
        <f t="shared" si="25"/>
        <v>9.0058694784832735E-3</v>
      </c>
      <c r="AF41" s="117">
        <f t="shared" si="26"/>
        <v>0.51599831196277535</v>
      </c>
      <c r="AG41" s="139">
        <v>0.35174083166570996</v>
      </c>
      <c r="AH41" s="47"/>
      <c r="AI41" s="47"/>
      <c r="AJ41" s="47"/>
      <c r="AK41" s="47"/>
      <c r="AL41" s="47"/>
      <c r="AM41" s="47"/>
      <c r="AN41" s="126">
        <v>0.51599834773719255</v>
      </c>
      <c r="AO41" s="108">
        <f>PROP_InOut!$F$8*'PROP_Table (2)'!I41*'PROP_Table (2)'!E41</f>
        <v>50134.697487789228</v>
      </c>
      <c r="AP41" s="87">
        <f t="shared" si="27"/>
        <v>0.82879999999999998</v>
      </c>
      <c r="AQ41" s="87">
        <f t="shared" si="28"/>
        <v>4.1259999999999998E-2</v>
      </c>
      <c r="AR41" s="5">
        <f>0.5*PROP_InOut!$J$8*I41^2*E41*AP41*(C41-C40)</f>
        <v>8.6019016338664711E-2</v>
      </c>
      <c r="AS41" s="5">
        <f>0.5*PROP_InOut!$J$8*I41^2*E41*AQ41*(C41-C40)</f>
        <v>4.2822690807592977E-3</v>
      </c>
      <c r="AT41" s="105">
        <f t="shared" si="0"/>
        <v>8.4850156680629049E-2</v>
      </c>
      <c r="AU41" s="105">
        <f t="shared" si="1"/>
        <v>4.2428264115998331E-3</v>
      </c>
      <c r="AV41" s="91">
        <f t="shared" si="2"/>
        <v>2.4436925856087766</v>
      </c>
      <c r="AW41" s="84">
        <f>PROP_InOut!$G$4/2*((PROP_InOut!$E$8-'PROP_Table (2)'!C41)/('PROP_Table (2)'!C41*SIN('PROP_Table (2)'!K41)))</f>
        <v>0</v>
      </c>
      <c r="AX41" s="84">
        <f t="shared" si="11"/>
        <v>0</v>
      </c>
      <c r="AY41" s="84">
        <f>PROP_InOut!$G$4/2*((C41-PROP_InOut!$J$12/2)/(C41*SIN('PROP_Table (2)'!K41)))</f>
        <v>7.4491129988394578</v>
      </c>
      <c r="AZ41" s="84">
        <f t="shared" si="12"/>
        <v>0.99962951427674052</v>
      </c>
      <c r="BA41" s="84">
        <f t="shared" si="13"/>
        <v>0</v>
      </c>
      <c r="BB41" s="22">
        <f>0.5*PROP_InOut!$J$8*T41^2*E41*AP41*(C41-C40)</f>
        <v>8.6221856631012894E-2</v>
      </c>
      <c r="BC41" s="22">
        <f>0.5*PROP_InOut!$J$8*T41^2*E41*AQ41*(C41-C40)</f>
        <v>4.2923670422244115E-3</v>
      </c>
      <c r="BD41" s="103">
        <f t="shared" si="3"/>
        <v>0</v>
      </c>
      <c r="BE41" s="103">
        <f t="shared" si="4"/>
        <v>0</v>
      </c>
      <c r="BF41" s="103">
        <f t="shared" si="14"/>
        <v>2.4436925856087766</v>
      </c>
    </row>
    <row r="42" spans="1:58" ht="15.75" thickBot="1" x14ac:dyDescent="0.3">
      <c r="A42" s="171"/>
      <c r="B42" s="1">
        <v>39</v>
      </c>
      <c r="C42" s="109"/>
      <c r="D42" s="22"/>
      <c r="E42" s="68"/>
      <c r="F42" s="23"/>
      <c r="H42" s="5"/>
      <c r="I42" s="24"/>
      <c r="J42" s="64"/>
      <c r="K42" s="5"/>
      <c r="L42" s="24"/>
      <c r="M42" s="86"/>
      <c r="N42" s="86"/>
      <c r="O42" s="5"/>
      <c r="P42" s="24"/>
      <c r="Q42" s="5"/>
      <c r="R42" s="64"/>
      <c r="S42" s="122"/>
      <c r="T42" s="122"/>
      <c r="U42" s="117"/>
      <c r="V42" s="117"/>
      <c r="W42" s="118"/>
      <c r="X42" s="117"/>
      <c r="Y42" s="123"/>
      <c r="Z42" s="122"/>
      <c r="AA42" s="117"/>
      <c r="AB42" s="117"/>
      <c r="AC42" s="117"/>
      <c r="AD42" s="133"/>
      <c r="AE42" s="117"/>
      <c r="AF42" s="117"/>
      <c r="AG42" s="141"/>
      <c r="AH42" s="127"/>
      <c r="AI42" s="127"/>
      <c r="AJ42" s="127"/>
      <c r="AK42" s="127"/>
      <c r="AL42" s="127"/>
      <c r="AM42" s="127"/>
      <c r="AN42" s="128"/>
      <c r="AO42" s="63"/>
      <c r="AP42" s="87"/>
      <c r="AQ42" s="87"/>
      <c r="AR42" s="5"/>
      <c r="AS42" s="5"/>
      <c r="AT42" s="5"/>
      <c r="AU42" s="5"/>
      <c r="AV42" s="52"/>
      <c r="AW42" s="75"/>
      <c r="AX42" s="75"/>
      <c r="AY42" s="75"/>
      <c r="AZ42" s="75"/>
      <c r="BA42" s="75"/>
      <c r="BB42" s="22"/>
      <c r="BC42" s="22"/>
      <c r="BD42" s="22"/>
      <c r="BE42" s="22"/>
      <c r="BF42" s="22"/>
    </row>
    <row r="43" spans="1:58" x14ac:dyDescent="0.25">
      <c r="C43" s="5"/>
      <c r="D43" s="22"/>
      <c r="E43" s="22"/>
      <c r="F43" s="23"/>
      <c r="H43" s="5"/>
      <c r="I43" s="24"/>
      <c r="J43" s="64"/>
      <c r="K43" s="5"/>
      <c r="L43" s="24"/>
      <c r="O43" s="5"/>
      <c r="P43" s="24"/>
      <c r="Q43" s="5"/>
      <c r="R43" s="64"/>
      <c r="V43" s="134"/>
      <c r="AO43" s="63"/>
      <c r="AP43" s="5"/>
      <c r="AQ43" s="5"/>
      <c r="AR43" s="5"/>
      <c r="AS43" s="5"/>
      <c r="AT43" s="5"/>
      <c r="AU43" s="5"/>
      <c r="AV43" s="52"/>
      <c r="AW43" s="47"/>
      <c r="AX43" s="47"/>
      <c r="AY43" s="47"/>
      <c r="AZ43" s="47"/>
      <c r="BA43" s="47"/>
    </row>
    <row r="44" spans="1:58" x14ac:dyDescent="0.25">
      <c r="W44" s="135">
        <f>W24</f>
        <v>2.5089353877611824</v>
      </c>
    </row>
  </sheetData>
  <mergeCells count="15">
    <mergeCell ref="AH9:AM9"/>
    <mergeCell ref="AO2:AO3"/>
    <mergeCell ref="AP2:AP3"/>
    <mergeCell ref="AQ2:AQ3"/>
    <mergeCell ref="B1:B2"/>
    <mergeCell ref="C1:F1"/>
    <mergeCell ref="G1:J1"/>
    <mergeCell ref="K1:R1"/>
    <mergeCell ref="AG2:AN2"/>
    <mergeCell ref="Q2:R2"/>
    <mergeCell ref="A4:A23"/>
    <mergeCell ref="A24:A42"/>
    <mergeCell ref="K2:L2"/>
    <mergeCell ref="M2:N2"/>
    <mergeCell ref="O2:P2"/>
  </mergeCells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K c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v x B F 5 a w A A A D 2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s z D T M z c y 1 T O w 0 Y e J 2 f h m 5 i H k j Y D u B c k i C d o 4 l + a U l B a l 2 q X m 6 Y Y G 2 + j D u D b 6 U C / Y A Q A A A P / / A w B Q S w M E F A A C A A g A A A A h A J M H M b u 3 A Q A A F g g A A B M A A A B G b 3 J t d W x h c y 9 T Z W N 0 a W 9 u M S 5 t 7 J T f i h M x F M b v C 3 2 H w + x N C 9 N i W 2 t h Z S 7 q z C 7 e + G f p C A s d k e z k b B v M 5 A x J p r a U P o z s h Q / g I / T F T J 2 W R c w o q I i i u Z n M 7 w s 5 O X x f Y j C 3 g h T M 6 u / g c b v V b p k l 0 8 j h L F j f 9 n L J 9 N t N T 8 j e 4 M H n E U A E E m 2 7 B W 7 M q N I 5 O h K b V T + h v C p Q 2 c 6 l k N i P S V n 3 Y z p B f J 6 9 M q h N V i L X l C X 0 T k l i 3 G S + 7 f u 5 W Q X d c J 6 g F I W w q K M g D E K I S V a F M t E k h A u V E x d q E Q 2 G 4 2 E I V x V Z n N m N x O h + 2 n 9 O C l 9 3 w / q U Z 0 G 8 Z G r h W k o 3 J R 4 a S N m N W 5 R q p s w t 6 a L e / S C a T t 1 S u N 0 G N R 2 4 6 t Y p Y H F t d y G c + L C B j x r 4 w w Y + b u C P G v j k C 7 7 r t l t C e d v 8 v p X Q G X b / W T t V V d y g 9 h n 6 l T J q V P 4 8 U 3 / a z x c K E y 1 W m I 1 7 k A j j F M v 2 H / Z 3 B B z h G R q r G a d s B F O 1 f y + F Q U h x / 1 G L n M F L T W U l j V v q i 8 L / i / 3 b M v B L 7 v X f l Q N X s 3 A a h 6 f I u G v i P g t H 5 c h P K Y D 5 k U + l n O X M n d F E V l c / G C 1 P / U P O p r J c M t / b I X 2 Q e 2 H p o 4 U H p l S + u b b a o z w h 6 1 G + F b B P A A A A / / 8 D A F B L A Q I t A B Q A B g A I A A A A I Q A q 3 a p A 0 g A A A D c B A A A T A A A A A A A A A A A A A A A A A A A A A A B b Q 2 9 u d G V u d F 9 U e X B l c 1 0 u e G 1 s U E s B A i 0 A F A A C A A g A A A A h A L 8 Q R e W s A A A A 9 g A A A B I A A A A A A A A A A A A A A A A A C w M A A E N v b m Z p Z y 9 Q Y W N r Y W d l L n h t b F B L A Q I t A B Q A A g A I A A A A I Q C T B z G 7 t w E A A B Y I A A A T A A A A A A A A A A A A A A A A A O c D A A B G b 3 J t d W x h c y 9 T Z W N 0 a W 9 u M S 5 t U E s F B g A A A A A D A A M A w g A A A M 8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T K w A A A A A A A H E r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e G Y t Y 2 x h c m t 5 L W l s L T E w M D A w M D A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T Q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A t M T A t M j Z U M T U 6 M D M 6 M j c u M z g 5 N D Y x N F o i L z 4 8 R W 5 0 c n k g V H l w Z T 0 i R m l s b E N v b H V t b l R 5 c G V z I i B W Y W x 1 Z T 0 i c 0 J n W U d C Z 1 l H Q m c 9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4 Z i 1 j b G F y a 3 k t a W w t M T A w M D A w M C 9 D a G F u Z 2 V k I F R 5 c G U u e 0 N v b H V t b j E s M H 0 m c X V v d D s s J n F 1 b 3 Q 7 U 2 V j d G l v b j E v e G Y t Y 2 x h c m t 5 L W l s L T E w M D A w M D A v Q 2 h h b m d l Z C B U e X B l L n t D b 2 x 1 b W 4 y L D F 9 J n F 1 b 3 Q 7 L C Z x d W 9 0 O 1 N l Y 3 R p b 2 4 x L 3 h m L W N s Y X J r e S 1 p b C 0 x M D A w M D A w L 0 N o Y W 5 n Z W Q g V H l w Z S 5 7 Q 2 9 s d W 1 u M y w y f S Z x d W 9 0 O y w m c X V v d D t T Z W N 0 a W 9 u M S 9 4 Z i 1 j b G F y a 3 k t a W w t M T A w M D A w M C 9 D a G F u Z 2 V k I F R 5 c G U u e 0 N v b H V t b j Q s M 3 0 m c X V v d D s s J n F 1 b 3 Q 7 U 2 V j d G l v b j E v e G Y t Y 2 x h c m t 5 L W l s L T E w M D A w M D A v Q 2 h h b m d l Z C B U e X B l L n t D b 2 x 1 b W 4 1 L D R 9 J n F 1 b 3 Q 7 L C Z x d W 9 0 O 1 N l Y 3 R p b 2 4 x L 3 h m L W N s Y X J r e S 1 p b C 0 x M D A w M D A w L 0 N o Y W 5 n Z W Q g V H l w Z S 5 7 Q 2 9 s d W 1 u N i w 1 f S Z x d W 9 0 O y w m c X V v d D t T Z W N 0 a W 9 u M S 9 4 Z i 1 j b G F y a 3 k t a W w t M T A w M D A w M C 9 D a G F u Z 2 V k I F R 5 c G U u e 0 N v b H V t b j c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e G Y t Y 2 x h c m t 5 L W l s L T E w M D A w M D A v Q 2 h h b m d l Z C B U e X B l L n t D b 2 x 1 b W 4 x L D B 9 J n F 1 b 3 Q 7 L C Z x d W 9 0 O 1 N l Y 3 R p b 2 4 x L 3 h m L W N s Y X J r e S 1 p b C 0 x M D A w M D A w L 0 N o Y W 5 n Z W Q g V H l w Z S 5 7 Q 2 9 s d W 1 u M i w x f S Z x d W 9 0 O y w m c X V v d D t T Z W N 0 a W 9 u M S 9 4 Z i 1 j b G F y a 3 k t a W w t M T A w M D A w M C 9 D a G F u Z 2 V k I F R 5 c G U u e 0 N v b H V t b j M s M n 0 m c X V v d D s s J n F 1 b 3 Q 7 U 2 V j d G l v b j E v e G Y t Y 2 x h c m t 5 L W l s L T E w M D A w M D A v Q 2 h h b m d l Z C B U e X B l L n t D b 2 x 1 b W 4 0 L D N 9 J n F 1 b 3 Q 7 L C Z x d W 9 0 O 1 N l Y 3 R p b 2 4 x L 3 h m L W N s Y X J r e S 1 p b C 0 x M D A w M D A w L 0 N o Y W 5 n Z W Q g V H l w Z S 5 7 Q 2 9 s d W 1 u N S w 0 f S Z x d W 9 0 O y w m c X V v d D t T Z W N 0 a W 9 u M S 9 4 Z i 1 j b G F y a 3 k t a W w t M T A w M D A w M C 9 D a G F u Z 2 V k I F R 5 c G U u e 0 N v b H V t b j Y s N X 0 m c X V v d D s s J n F 1 b 3 Q 7 U 2 V j d G l v b j E v e G Y t Y 2 x h c m t 5 L W l s L T E w M D A w M D A v Q 2 h h b m d l Z C B U e X B l L n t D b 2 x 1 b W 4 3 L D Z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4 Z i 1 j b G F y a 3 k t a W w t M T A w M D A w M C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x N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T A i L z 4 8 R W 5 0 c n k g V H l w Z T 0 i R m l s b E x h c 3 R V c G R h d G V k I i B W Y W x 1 Z T 0 i Z D I w M j A t M T A t M j Z U M T U 6 M T Q 6 M T U u N j g y N D A 1 M 1 o i L z 4 8 R W 5 0 c n k g V H l w Z T 0 i R m l s b E N v b H V t b l R 5 c G V z I i B W Y W x 1 Z T 0 i c 0 J R V U Z C Z 1 l H Q m c 9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4 Z i 1 j b G F y a 3 k t a W w t M T A w M D A w M C A o M i k v Q 2 h h b m d l Z C B U e X B l L n t D b 2 x 1 b W 4 x L D B 9 J n F 1 b 3 Q 7 L C Z x d W 9 0 O 1 N l Y 3 R p b 2 4 x L 3 h m L W N s Y X J r e S 1 p b C 0 x M D A w M D A w I C g y K S 9 D a G F u Z 2 V k I F R 5 c G U u e 0 N v b H V t b j I s M X 0 m c X V v d D s s J n F 1 b 3 Q 7 U 2 V j d G l v b j E v e G Y t Y 2 x h c m t 5 L W l s L T E w M D A w M D A g K D I p L 0 N o Y W 5 n Z W Q g V H l w Z S 5 7 Q 2 9 s d W 1 u M y w y f S Z x d W 9 0 O y w m c X V v d D t T Z W N 0 a W 9 u M S 9 4 Z i 1 j b G F y a 3 k t a W w t M T A w M D A w M C A o M i k v Q 2 h h b m d l Z C B U e X B l L n t D b 2 x 1 b W 4 0 L D N 9 J n F 1 b 3 Q 7 L C Z x d W 9 0 O 1 N l Y 3 R p b 2 4 x L 3 h m L W N s Y X J r e S 1 p b C 0 x M D A w M D A w I C g y K S 9 D a G F u Z 2 V k I F R 5 c G U u e 0 N v b H V t b j U s N H 0 m c X V v d D s s J n F 1 b 3 Q 7 U 2 V j d G l v b j E v e G Y t Y 2 x h c m t 5 L W l s L T E w M D A w M D A g K D I p L 0 N o Y W 5 n Z W Q g V H l w Z S 5 7 Q 2 9 s d W 1 u N i w 1 f S Z x d W 9 0 O y w m c X V v d D t T Z W N 0 a W 9 u M S 9 4 Z i 1 j b G F y a 3 k t a W w t M T A w M D A w M C A o M i k v Q 2 h h b m d l Z C B U e X B l L n t D b 2 x 1 b W 4 3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3 h m L W N s Y X J r e S 1 p b C 0 x M D A w M D A w I C g y K S 9 D a G F u Z 2 V k I F R 5 c G U u e 0 N v b H V t b j E s M H 0 m c X V v d D s s J n F 1 b 3 Q 7 U 2 V j d G l v b j E v e G Y t Y 2 x h c m t 5 L W l s L T E w M D A w M D A g K D I p L 0 N o Y W 5 n Z W Q g V H l w Z S 5 7 Q 2 9 s d W 1 u M i w x f S Z x d W 9 0 O y w m c X V v d D t T Z W N 0 a W 9 u M S 9 4 Z i 1 j b G F y a 3 k t a W w t M T A w M D A w M C A o M i k v Q 2 h h b m d l Z C B U e X B l L n t D b 2 x 1 b W 4 z L D J 9 J n F 1 b 3 Q 7 L C Z x d W 9 0 O 1 N l Y 3 R p b 2 4 x L 3 h m L W N s Y X J r e S 1 p b C 0 x M D A w M D A w I C g y K S 9 D a G F u Z 2 V k I F R 5 c G U u e 0 N v b H V t b j Q s M 3 0 m c X V v d D s s J n F 1 b 3 Q 7 U 2 V j d G l v b j E v e G Y t Y 2 x h c m t 5 L W l s L T E w M D A w M D A g K D I p L 0 N o Y W 5 n Z W Q g V H l w Z S 5 7 Q 2 9 s d W 1 u N S w 0 f S Z x d W 9 0 O y w m c X V v d D t T Z W N 0 a W 9 u M S 9 4 Z i 1 j b G F y a 3 k t a W w t M T A w M D A w M C A o M i k v Q 2 h h b m d l Z C B U e X B l L n t D b 2 x 1 b W 4 2 L D V 9 J n F 1 b 3 Q 7 L C Z x d W 9 0 O 1 N l Y 3 R p b 2 4 x L 3 h m L W N s Y X J r e S 1 p b C 0 x M D A w M D A w I C g y K S 9 D a G F u Z 2 V k I F R 5 c G U u e 0 N v b H V t b j c s N n 0 m c X V v d D t d L C Z x d W 9 0 O 1 J l b G F 0 a W 9 u c 2 h p c E l u Z m 8 m c X V v d D s 6 W 1 1 9 I i 8 + P E V u d H J 5 I F R 5 c G U 9 I l J l c 3 V s d F R 5 c G U i I F Z h b H V l P S J z V G F i b G U i L z 4 8 R W 5 0 c n k g V H l w Z T 0 i T m F 2 a W d h d G l v b l N 0 Z X B O Y W 1 l I i B W Y W x 1 Z T 0 i c 0 5 h d m l n Y X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3 h m L W N s Y X J r e S 1 p b C 0 x M D A w M D A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T I 0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A t M T E t M T h U M j I 6 N T E 6 N D c u O T Y z M j I x M l o i L z 4 8 R W 5 0 c n k g V H l w Z T 0 i R m l s b E N v b H V t b l R 5 c G V z I i B W Y W x 1 Z T 0 i c 0 J n W U d C Z 1 l H Q m c 9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4 Z i 1 j b G F y a 3 k t a W w t M T A w M D A w L 0 F 1 d G 9 S Z W 1 v d m V k Q 2 9 s d W 1 u c z E u e 0 N v b H V t b j E s M H 0 m c X V v d D s s J n F 1 b 3 Q 7 U 2 V j d G l v b j E v e G Y t Y 2 x h c m t 5 L W l s L T E w M D A w M C 9 B d X R v U m V t b 3 Z l Z E N v b H V t b n M x L n t D b 2 x 1 b W 4 y L D F 9 J n F 1 b 3 Q 7 L C Z x d W 9 0 O 1 N l Y 3 R p b 2 4 x L 3 h m L W N s Y X J r e S 1 p b C 0 x M D A w M D A v Q X V 0 b 1 J l b W 9 2 Z W R D b 2 x 1 b W 5 z M S 5 7 Q 2 9 s d W 1 u M y w y f S Z x d W 9 0 O y w m c X V v d D t T Z W N 0 a W 9 u M S 9 4 Z i 1 j b G F y a 3 k t a W w t M T A w M D A w L 0 F 1 d G 9 S Z W 1 v d m V k Q 2 9 s d W 1 u c z E u e 0 N v b H V t b j Q s M 3 0 m c X V v d D s s J n F 1 b 3 Q 7 U 2 V j d G l v b j E v e G Y t Y 2 x h c m t 5 L W l s L T E w M D A w M C 9 B d X R v U m V t b 3 Z l Z E N v b H V t b n M x L n t D b 2 x 1 b W 4 1 L D R 9 J n F 1 b 3 Q 7 L C Z x d W 9 0 O 1 N l Y 3 R p b 2 4 x L 3 h m L W N s Y X J r e S 1 p b C 0 x M D A w M D A v Q X V 0 b 1 J l b W 9 2 Z W R D b 2 x 1 b W 5 z M S 5 7 Q 2 9 s d W 1 u N i w 1 f S Z x d W 9 0 O y w m c X V v d D t T Z W N 0 a W 9 u M S 9 4 Z i 1 j b G F y a 3 k t a W w t M T A w M D A w L 0 F 1 d G 9 S Z W 1 v d m V k Q 2 9 s d W 1 u c z E u e 0 N v b H V t b j c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e G Y t Y 2 x h c m t 5 L W l s L T E w M D A w M C 9 B d X R v U m V t b 3 Z l Z E N v b H V t b n M x L n t D b 2 x 1 b W 4 x L D B 9 J n F 1 b 3 Q 7 L C Z x d W 9 0 O 1 N l Y 3 R p b 2 4 x L 3 h m L W N s Y X J r e S 1 p b C 0 x M D A w M D A v Q X V 0 b 1 J l b W 9 2 Z W R D b 2 x 1 b W 5 z M S 5 7 Q 2 9 s d W 1 u M i w x f S Z x d W 9 0 O y w m c X V v d D t T Z W N 0 a W 9 u M S 9 4 Z i 1 j b G F y a 3 k t a W w t M T A w M D A w L 0 F 1 d G 9 S Z W 1 v d m V k Q 2 9 s d W 1 u c z E u e 0 N v b H V t b j M s M n 0 m c X V v d D s s J n F 1 b 3 Q 7 U 2 V j d G l v b j E v e G Y t Y 2 x h c m t 5 L W l s L T E w M D A w M C 9 B d X R v U m V t b 3 Z l Z E N v b H V t b n M x L n t D b 2 x 1 b W 4 0 L D N 9 J n F 1 b 3 Q 7 L C Z x d W 9 0 O 1 N l Y 3 R p b 2 4 x L 3 h m L W N s Y X J r e S 1 p b C 0 x M D A w M D A v Q X V 0 b 1 J l b W 9 2 Z W R D b 2 x 1 b W 5 z M S 5 7 Q 2 9 s d W 1 u N S w 0 f S Z x d W 9 0 O y w m c X V v d D t T Z W N 0 a W 9 u M S 9 4 Z i 1 j b G F y a 3 k t a W w t M T A w M D A w L 0 F 1 d G 9 S Z W 1 v d m V k Q 2 9 s d W 1 u c z E u e 0 N v b H V t b j Y s N X 0 m c X V v d D s s J n F 1 b 3 Q 7 U 2 V j d G l v b j E v e G Y t Y 2 x h c m t 5 L W l s L T E w M D A w M C 9 B d X R v U m V t b 3 Z l Z E N v b H V t b n M x L n t D b 2 x 1 b W 4 3 L D Z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4 Z i 1 j b G F y a 3 k t a W w t M T A w M D A w J T I w K D I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E x M y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w L T E x L T E 4 V D I y O j U 2 O j E y L j Y x N T I 5 M j R a I i 8 + P E V u d H J 5 I F R 5 c G U 9 I k Z p b G x D b 2 x 1 b W 5 U e X B l c y I g V m F s d W U 9 I n N C U V V G Q l F V R k J R P T 0 i L z 4 8 R W 5 0 c n k g V H l w Z T 0 i R m l s b E N v b H V t b k 5 h b W V z I i B W Y W x 1 Z T 0 i c 1 s m c X V v d D t B b H B o Y S Z x d W 9 0 O y w m c X V v d D t D b C Z x d W 9 0 O y w m c X V v d D t D Z C Z x d W 9 0 O y w m c X V v d D t D Z H A m c X V v d D s s J n F 1 b 3 Q 7 Q 2 0 m c X V v d D s s J n F 1 b 3 Q 7 V G 9 w X 1 h 0 c i Z x d W 9 0 O y w m c X V v d D t C b 3 R f W H R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G Y t Y 2 x h c m t 5 L W l s L T E w M D A w M C A o M i k v Q X V 0 b 1 J l b W 9 2 Z W R D b 2 x 1 b W 5 z M S 5 7 Q W x w a G E s M H 0 m c X V v d D s s J n F 1 b 3 Q 7 U 2 V j d G l v b j E v e G Y t Y 2 x h c m t 5 L W l s L T E w M D A w M C A o M i k v Q X V 0 b 1 J l b W 9 2 Z W R D b 2 x 1 b W 5 z M S 5 7 Q 2 w s M X 0 m c X V v d D s s J n F 1 b 3 Q 7 U 2 V j d G l v b j E v e G Y t Y 2 x h c m t 5 L W l s L T E w M D A w M C A o M i k v Q X V 0 b 1 J l b W 9 2 Z W R D b 2 x 1 b W 5 z M S 5 7 Q 2 Q s M n 0 m c X V v d D s s J n F 1 b 3 Q 7 U 2 V j d G l v b j E v e G Y t Y 2 x h c m t 5 L W l s L T E w M D A w M C A o M i k v Q X V 0 b 1 J l b W 9 2 Z W R D b 2 x 1 b W 5 z M S 5 7 Q 2 R w L D N 9 J n F 1 b 3 Q 7 L C Z x d W 9 0 O 1 N l Y 3 R p b 2 4 x L 3 h m L W N s Y X J r e S 1 p b C 0 x M D A w M D A g K D I p L 0 F 1 d G 9 S Z W 1 v d m V k Q 2 9 s d W 1 u c z E u e 0 N t L D R 9 J n F 1 b 3 Q 7 L C Z x d W 9 0 O 1 N l Y 3 R p b 2 4 x L 3 h m L W N s Y X J r e S 1 p b C 0 x M D A w M D A g K D I p L 0 F 1 d G 9 S Z W 1 v d m V k Q 2 9 s d W 1 u c z E u e 1 R v c F 9 Y d H I s N X 0 m c X V v d D s s J n F 1 b 3 Q 7 U 2 V j d G l v b j E v e G Y t Y 2 x h c m t 5 L W l s L T E w M D A w M C A o M i k v Q X V 0 b 1 J l b W 9 2 Z W R D b 2 x 1 b W 5 z M S 5 7 Q m 9 0 X 1 h 0 c i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4 Z i 1 j b G F y a 3 k t a W w t M T A w M D A w I C g y K S 9 B d X R v U m V t b 3 Z l Z E N v b H V t b n M x L n t B b H B o Y S w w f S Z x d W 9 0 O y w m c X V v d D t T Z W N 0 a W 9 u M S 9 4 Z i 1 j b G F y a 3 k t a W w t M T A w M D A w I C g y K S 9 B d X R v U m V t b 3 Z l Z E N v b H V t b n M x L n t D b C w x f S Z x d W 9 0 O y w m c X V v d D t T Z W N 0 a W 9 u M S 9 4 Z i 1 j b G F y a 3 k t a W w t M T A w M D A w I C g y K S 9 B d X R v U m V t b 3 Z l Z E N v b H V t b n M x L n t D Z C w y f S Z x d W 9 0 O y w m c X V v d D t T Z W N 0 a W 9 u M S 9 4 Z i 1 j b G F y a 3 k t a W w t M T A w M D A w I C g y K S 9 B d X R v U m V t b 3 Z l Z E N v b H V t b n M x L n t D Z H A s M 3 0 m c X V v d D s s J n F 1 b 3 Q 7 U 2 V j d G l v b j E v e G Y t Y 2 x h c m t 5 L W l s L T E w M D A w M C A o M i k v Q X V 0 b 1 J l b W 9 2 Z W R D b 2 x 1 b W 5 z M S 5 7 Q 2 0 s N H 0 m c X V v d D s s J n F 1 b 3 Q 7 U 2 V j d G l v b j E v e G Y t Y 2 x h c m t 5 L W l s L T E w M D A w M C A o M i k v Q X V 0 b 1 J l b W 9 2 Z W R D b 2 x 1 b W 5 z M S 5 7 V G 9 w X 1 h 0 c i w 1 f S Z x d W 9 0 O y w m c X V v d D t T Z W N 0 a W 9 u M S 9 4 Z i 1 j b G F y a 3 k t a W w t M T A w M D A w I C g y K S 9 B d X R v U m V t b 3 Z l Z E N v b H V t b n M x L n t C b 3 R f W H R y L D Z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4 Z i 1 j b G F y a 3 k t a W w t M T A w M D A w M C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h m L W N s Y X J r e S 1 p b C 0 x M D A w M D A w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4 Z i 1 j b G F y a 3 k t a W w t M T A w M D A w M C U y M C g y K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h m L W N s Y X J r e S 1 p b C 0 x M D A w M D A w J T I w K D I p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4 Z i 1 j b G F y a 3 k t a W w t M T A w M D A w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e G Y t Y 2 x h c m t 5 L W l s L T E w M D A w M C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e G Y t Y 2 x h c m t 5 L W l s L T E w M D A w M C U y M C g y K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h m L W N s Y X J r e S 1 p b C 0 x M D A w M D A l M j A o M i k v U H J v b W 9 0 Z W Q l M j B I Z W F k Z X J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4 Z i 1 j b G F y a 3 k t a W w t M T A w M D A w J T I w K D I p L 0 N o Y W 5 n Z W Q l M j B U e X B l P C 9 J d G V t U G F 0 a D 4 8 L 0 l 0 Z W 1 M b 2 N h d G l v b j 4 8 U 3 R h Y m x l R W 5 0 c m l l c y 8 + P C 9 J d G V t P j x J d G V t P j x J d G V t T G 9 j Y X R p b 2 4 + P E l 0 Z W 1 U e X B l P k F s b E Z v c m 1 1 b G F z P C 9 J d G V t V H l w Z T 4 8 S X R l b V B h d G g + P C 9 J d G V t U G F 0 a D 4 8 L 0 l 0 Z W 1 M b 2 N h d G l v b j 4 8 U 3 R h Y m x l R W 5 0 c m l l c z 4 8 R W 5 0 c n k g V H l w Z T 0 i U X V l c n l H c m 9 1 c H M i I F Z h b H V l P S J z Q U F B Q U F B P T 0 i L z 4 8 R W 5 0 c n k g V H l w Z T 0 i U m V s Y X R p b 2 5 z a G l w c y I g V m F s d W U 9 I n N B Q U F B Q U E 9 P S I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R Z q i n a 1 / V S o C J q o d R r n D a A A A A A A I A A A A A A B B m A A A A A Q A A I A A A A K f x s k J O W K A G V 5 W 2 r x L h / c 3 6 n L o L M 5 + K e F w v / R I B V F L C A A A A A A 6 A A A A A A g A A I A A A A B M B T M O 1 K e N 4 D k 5 w 6 K X A j V q T t 5 t n j 4 H v + i e K i / a 7 7 X f C U A A A A N E a 2 S g c p F R E C i 7 q G E 9 X j j q j l q K u n t 0 w C Q C v O 1 u P t n p p x H o c J P R D m 4 Q c J T f d B 5 K c o e P n R i 3 D O 9 1 r V / z I A r I O R K Z 7 6 x T e Q K a 6 J f U Z t 7 s o I s h 5 Q A A A A J z A f c V N 0 2 G 0 a o 0 U c D y Q y t n k C A S y o r y i 6 K A S O M n i K W m G 9 K 3 m u M d G v n O w 2 e N x R s e J 0 V r 1 e h G N q + l u m f m n U B z 8 c x U = < / D a t a M a s h u p > 
</file>

<file path=customXml/itemProps1.xml><?xml version="1.0" encoding="utf-8"?>
<ds:datastoreItem xmlns:ds="http://schemas.openxmlformats.org/officeDocument/2006/customXml" ds:itemID="{51CB1247-D78F-42D2-9ACF-913FF2B7A6A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PROP_InOut</vt:lpstr>
      <vt:lpstr>Conversor</vt:lpstr>
      <vt:lpstr>PROP_Table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Mendes</dc:creator>
  <cp:lastModifiedBy>Pedro</cp:lastModifiedBy>
  <dcterms:created xsi:type="dcterms:W3CDTF">2020-10-23T11:07:10Z</dcterms:created>
  <dcterms:modified xsi:type="dcterms:W3CDTF">2022-02-19T20:51:22Z</dcterms:modified>
</cp:coreProperties>
</file>