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edro_Afonso\Pedro\DESKTOP\BET22x12\"/>
    </mc:Choice>
  </mc:AlternateContent>
  <xr:revisionPtr revIDLastSave="0" documentId="13_ncr:1_{3DEF0D13-F464-42D1-8533-D414B5A45AB5}" xr6:coauthVersionLast="47" xr6:coauthVersionMax="47" xr10:uidLastSave="{00000000-0000-0000-0000-000000000000}"/>
  <bookViews>
    <workbookView xWindow="-120" yWindow="-120" windowWidth="20730" windowHeight="11160" activeTab="2" xr2:uid="{2999A67B-CFAC-4A53-8180-99CD48303CF1}"/>
  </bookViews>
  <sheets>
    <sheet name="PROP_InOut" sheetId="1" r:id="rId1"/>
    <sheet name="Conversor" sheetId="3" r:id="rId2"/>
    <sheet name="PROP_Table (2)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37" i="4" l="1"/>
  <c r="J12" i="4"/>
  <c r="D14" i="1"/>
  <c r="D42" i="4" l="1"/>
  <c r="F42" i="4"/>
  <c r="G42" i="4"/>
  <c r="N42" i="4"/>
  <c r="M42" i="4" s="1"/>
  <c r="O42" i="4"/>
  <c r="AP42" i="4"/>
  <c r="AQ42" i="4"/>
  <c r="Y27" i="4" l="1"/>
  <c r="Z27" i="4"/>
  <c r="D8" i="1" l="1"/>
  <c r="N41" i="4" l="1"/>
  <c r="N40" i="4"/>
  <c r="N36" i="4"/>
  <c r="N34" i="4"/>
  <c r="N32" i="4"/>
  <c r="N30" i="4"/>
  <c r="N28" i="4"/>
  <c r="N26" i="4"/>
  <c r="N24" i="4"/>
  <c r="N22" i="4"/>
  <c r="N20" i="4"/>
  <c r="N18" i="4"/>
  <c r="N16" i="4"/>
  <c r="N14" i="4"/>
  <c r="N12" i="4"/>
  <c r="N10" i="4"/>
  <c r="AQ40" i="4"/>
  <c r="Z35" i="4"/>
  <c r="AQ35" i="4" s="1"/>
  <c r="Z33" i="4"/>
  <c r="AQ33" i="4" s="1"/>
  <c r="Z31" i="4"/>
  <c r="AQ31" i="4" s="1"/>
  <c r="Z29" i="4"/>
  <c r="AQ29" i="4" s="1"/>
  <c r="Z25" i="4"/>
  <c r="AQ25" i="4" s="1"/>
  <c r="Z23" i="4"/>
  <c r="AQ23" i="4" s="1"/>
  <c r="Z21" i="4"/>
  <c r="AQ21" i="4" s="1"/>
  <c r="Z19" i="4"/>
  <c r="AQ19" i="4" s="1"/>
  <c r="Z17" i="4"/>
  <c r="Z15" i="4"/>
  <c r="AQ15" i="4" s="1"/>
  <c r="Z13" i="4"/>
  <c r="AQ13" i="4" s="1"/>
  <c r="Z11" i="4"/>
  <c r="AQ11" i="4" s="1"/>
  <c r="Y35" i="4"/>
  <c r="AP35" i="4" s="1"/>
  <c r="Y33" i="4"/>
  <c r="AP33" i="4" s="1"/>
  <c r="Y31" i="4"/>
  <c r="AP31" i="4" s="1"/>
  <c r="Y29" i="4"/>
  <c r="AP29" i="4" s="1"/>
  <c r="AP27" i="4"/>
  <c r="Y25" i="4"/>
  <c r="AP25" i="4" s="1"/>
  <c r="Y23" i="4"/>
  <c r="AP23" i="4" s="1"/>
  <c r="Y21" i="4"/>
  <c r="AP21" i="4" s="1"/>
  <c r="Y19" i="4"/>
  <c r="AP19" i="4" s="1"/>
  <c r="Y17" i="4"/>
  <c r="AP17" i="4" s="1"/>
  <c r="Y15" i="4"/>
  <c r="AP15" i="4" s="1"/>
  <c r="Y13" i="4"/>
  <c r="AP13" i="4" s="1"/>
  <c r="Y11" i="4"/>
  <c r="AP11" i="4" s="1"/>
  <c r="V35" i="4"/>
  <c r="N35" i="4" s="1"/>
  <c r="V33" i="4"/>
  <c r="N33" i="4" s="1"/>
  <c r="V31" i="4"/>
  <c r="N31" i="4" s="1"/>
  <c r="V29" i="4"/>
  <c r="N29" i="4" s="1"/>
  <c r="V25" i="4"/>
  <c r="N25" i="4" s="1"/>
  <c r="V23" i="4"/>
  <c r="N23" i="4" s="1"/>
  <c r="V21" i="4"/>
  <c r="N21" i="4" s="1"/>
  <c r="V19" i="4"/>
  <c r="N19" i="4" s="1"/>
  <c r="V17" i="4"/>
  <c r="N17" i="4" s="1"/>
  <c r="V15" i="4"/>
  <c r="N15" i="4" s="1"/>
  <c r="V13" i="4"/>
  <c r="N13" i="4" s="1"/>
  <c r="V11" i="4"/>
  <c r="N11" i="4" s="1"/>
  <c r="U35" i="4"/>
  <c r="U33" i="4"/>
  <c r="U31" i="4"/>
  <c r="U21" i="4"/>
  <c r="U19" i="4"/>
  <c r="U17" i="4"/>
  <c r="U11" i="4"/>
  <c r="K8" i="1"/>
  <c r="AQ12" i="4"/>
  <c r="AQ14" i="4"/>
  <c r="AQ16" i="4"/>
  <c r="AQ17" i="4"/>
  <c r="AQ18" i="4"/>
  <c r="AQ20" i="4"/>
  <c r="AQ22" i="4"/>
  <c r="AQ24" i="4"/>
  <c r="AQ26" i="4"/>
  <c r="AQ27" i="4"/>
  <c r="AQ28" i="4"/>
  <c r="AQ30" i="4"/>
  <c r="AQ32" i="4"/>
  <c r="AQ34" i="4"/>
  <c r="AQ36" i="4"/>
  <c r="AQ41" i="4"/>
  <c r="AQ10" i="4"/>
  <c r="AP12" i="4"/>
  <c r="AP14" i="4"/>
  <c r="AP16" i="4"/>
  <c r="AP18" i="4"/>
  <c r="AP20" i="4"/>
  <c r="AP22" i="4"/>
  <c r="AP24" i="4"/>
  <c r="AP26" i="4"/>
  <c r="AP28" i="4"/>
  <c r="AP30" i="4"/>
  <c r="AP32" i="4"/>
  <c r="AP34" i="4"/>
  <c r="AP36" i="4"/>
  <c r="AP40" i="4"/>
  <c r="AP41" i="4"/>
  <c r="AP10" i="4"/>
  <c r="M11" i="4" l="1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8" i="4"/>
  <c r="M29" i="4"/>
  <c r="M30" i="4"/>
  <c r="M31" i="4"/>
  <c r="M32" i="4"/>
  <c r="M33" i="4"/>
  <c r="M34" i="4"/>
  <c r="M35" i="4"/>
  <c r="M36" i="4"/>
  <c r="M40" i="4"/>
  <c r="M41" i="4"/>
  <c r="M10" i="4"/>
  <c r="O41" i="4"/>
  <c r="G41" i="4"/>
  <c r="O40" i="4"/>
  <c r="G40" i="4"/>
  <c r="O39" i="4"/>
  <c r="G39" i="4"/>
  <c r="O38" i="4"/>
  <c r="G38" i="4"/>
  <c r="O37" i="4"/>
  <c r="G37" i="4"/>
  <c r="O36" i="4"/>
  <c r="G36" i="4"/>
  <c r="O35" i="4"/>
  <c r="G35" i="4"/>
  <c r="O34" i="4"/>
  <c r="G34" i="4"/>
  <c r="O33" i="4"/>
  <c r="G33" i="4"/>
  <c r="O32" i="4"/>
  <c r="G32" i="4"/>
  <c r="O31" i="4"/>
  <c r="G31" i="4"/>
  <c r="O30" i="4"/>
  <c r="G30" i="4"/>
  <c r="O29" i="4"/>
  <c r="G29" i="4"/>
  <c r="O28" i="4"/>
  <c r="G28" i="4"/>
  <c r="O27" i="4"/>
  <c r="G27" i="4"/>
  <c r="O26" i="4"/>
  <c r="G26" i="4"/>
  <c r="O25" i="4"/>
  <c r="G25" i="4"/>
  <c r="O24" i="4"/>
  <c r="G24" i="4"/>
  <c r="O23" i="4"/>
  <c r="G23" i="4"/>
  <c r="O22" i="4"/>
  <c r="G22" i="4"/>
  <c r="O21" i="4"/>
  <c r="G21" i="4"/>
  <c r="O20" i="4"/>
  <c r="G20" i="4"/>
  <c r="O19" i="4"/>
  <c r="G19" i="4"/>
  <c r="O18" i="4"/>
  <c r="G18" i="4"/>
  <c r="O17" i="4"/>
  <c r="G17" i="4"/>
  <c r="O16" i="4"/>
  <c r="G16" i="4"/>
  <c r="O15" i="4"/>
  <c r="G15" i="4"/>
  <c r="O14" i="4"/>
  <c r="G14" i="4"/>
  <c r="O13" i="4"/>
  <c r="G13" i="4"/>
  <c r="O12" i="4"/>
  <c r="G12" i="4"/>
  <c r="O11" i="4"/>
  <c r="G11" i="4"/>
  <c r="O10" i="4"/>
  <c r="G10" i="4"/>
  <c r="G9" i="4"/>
  <c r="G8" i="4"/>
  <c r="G7" i="4"/>
  <c r="G6" i="4"/>
  <c r="G5" i="4"/>
  <c r="G4" i="4"/>
  <c r="M8" i="1" l="1"/>
  <c r="E2" i="3" l="1"/>
  <c r="L8" i="1"/>
  <c r="L12" i="1" s="1"/>
  <c r="K12" i="1" s="1"/>
  <c r="C9" i="3"/>
  <c r="P6" i="4" l="1"/>
  <c r="O6" i="4" s="1"/>
  <c r="P4" i="4"/>
  <c r="O4" i="4" s="1"/>
  <c r="P8" i="4"/>
  <c r="O8" i="4" s="1"/>
  <c r="P7" i="4"/>
  <c r="O7" i="4" s="1"/>
  <c r="P5" i="4"/>
  <c r="O5" i="4" s="1"/>
  <c r="P9" i="4"/>
  <c r="O9" i="4" s="1"/>
  <c r="C21" i="3"/>
  <c r="C19" i="3"/>
  <c r="C17" i="3"/>
  <c r="C15" i="3"/>
  <c r="C13" i="3"/>
  <c r="C11" i="3"/>
  <c r="C7" i="3"/>
  <c r="C5" i="3"/>
  <c r="C3" i="3"/>
  <c r="F8" i="1" l="1"/>
  <c r="E8" i="1"/>
  <c r="B8" i="1"/>
  <c r="H12" i="1" s="1"/>
  <c r="D9" i="4" l="1"/>
  <c r="D4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8" i="4"/>
  <c r="D7" i="4"/>
  <c r="D6" i="4"/>
  <c r="D5" i="4"/>
  <c r="G8" i="1"/>
  <c r="C8" i="1"/>
  <c r="H15" i="4" l="1"/>
  <c r="H28" i="4"/>
  <c r="H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H40" i="4"/>
  <c r="H36" i="4"/>
  <c r="H32" i="4"/>
  <c r="H24" i="4"/>
  <c r="H20" i="4"/>
  <c r="H16" i="4"/>
  <c r="H12" i="4"/>
  <c r="H8" i="4"/>
  <c r="H4" i="4"/>
  <c r="H39" i="4"/>
  <c r="H35" i="4"/>
  <c r="H31" i="4"/>
  <c r="H19" i="4"/>
  <c r="H7" i="4"/>
  <c r="H27" i="4"/>
  <c r="H23" i="4"/>
  <c r="H11" i="4"/>
  <c r="H38" i="4"/>
  <c r="H30" i="4"/>
  <c r="H22" i="4"/>
  <c r="H14" i="4"/>
  <c r="H6" i="4"/>
  <c r="H33" i="4"/>
  <c r="H25" i="4"/>
  <c r="H9" i="4"/>
  <c r="H37" i="4"/>
  <c r="H29" i="4"/>
  <c r="H21" i="4"/>
  <c r="H13" i="4"/>
  <c r="H5" i="4"/>
  <c r="H34" i="4"/>
  <c r="H26" i="4"/>
  <c r="H18" i="4"/>
  <c r="H10" i="4"/>
  <c r="H41" i="4"/>
  <c r="H17" i="4"/>
  <c r="K42" i="4" l="1"/>
  <c r="X42" i="4"/>
  <c r="I42" i="4"/>
  <c r="AB42" i="4"/>
  <c r="I15" i="4"/>
  <c r="K15" i="4"/>
  <c r="K16" i="4"/>
  <c r="I16" i="4"/>
  <c r="X16" i="4"/>
  <c r="AB16" i="4" s="1"/>
  <c r="X17" i="4"/>
  <c r="AB17" i="4" s="1"/>
  <c r="I17" i="4"/>
  <c r="K17" i="4"/>
  <c r="I26" i="4"/>
  <c r="K26" i="4"/>
  <c r="X26" i="4"/>
  <c r="AB26" i="4" s="1"/>
  <c r="K21" i="4"/>
  <c r="X21" i="4"/>
  <c r="AB21" i="4" s="1"/>
  <c r="I21" i="4"/>
  <c r="I25" i="4"/>
  <c r="K25" i="4"/>
  <c r="I22" i="4"/>
  <c r="X22" i="4"/>
  <c r="K22" i="4"/>
  <c r="I23" i="4"/>
  <c r="K23" i="4"/>
  <c r="X19" i="4"/>
  <c r="AB19" i="4" s="1"/>
  <c r="I19" i="4"/>
  <c r="K19" i="4"/>
  <c r="K4" i="4"/>
  <c r="I4" i="4"/>
  <c r="I20" i="4"/>
  <c r="K20" i="4"/>
  <c r="X20" i="4"/>
  <c r="AB20" i="4" s="1"/>
  <c r="X36" i="4"/>
  <c r="AB36" i="4" s="1"/>
  <c r="I36" i="4"/>
  <c r="K36" i="4"/>
  <c r="AW36" i="4" s="1"/>
  <c r="X10" i="4"/>
  <c r="I10" i="4"/>
  <c r="AO10" i="4" s="1"/>
  <c r="K10" i="4"/>
  <c r="I5" i="4"/>
  <c r="K5" i="4"/>
  <c r="K37" i="4"/>
  <c r="AW37" i="4" s="1"/>
  <c r="I37" i="4"/>
  <c r="I6" i="4"/>
  <c r="K6" i="4"/>
  <c r="I38" i="4"/>
  <c r="K38" i="4"/>
  <c r="AW38" i="4" s="1"/>
  <c r="I7" i="4"/>
  <c r="K7" i="4"/>
  <c r="K35" i="4"/>
  <c r="X35" i="4"/>
  <c r="AB35" i="4" s="1"/>
  <c r="I35" i="4"/>
  <c r="X12" i="4"/>
  <c r="AB12" i="4" s="1"/>
  <c r="I12" i="4"/>
  <c r="K12" i="4"/>
  <c r="I28" i="4"/>
  <c r="K28" i="4"/>
  <c r="K18" i="4"/>
  <c r="X18" i="4"/>
  <c r="AB18" i="4" s="1"/>
  <c r="I18" i="4"/>
  <c r="K13" i="4"/>
  <c r="I13" i="4"/>
  <c r="I9" i="4"/>
  <c r="K9" i="4"/>
  <c r="I14" i="4"/>
  <c r="K14" i="4"/>
  <c r="AY14" i="4" s="1"/>
  <c r="K11" i="4"/>
  <c r="I11" i="4"/>
  <c r="I39" i="4"/>
  <c r="K39" i="4"/>
  <c r="AW39" i="4" s="1"/>
  <c r="X32" i="4"/>
  <c r="K32" i="4"/>
  <c r="I32" i="4"/>
  <c r="I41" i="4"/>
  <c r="K41" i="4"/>
  <c r="AW41" i="4" s="1"/>
  <c r="X41" i="4"/>
  <c r="K34" i="4"/>
  <c r="I34" i="4"/>
  <c r="X34" i="4"/>
  <c r="AB34" i="4" s="1"/>
  <c r="I29" i="4"/>
  <c r="K29" i="4"/>
  <c r="K33" i="4"/>
  <c r="X33" i="4"/>
  <c r="I33" i="4"/>
  <c r="X30" i="4"/>
  <c r="AB30" i="4" s="1"/>
  <c r="K30" i="4"/>
  <c r="I30" i="4"/>
  <c r="I27" i="4"/>
  <c r="K27" i="4"/>
  <c r="I31" i="4"/>
  <c r="X31" i="4"/>
  <c r="AB31" i="4" s="1"/>
  <c r="K31" i="4"/>
  <c r="I8" i="4"/>
  <c r="K8" i="4"/>
  <c r="K24" i="4"/>
  <c r="I24" i="4"/>
  <c r="K40" i="4"/>
  <c r="AW40" i="4" s="1"/>
  <c r="I40" i="4"/>
  <c r="X40" i="4"/>
  <c r="AS42" i="4" l="1"/>
  <c r="AR42" i="4"/>
  <c r="J42" i="4"/>
  <c r="AG42" i="4" s="1"/>
  <c r="AO42" i="4"/>
  <c r="AA42" i="4"/>
  <c r="AC42" i="4" s="1"/>
  <c r="T42" i="4"/>
  <c r="AW42" i="4"/>
  <c r="AX42" i="4" s="1"/>
  <c r="L42" i="4"/>
  <c r="AY42" i="4"/>
  <c r="AZ42" i="4" s="1"/>
  <c r="AA40" i="4"/>
  <c r="T40" i="4"/>
  <c r="AY8" i="4"/>
  <c r="AZ8" i="4" s="1"/>
  <c r="L8" i="4"/>
  <c r="R8" i="4" s="1"/>
  <c r="Q8" i="4" s="1"/>
  <c r="AW8" i="4"/>
  <c r="AX8" i="4" s="1"/>
  <c r="AA33" i="4"/>
  <c r="T33" i="4"/>
  <c r="L34" i="4"/>
  <c r="AY34" i="4"/>
  <c r="AZ34" i="4" s="1"/>
  <c r="AW34" i="4"/>
  <c r="AX34" i="4" s="1"/>
  <c r="AA41" i="4"/>
  <c r="T41" i="4"/>
  <c r="AY32" i="4"/>
  <c r="AZ32" i="4" s="1"/>
  <c r="L32" i="4"/>
  <c r="AW32" i="4"/>
  <c r="AX32" i="4" s="1"/>
  <c r="AS11" i="4"/>
  <c r="AO11" i="4"/>
  <c r="J11" i="4"/>
  <c r="AG11" i="4" s="1"/>
  <c r="AR11" i="4"/>
  <c r="AR18" i="4"/>
  <c r="AO18" i="4"/>
  <c r="AS18" i="4"/>
  <c r="J18" i="4"/>
  <c r="AG18" i="4" s="1"/>
  <c r="AS10" i="4"/>
  <c r="J10" i="4"/>
  <c r="AG10" i="4" s="1"/>
  <c r="AR10" i="4"/>
  <c r="AA22" i="4"/>
  <c r="T22" i="4"/>
  <c r="L15" i="4"/>
  <c r="AW15" i="4"/>
  <c r="AX15" i="4" s="1"/>
  <c r="AY15" i="4"/>
  <c r="AZ15" i="4" s="1"/>
  <c r="AO40" i="4"/>
  <c r="AR40" i="4"/>
  <c r="AS40" i="4"/>
  <c r="J40" i="4"/>
  <c r="AG40" i="4" s="1"/>
  <c r="AW24" i="4"/>
  <c r="AX24" i="4" s="1"/>
  <c r="L24" i="4"/>
  <c r="AY24" i="4"/>
  <c r="AZ24" i="4" s="1"/>
  <c r="BC8" i="4"/>
  <c r="AO8" i="4"/>
  <c r="BB8" i="4"/>
  <c r="AR8" i="4"/>
  <c r="AS8" i="4"/>
  <c r="J8" i="4"/>
  <c r="AA32" i="4"/>
  <c r="T32" i="4"/>
  <c r="AW14" i="4"/>
  <c r="AX14" i="4" s="1"/>
  <c r="L14" i="4"/>
  <c r="AZ14" i="4"/>
  <c r="AS35" i="4"/>
  <c r="AO35" i="4"/>
  <c r="AR35" i="4"/>
  <c r="J35" i="4"/>
  <c r="AG35" i="4" s="1"/>
  <c r="J38" i="4"/>
  <c r="AG38" i="4" s="1"/>
  <c r="AO38" i="4"/>
  <c r="J37" i="4"/>
  <c r="AG37" i="4" s="1"/>
  <c r="AO37" i="4"/>
  <c r="AA10" i="4"/>
  <c r="T10" i="4"/>
  <c r="AY40" i="4"/>
  <c r="AZ40" i="4" s="1"/>
  <c r="AX40" i="4"/>
  <c r="L40" i="4"/>
  <c r="AB33" i="4"/>
  <c r="AB40" i="4"/>
  <c r="AS31" i="4"/>
  <c r="AR31" i="4"/>
  <c r="AO31" i="4"/>
  <c r="J31" i="4"/>
  <c r="AG31" i="4" s="1"/>
  <c r="AW27" i="4"/>
  <c r="AX27" i="4" s="1"/>
  <c r="L27" i="4"/>
  <c r="AY27" i="4"/>
  <c r="AZ27" i="4" s="1"/>
  <c r="AA30" i="4"/>
  <c r="AC30" i="4" s="1"/>
  <c r="T30" i="4"/>
  <c r="AS33" i="4"/>
  <c r="AO33" i="4"/>
  <c r="J33" i="4"/>
  <c r="AG33" i="4" s="1"/>
  <c r="AR33" i="4"/>
  <c r="AO34" i="4"/>
  <c r="AS34" i="4"/>
  <c r="AR34" i="4"/>
  <c r="J34" i="4"/>
  <c r="AG34" i="4" s="1"/>
  <c r="AO41" i="4"/>
  <c r="AS41" i="4"/>
  <c r="J41" i="4"/>
  <c r="AG41" i="4" s="1"/>
  <c r="AR41" i="4"/>
  <c r="AB32" i="4"/>
  <c r="J39" i="4"/>
  <c r="AG39" i="4" s="1"/>
  <c r="AO39" i="4"/>
  <c r="AS14" i="4"/>
  <c r="AR14" i="4"/>
  <c r="AO14" i="4"/>
  <c r="J14" i="4"/>
  <c r="AG14" i="4" s="1"/>
  <c r="AS9" i="4"/>
  <c r="AO9" i="4"/>
  <c r="J9" i="4"/>
  <c r="BB9" i="4"/>
  <c r="AR9" i="4"/>
  <c r="BC9" i="4"/>
  <c r="AW13" i="4"/>
  <c r="AX13" i="4" s="1"/>
  <c r="AY13" i="4"/>
  <c r="AZ13" i="4" s="1"/>
  <c r="L13" i="4"/>
  <c r="AW18" i="4"/>
  <c r="AX18" i="4" s="1"/>
  <c r="L18" i="4"/>
  <c r="AY18" i="4"/>
  <c r="AZ18" i="4" s="1"/>
  <c r="AS28" i="4"/>
  <c r="J28" i="4"/>
  <c r="AG28" i="4" s="1"/>
  <c r="AR28" i="4"/>
  <c r="AO28" i="4"/>
  <c r="AO12" i="4"/>
  <c r="AG12" i="4"/>
  <c r="AS12" i="4"/>
  <c r="AR12" i="4"/>
  <c r="AW35" i="4"/>
  <c r="AX35" i="4" s="1"/>
  <c r="L35" i="4"/>
  <c r="AY35" i="4"/>
  <c r="AZ35" i="4" s="1"/>
  <c r="AR7" i="4"/>
  <c r="BC7" i="4"/>
  <c r="AS7" i="4"/>
  <c r="AO7" i="4"/>
  <c r="J7" i="4"/>
  <c r="BB7" i="4"/>
  <c r="AS5" i="4"/>
  <c r="AO5" i="4"/>
  <c r="AR5" i="4"/>
  <c r="J5" i="4"/>
  <c r="BB5" i="4"/>
  <c r="BC5" i="4"/>
  <c r="AB10" i="4"/>
  <c r="AA36" i="4"/>
  <c r="AC36" i="4" s="1"/>
  <c r="T36" i="4"/>
  <c r="BC4" i="4"/>
  <c r="AS4" i="4"/>
  <c r="AO4" i="4"/>
  <c r="BB4" i="4"/>
  <c r="AR4" i="4"/>
  <c r="J4" i="4"/>
  <c r="AW22" i="4"/>
  <c r="AX22" i="4" s="1"/>
  <c r="AY22" i="4"/>
  <c r="AZ22" i="4" s="1"/>
  <c r="L22" i="4"/>
  <c r="AS25" i="4"/>
  <c r="J25" i="4"/>
  <c r="AG25" i="4" s="1"/>
  <c r="AO25" i="4"/>
  <c r="AR25" i="4"/>
  <c r="AS26" i="4"/>
  <c r="J26" i="4"/>
  <c r="AG26" i="4" s="1"/>
  <c r="AO26" i="4"/>
  <c r="AR26" i="4"/>
  <c r="AS16" i="4"/>
  <c r="J16" i="4"/>
  <c r="AG16" i="4" s="1"/>
  <c r="AR16" i="4"/>
  <c r="AO16" i="4"/>
  <c r="AS24" i="4"/>
  <c r="J24" i="4"/>
  <c r="AG24" i="4" s="1"/>
  <c r="AO24" i="4"/>
  <c r="AR24" i="4"/>
  <c r="AW31" i="4"/>
  <c r="AX31" i="4" s="1"/>
  <c r="L31" i="4"/>
  <c r="AY31" i="4"/>
  <c r="AZ31" i="4" s="1"/>
  <c r="J27" i="4"/>
  <c r="AG27" i="4" s="1"/>
  <c r="AO27" i="4"/>
  <c r="AS27" i="4"/>
  <c r="AR27" i="4"/>
  <c r="AS30" i="4"/>
  <c r="AO30" i="4"/>
  <c r="J30" i="4"/>
  <c r="AG30" i="4" s="1"/>
  <c r="AR30" i="4"/>
  <c r="L29" i="4"/>
  <c r="AY29" i="4"/>
  <c r="AZ29" i="4" s="1"/>
  <c r="AW29" i="4"/>
  <c r="AX29" i="4" s="1"/>
  <c r="AA12" i="4"/>
  <c r="AC12" i="4" s="1"/>
  <c r="T12" i="4"/>
  <c r="L6" i="4"/>
  <c r="R6" i="4" s="1"/>
  <c r="Q6" i="4" s="1"/>
  <c r="AW6" i="4"/>
  <c r="AX6" i="4" s="1"/>
  <c r="AY6" i="4"/>
  <c r="AZ6" i="4" s="1"/>
  <c r="AW20" i="4"/>
  <c r="AX20" i="4" s="1"/>
  <c r="L20" i="4"/>
  <c r="AY20" i="4"/>
  <c r="AZ20" i="4" s="1"/>
  <c r="AW4" i="4"/>
  <c r="AX4" i="4" s="1"/>
  <c r="AY4" i="4"/>
  <c r="AZ4" i="4" s="1"/>
  <c r="L4" i="4"/>
  <c r="R4" i="4" s="1"/>
  <c r="Q4" i="4" s="1"/>
  <c r="L19" i="4"/>
  <c r="AY19" i="4"/>
  <c r="AZ19" i="4" s="1"/>
  <c r="AW19" i="4"/>
  <c r="AX19" i="4" s="1"/>
  <c r="AO23" i="4"/>
  <c r="AR23" i="4"/>
  <c r="AS23" i="4"/>
  <c r="J23" i="4"/>
  <c r="AG23" i="4" s="1"/>
  <c r="AR21" i="4"/>
  <c r="AS21" i="4"/>
  <c r="AO21" i="4"/>
  <c r="J21" i="4"/>
  <c r="AG21" i="4" s="1"/>
  <c r="AW17" i="4"/>
  <c r="AX17" i="4" s="1"/>
  <c r="L17" i="4"/>
  <c r="AY17" i="4"/>
  <c r="AZ17" i="4" s="1"/>
  <c r="AY16" i="4"/>
  <c r="AZ16" i="4" s="1"/>
  <c r="L16" i="4"/>
  <c r="AW16" i="4"/>
  <c r="AX16" i="4" s="1"/>
  <c r="AA31" i="4"/>
  <c r="AC31" i="4" s="1"/>
  <c r="T31" i="4"/>
  <c r="AY30" i="4"/>
  <c r="AZ30" i="4" s="1"/>
  <c r="L30" i="4"/>
  <c r="AW30" i="4"/>
  <c r="AX30" i="4" s="1"/>
  <c r="AW33" i="4"/>
  <c r="AX33" i="4" s="1"/>
  <c r="AY33" i="4"/>
  <c r="AZ33" i="4" s="1"/>
  <c r="L33" i="4"/>
  <c r="AS29" i="4"/>
  <c r="AR29" i="4"/>
  <c r="J29" i="4"/>
  <c r="AG29" i="4" s="1"/>
  <c r="AO29" i="4"/>
  <c r="L41" i="4"/>
  <c r="AX41" i="4"/>
  <c r="AY41" i="4"/>
  <c r="AZ41" i="4" s="1"/>
  <c r="AW11" i="4"/>
  <c r="AX11" i="4" s="1"/>
  <c r="L11" i="4"/>
  <c r="AY11" i="4"/>
  <c r="AZ11" i="4" s="1"/>
  <c r="AY28" i="4"/>
  <c r="AZ28" i="4" s="1"/>
  <c r="L28" i="4"/>
  <c r="AW28" i="4"/>
  <c r="AX28" i="4" s="1"/>
  <c r="AS6" i="4"/>
  <c r="BB6" i="4"/>
  <c r="J6" i="4"/>
  <c r="AO6" i="4"/>
  <c r="BC6" i="4"/>
  <c r="AR6" i="4"/>
  <c r="AY36" i="4"/>
  <c r="AZ36" i="4" s="1"/>
  <c r="L36" i="4"/>
  <c r="AX36" i="4"/>
  <c r="AR20" i="4"/>
  <c r="AO20" i="4"/>
  <c r="AS20" i="4"/>
  <c r="J20" i="4"/>
  <c r="AG20" i="4" s="1"/>
  <c r="AO19" i="4"/>
  <c r="AR19" i="4"/>
  <c r="AS19" i="4"/>
  <c r="J19" i="4"/>
  <c r="AG19" i="4" s="1"/>
  <c r="AS22" i="4"/>
  <c r="AR22" i="4"/>
  <c r="J22" i="4"/>
  <c r="AG22" i="4" s="1"/>
  <c r="AO22" i="4"/>
  <c r="AW25" i="4"/>
  <c r="AX25" i="4" s="1"/>
  <c r="L25" i="4"/>
  <c r="AY25" i="4"/>
  <c r="AZ25" i="4" s="1"/>
  <c r="AA21" i="4"/>
  <c r="AC21" i="4" s="1"/>
  <c r="T21" i="4"/>
  <c r="AA26" i="4"/>
  <c r="AC26" i="4" s="1"/>
  <c r="T26" i="4"/>
  <c r="AO17" i="4"/>
  <c r="AS17" i="4"/>
  <c r="J17" i="4"/>
  <c r="AG17" i="4" s="1"/>
  <c r="AR17" i="4"/>
  <c r="AR15" i="4"/>
  <c r="AS15" i="4"/>
  <c r="J15" i="4"/>
  <c r="AG15" i="4" s="1"/>
  <c r="AO15" i="4"/>
  <c r="AA34" i="4"/>
  <c r="AC34" i="4" s="1"/>
  <c r="T34" i="4"/>
  <c r="AB41" i="4"/>
  <c r="J32" i="4"/>
  <c r="AG32" i="4" s="1"/>
  <c r="AR32" i="4"/>
  <c r="AS32" i="4"/>
  <c r="AO32" i="4"/>
  <c r="AX39" i="4"/>
  <c r="L39" i="4"/>
  <c r="AY39" i="4"/>
  <c r="AZ39" i="4" s="1"/>
  <c r="AY9" i="4"/>
  <c r="AZ9" i="4" s="1"/>
  <c r="AW9" i="4"/>
  <c r="AX9" i="4" s="1"/>
  <c r="L9" i="4"/>
  <c r="R9" i="4" s="1"/>
  <c r="Q9" i="4" s="1"/>
  <c r="AO13" i="4"/>
  <c r="AS13" i="4"/>
  <c r="AR13" i="4"/>
  <c r="J13" i="4"/>
  <c r="AG13" i="4" s="1"/>
  <c r="AA18" i="4"/>
  <c r="AC18" i="4" s="1"/>
  <c r="T18" i="4"/>
  <c r="AY12" i="4"/>
  <c r="AZ12" i="4" s="1"/>
  <c r="AW12" i="4"/>
  <c r="AX12" i="4" s="1"/>
  <c r="L12" i="4"/>
  <c r="AA35" i="4"/>
  <c r="AC35" i="4" s="1"/>
  <c r="T35" i="4"/>
  <c r="AW7" i="4"/>
  <c r="AX7" i="4" s="1"/>
  <c r="L7" i="4"/>
  <c r="R7" i="4" s="1"/>
  <c r="Q7" i="4" s="1"/>
  <c r="AY7" i="4"/>
  <c r="AZ7" i="4" s="1"/>
  <c r="L38" i="4"/>
  <c r="AY38" i="4"/>
  <c r="AZ38" i="4" s="1"/>
  <c r="AX38" i="4"/>
  <c r="AX37" i="4"/>
  <c r="L37" i="4"/>
  <c r="AY37" i="4"/>
  <c r="AZ37" i="4" s="1"/>
  <c r="L5" i="4"/>
  <c r="R5" i="4" s="1"/>
  <c r="Q5" i="4" s="1"/>
  <c r="AW5" i="4"/>
  <c r="AX5" i="4" s="1"/>
  <c r="AY5" i="4"/>
  <c r="AZ5" i="4" s="1"/>
  <c r="AW10" i="4"/>
  <c r="AX10" i="4" s="1"/>
  <c r="L10" i="4"/>
  <c r="AY10" i="4"/>
  <c r="AZ10" i="4" s="1"/>
  <c r="J36" i="4"/>
  <c r="AG36" i="4" s="1"/>
  <c r="AR36" i="4"/>
  <c r="AS36" i="4"/>
  <c r="AO36" i="4"/>
  <c r="AA20" i="4"/>
  <c r="AC20" i="4" s="1"/>
  <c r="T20" i="4"/>
  <c r="AA19" i="4"/>
  <c r="AC19" i="4" s="1"/>
  <c r="T19" i="4"/>
  <c r="AW23" i="4"/>
  <c r="AX23" i="4" s="1"/>
  <c r="L23" i="4"/>
  <c r="AY23" i="4"/>
  <c r="AZ23" i="4" s="1"/>
  <c r="AB22" i="4"/>
  <c r="AW21" i="4"/>
  <c r="AX21" i="4" s="1"/>
  <c r="AY21" i="4"/>
  <c r="AZ21" i="4" s="1"/>
  <c r="L21" i="4"/>
  <c r="AW26" i="4"/>
  <c r="AX26" i="4" s="1"/>
  <c r="L26" i="4"/>
  <c r="AY26" i="4"/>
  <c r="AZ26" i="4" s="1"/>
  <c r="AA17" i="4"/>
  <c r="AC17" i="4" s="1"/>
  <c r="T17" i="4"/>
  <c r="AA16" i="4"/>
  <c r="AC16" i="4" s="1"/>
  <c r="T16" i="4"/>
  <c r="AE42" i="4" l="1"/>
  <c r="AD42" i="4"/>
  <c r="BC42" i="4"/>
  <c r="BB42" i="4"/>
  <c r="BA42" i="4"/>
  <c r="W42" i="4"/>
  <c r="R42" i="4"/>
  <c r="Q42" i="4" s="1"/>
  <c r="AC40" i="4"/>
  <c r="AD40" i="4" s="1"/>
  <c r="BA15" i="4"/>
  <c r="BA41" i="4"/>
  <c r="BA33" i="4"/>
  <c r="BA13" i="4"/>
  <c r="BA36" i="4"/>
  <c r="BA11" i="4"/>
  <c r="BA16" i="4"/>
  <c r="BA4" i="4"/>
  <c r="BF4" i="4" s="1"/>
  <c r="AC32" i="4"/>
  <c r="AE32" i="4" s="1"/>
  <c r="AC10" i="4"/>
  <c r="BA25" i="4"/>
  <c r="BA30" i="4"/>
  <c r="BA17" i="4"/>
  <c r="BA37" i="4"/>
  <c r="BA8" i="4"/>
  <c r="BD8" i="4" s="1"/>
  <c r="BA29" i="4"/>
  <c r="BA5" i="4"/>
  <c r="BE5" i="4" s="1"/>
  <c r="AC33" i="4"/>
  <c r="AE33" i="4" s="1"/>
  <c r="BA24" i="4"/>
  <c r="BA32" i="4"/>
  <c r="BA34" i="4"/>
  <c r="AC22" i="4"/>
  <c r="AE22" i="4" s="1"/>
  <c r="AC41" i="4"/>
  <c r="AE41" i="4" s="1"/>
  <c r="BA14" i="4"/>
  <c r="AE16" i="4"/>
  <c r="AD16" i="4"/>
  <c r="AD19" i="4"/>
  <c r="AE19" i="4"/>
  <c r="AE21" i="4"/>
  <c r="AD21" i="4"/>
  <c r="AE31" i="4"/>
  <c r="AD31" i="4"/>
  <c r="AD35" i="4"/>
  <c r="AE35" i="4"/>
  <c r="AE34" i="4"/>
  <c r="AD34" i="4"/>
  <c r="AD17" i="4"/>
  <c r="AE17" i="4"/>
  <c r="AD20" i="4"/>
  <c r="AE20" i="4"/>
  <c r="AE26" i="4"/>
  <c r="AD26" i="4"/>
  <c r="AD12" i="4"/>
  <c r="AE12" i="4"/>
  <c r="AE36" i="4"/>
  <c r="AD36" i="4"/>
  <c r="R23" i="4"/>
  <c r="Q23" i="4" s="1"/>
  <c r="W23" i="4"/>
  <c r="BC20" i="4"/>
  <c r="BB20" i="4"/>
  <c r="BC18" i="4"/>
  <c r="BB18" i="4"/>
  <c r="R33" i="4"/>
  <c r="Q33" i="4" s="1"/>
  <c r="W33" i="4"/>
  <c r="BB31" i="4"/>
  <c r="BC31" i="4"/>
  <c r="W20" i="4"/>
  <c r="R20" i="4"/>
  <c r="Q20" i="4" s="1"/>
  <c r="AU4" i="4"/>
  <c r="AT4" i="4"/>
  <c r="AV4" i="4"/>
  <c r="BC36" i="4"/>
  <c r="BB36" i="4"/>
  <c r="BF36" i="4" s="1"/>
  <c r="AU5" i="4"/>
  <c r="AT5" i="4"/>
  <c r="BF5" i="4"/>
  <c r="AV5" i="4"/>
  <c r="W35" i="4"/>
  <c r="R35" i="4"/>
  <c r="Q35" i="4" s="1"/>
  <c r="W40" i="4"/>
  <c r="R40" i="4"/>
  <c r="Q40" i="4" s="1"/>
  <c r="BB10" i="4"/>
  <c r="BC10" i="4"/>
  <c r="BB35" i="4"/>
  <c r="BC35" i="4"/>
  <c r="AD18" i="4"/>
  <c r="AE18" i="4"/>
  <c r="BC26" i="4"/>
  <c r="BB26" i="4"/>
  <c r="W36" i="4"/>
  <c r="R36" i="4"/>
  <c r="Q36" i="4" s="1"/>
  <c r="R11" i="4"/>
  <c r="Q11" i="4" s="1"/>
  <c r="W11" i="4"/>
  <c r="W29" i="4"/>
  <c r="R29" i="4"/>
  <c r="Q29" i="4" s="1"/>
  <c r="W22" i="4"/>
  <c r="R22" i="4"/>
  <c r="Q22" i="4" s="1"/>
  <c r="AT7" i="4"/>
  <c r="AU7" i="4"/>
  <c r="BF7" i="4"/>
  <c r="AV7" i="4"/>
  <c r="BB30" i="4"/>
  <c r="BC30" i="4"/>
  <c r="R14" i="4"/>
  <c r="Q14" i="4" s="1"/>
  <c r="W14" i="4"/>
  <c r="AT8" i="4"/>
  <c r="AU8" i="4"/>
  <c r="BF8" i="4"/>
  <c r="AV8" i="4"/>
  <c r="W24" i="4"/>
  <c r="W44" i="4" s="1"/>
  <c r="R24" i="4"/>
  <c r="Q24" i="4" s="1"/>
  <c r="W15" i="4"/>
  <c r="R15" i="4"/>
  <c r="Q15" i="4" s="1"/>
  <c r="BC41" i="4"/>
  <c r="BB41" i="4"/>
  <c r="W34" i="4"/>
  <c r="R34" i="4"/>
  <c r="Q34" i="4" s="1"/>
  <c r="BA26" i="4"/>
  <c r="BA21" i="4"/>
  <c r="BB19" i="4"/>
  <c r="BC19" i="4"/>
  <c r="BA10" i="4"/>
  <c r="BA7" i="4"/>
  <c r="R25" i="4"/>
  <c r="Q25" i="4" s="1"/>
  <c r="W25" i="4"/>
  <c r="R28" i="4"/>
  <c r="Q28" i="4" s="1"/>
  <c r="W17" i="4"/>
  <c r="R17" i="4"/>
  <c r="Q17" i="4" s="1"/>
  <c r="BA19" i="4"/>
  <c r="BA31" i="4"/>
  <c r="BA22" i="4"/>
  <c r="BA18" i="4"/>
  <c r="AT9" i="4"/>
  <c r="BA40" i="4"/>
  <c r="BC33" i="4"/>
  <c r="BB33" i="4"/>
  <c r="R30" i="4"/>
  <c r="Q30" i="4" s="1"/>
  <c r="W30" i="4"/>
  <c r="AU9" i="4"/>
  <c r="AV9" i="4"/>
  <c r="BF9" i="4"/>
  <c r="BC16" i="4"/>
  <c r="BB16" i="4"/>
  <c r="W21" i="4"/>
  <c r="R21" i="4"/>
  <c r="Q21" i="4" s="1"/>
  <c r="BA12" i="4"/>
  <c r="BC17" i="4"/>
  <c r="BB17" i="4"/>
  <c r="R26" i="4"/>
  <c r="Q26" i="4" s="1"/>
  <c r="W26" i="4"/>
  <c r="BA23" i="4"/>
  <c r="R10" i="4"/>
  <c r="Q10" i="4" s="1"/>
  <c r="W10" i="4"/>
  <c r="W8" i="4" s="1"/>
  <c r="BA38" i="4"/>
  <c r="R12" i="4"/>
  <c r="Q12" i="4" s="1"/>
  <c r="W12" i="4"/>
  <c r="BA9" i="4"/>
  <c r="BA39" i="4"/>
  <c r="BB34" i="4"/>
  <c r="BC34" i="4"/>
  <c r="BC21" i="4"/>
  <c r="BB21" i="4"/>
  <c r="AU6" i="4"/>
  <c r="AT6" i="4"/>
  <c r="AV6" i="4"/>
  <c r="BF6" i="4"/>
  <c r="BA28" i="4"/>
  <c r="W41" i="4"/>
  <c r="R41" i="4"/>
  <c r="Q41" i="4" s="1"/>
  <c r="W16" i="4"/>
  <c r="R16" i="4"/>
  <c r="Q16" i="4" s="1"/>
  <c r="W19" i="4"/>
  <c r="R19" i="4"/>
  <c r="Q19" i="4" s="1"/>
  <c r="BA20" i="4"/>
  <c r="BA6" i="4"/>
  <c r="BC12" i="4"/>
  <c r="BB12" i="4"/>
  <c r="R31" i="4"/>
  <c r="Q31" i="4" s="1"/>
  <c r="W31" i="4"/>
  <c r="BA35" i="4"/>
  <c r="R18" i="4"/>
  <c r="Q18" i="4" s="1"/>
  <c r="W18" i="4"/>
  <c r="R13" i="4"/>
  <c r="Q13" i="4" s="1"/>
  <c r="W13" i="4"/>
  <c r="BA27" i="4"/>
  <c r="AE30" i="4"/>
  <c r="AD30" i="4"/>
  <c r="BC32" i="4"/>
  <c r="BB32" i="4"/>
  <c r="BC22" i="4"/>
  <c r="BB22" i="4"/>
  <c r="R32" i="4"/>
  <c r="Q32" i="4" s="1"/>
  <c r="W32" i="4"/>
  <c r="BC40" i="4"/>
  <c r="BB40" i="4"/>
  <c r="BF32" i="4" l="1"/>
  <c r="BF12" i="4"/>
  <c r="BE8" i="4"/>
  <c r="BD5" i="4"/>
  <c r="BF20" i="4"/>
  <c r="BF35" i="4"/>
  <c r="BF22" i="4"/>
  <c r="BF40" i="4"/>
  <c r="BF34" i="4"/>
  <c r="BF16" i="4"/>
  <c r="BF33" i="4"/>
  <c r="BF19" i="4"/>
  <c r="BF30" i="4"/>
  <c r="BD4" i="4"/>
  <c r="BF31" i="4"/>
  <c r="BF42" i="4"/>
  <c r="AU42" i="4"/>
  <c r="AT42" i="4"/>
  <c r="AV42" i="4"/>
  <c r="BD42" i="4"/>
  <c r="BE42" i="4"/>
  <c r="S42" i="4"/>
  <c r="AF42" i="4"/>
  <c r="BF17" i="4"/>
  <c r="BF41" i="4"/>
  <c r="BF21" i="4"/>
  <c r="BF26" i="4"/>
  <c r="BF10" i="4"/>
  <c r="BF18" i="4"/>
  <c r="AE40" i="4"/>
  <c r="S40" i="4" s="1"/>
  <c r="AD32" i="4"/>
  <c r="AD33" i="4"/>
  <c r="BE4" i="4"/>
  <c r="BE33" i="4"/>
  <c r="AD22" i="4"/>
  <c r="BE16" i="4"/>
  <c r="AD41" i="4"/>
  <c r="BD17" i="4"/>
  <c r="BE41" i="4"/>
  <c r="BD30" i="4"/>
  <c r="BE34" i="4"/>
  <c r="BE30" i="4"/>
  <c r="BD32" i="4"/>
  <c r="BE31" i="4"/>
  <c r="BD31" i="4"/>
  <c r="BD21" i="4"/>
  <c r="BE21" i="4"/>
  <c r="AU12" i="4"/>
  <c r="AT12" i="4"/>
  <c r="AV12" i="4"/>
  <c r="BD9" i="4"/>
  <c r="BE9" i="4"/>
  <c r="AU16" i="4"/>
  <c r="AT16" i="4"/>
  <c r="AV16" i="4"/>
  <c r="AU33" i="4"/>
  <c r="AT33" i="4"/>
  <c r="AV33" i="4"/>
  <c r="BD40" i="4"/>
  <c r="BE40" i="4"/>
  <c r="BE18" i="4"/>
  <c r="BD18" i="4"/>
  <c r="BD19" i="4"/>
  <c r="BE19" i="4"/>
  <c r="AU19" i="4"/>
  <c r="AT19" i="4"/>
  <c r="AV19" i="4"/>
  <c r="BE26" i="4"/>
  <c r="BD26" i="4"/>
  <c r="AU26" i="4"/>
  <c r="AT26" i="4"/>
  <c r="AV26" i="4"/>
  <c r="S18" i="4"/>
  <c r="AF18" i="4"/>
  <c r="AU36" i="4"/>
  <c r="AT36" i="4"/>
  <c r="AV36" i="4"/>
  <c r="BD16" i="4"/>
  <c r="S36" i="4"/>
  <c r="AF36" i="4"/>
  <c r="AT35" i="4"/>
  <c r="AU35" i="4"/>
  <c r="AV35" i="4"/>
  <c r="AU20" i="4"/>
  <c r="AT20" i="4"/>
  <c r="AV20" i="4"/>
  <c r="S12" i="4"/>
  <c r="AF12" i="4"/>
  <c r="AT40" i="4"/>
  <c r="AU40" i="4"/>
  <c r="AV40" i="4"/>
  <c r="AT22" i="4"/>
  <c r="AU22" i="4"/>
  <c r="AV22" i="4"/>
  <c r="AU32" i="4"/>
  <c r="AT32" i="4"/>
  <c r="AV32" i="4"/>
  <c r="S30" i="4"/>
  <c r="AF30" i="4"/>
  <c r="BD35" i="4"/>
  <c r="BE35" i="4"/>
  <c r="AT21" i="4"/>
  <c r="AU21" i="4"/>
  <c r="AV21" i="4"/>
  <c r="AT17" i="4"/>
  <c r="AU17" i="4"/>
  <c r="AV17" i="4"/>
  <c r="BD12" i="4"/>
  <c r="BE12" i="4"/>
  <c r="AF32" i="4"/>
  <c r="S32" i="4"/>
  <c r="AE10" i="4"/>
  <c r="AD10" i="4"/>
  <c r="BE7" i="4"/>
  <c r="BD7" i="4"/>
  <c r="AT41" i="4"/>
  <c r="AU41" i="4"/>
  <c r="AV41" i="4"/>
  <c r="BD41" i="4"/>
  <c r="BE32" i="4"/>
  <c r="AT10" i="4"/>
  <c r="AU10" i="4"/>
  <c r="AV10" i="4"/>
  <c r="BE36" i="4"/>
  <c r="AT18" i="4"/>
  <c r="AU18" i="4"/>
  <c r="AV18" i="4"/>
  <c r="S17" i="4"/>
  <c r="AF17" i="4"/>
  <c r="BD20" i="4"/>
  <c r="BE20" i="4"/>
  <c r="AF41" i="4"/>
  <c r="S41" i="4"/>
  <c r="S20" i="4"/>
  <c r="AF20" i="4"/>
  <c r="S35" i="4"/>
  <c r="AF35" i="4"/>
  <c r="S19" i="4"/>
  <c r="AF19" i="4"/>
  <c r="BD6" i="4"/>
  <c r="BE6" i="4"/>
  <c r="AT34" i="4"/>
  <c r="AU34" i="4"/>
  <c r="AV34" i="4"/>
  <c r="AF33" i="4"/>
  <c r="S33" i="4"/>
  <c r="BD22" i="4"/>
  <c r="BE22" i="4"/>
  <c r="BE10" i="4"/>
  <c r="BD10" i="4"/>
  <c r="AF22" i="4"/>
  <c r="S22" i="4"/>
  <c r="AT30" i="4"/>
  <c r="AU30" i="4"/>
  <c r="AV30" i="4"/>
  <c r="BE17" i="4"/>
  <c r="BD33" i="4"/>
  <c r="BD34" i="4"/>
  <c r="AT31" i="4"/>
  <c r="AU31" i="4"/>
  <c r="AV31" i="4"/>
  <c r="BD36" i="4"/>
  <c r="AF26" i="4"/>
  <c r="S26" i="4"/>
  <c r="AF34" i="4"/>
  <c r="S34" i="4"/>
  <c r="AF31" i="4"/>
  <c r="S31" i="4"/>
  <c r="AF21" i="4"/>
  <c r="S21" i="4"/>
  <c r="AF16" i="4"/>
  <c r="S16" i="4"/>
  <c r="AF40" i="4" l="1"/>
  <c r="AF10" i="4"/>
  <c r="S10" i="4"/>
  <c r="X11" i="4" l="1"/>
  <c r="T11" i="4" s="1"/>
  <c r="AA11" i="4" l="1"/>
  <c r="BB11" i="4"/>
  <c r="BC11" i="4"/>
  <c r="AB11" i="4"/>
  <c r="BE11" i="4" l="1"/>
  <c r="BF11" i="4"/>
  <c r="AC11" i="4"/>
  <c r="AD11" i="4" s="1"/>
  <c r="AV11" i="4"/>
  <c r="AU11" i="4"/>
  <c r="BD11" i="4"/>
  <c r="AT11" i="4"/>
  <c r="AE11" i="4" l="1"/>
  <c r="AF11" i="4" s="1"/>
  <c r="S11" i="4" l="1"/>
  <c r="W28" i="4" l="1"/>
  <c r="V27" i="4"/>
  <c r="W27" i="4" l="1"/>
  <c r="N27" i="4"/>
  <c r="M27" i="4" l="1"/>
  <c r="R27" i="4"/>
  <c r="Q27" i="4" s="1"/>
  <c r="X38" i="4" l="1"/>
  <c r="T38" i="4" s="1"/>
  <c r="U39" i="4"/>
  <c r="U37" i="4"/>
  <c r="X39" i="4" l="1"/>
  <c r="X37" i="4"/>
  <c r="T39" i="4" l="1"/>
  <c r="T37" i="4"/>
  <c r="N38" i="4" l="1"/>
  <c r="M38" i="4" s="1"/>
  <c r="V39" i="4"/>
  <c r="W39" i="4" s="1"/>
  <c r="W38" i="4"/>
  <c r="V37" i="4"/>
  <c r="N37" i="4" s="1"/>
  <c r="W37" i="4" l="1"/>
  <c r="R37" i="4"/>
  <c r="Q37" i="4" s="1"/>
  <c r="M37" i="4"/>
  <c r="R38" i="4"/>
  <c r="Q38" i="4" s="1"/>
  <c r="N39" i="4"/>
  <c r="M39" i="4" l="1"/>
  <c r="R39" i="4"/>
  <c r="Q39" i="4" s="1"/>
  <c r="AP38" i="4"/>
  <c r="BB38" i="4" s="1"/>
  <c r="AR38" i="4"/>
  <c r="Y39" i="4"/>
  <c r="AP37" i="4"/>
  <c r="BB37" i="4" l="1"/>
  <c r="AR37" i="4"/>
  <c r="AP39" i="4"/>
  <c r="BB39" i="4" l="1"/>
  <c r="AR39" i="4"/>
  <c r="AA38" i="4"/>
  <c r="BC38" i="4"/>
  <c r="AQ38" i="4"/>
  <c r="AS38" i="4" s="1"/>
  <c r="Z39" i="4"/>
  <c r="AA39" i="4" s="1"/>
  <c r="AB38" i="4"/>
  <c r="Z37" i="4"/>
  <c r="AA37" i="4" s="1"/>
  <c r="AU38" i="4" l="1"/>
  <c r="BF38" i="4"/>
  <c r="AB39" i="4"/>
  <c r="AC39" i="4" s="1"/>
  <c r="AC38" i="4"/>
  <c r="AD38" i="4" s="1"/>
  <c r="BE38" i="4"/>
  <c r="AB37" i="4"/>
  <c r="AC37" i="4" s="1"/>
  <c r="AQ37" i="4"/>
  <c r="AV38" i="4"/>
  <c r="BD38" i="4"/>
  <c r="AQ39" i="4"/>
  <c r="AT38" i="4"/>
  <c r="AE38" i="4" l="1"/>
  <c r="AE39" i="4"/>
  <c r="S39" i="4" s="1"/>
  <c r="AD39" i="4"/>
  <c r="AD37" i="4"/>
  <c r="AE37" i="4"/>
  <c r="BC39" i="4"/>
  <c r="BF39" i="4" s="1"/>
  <c r="AS39" i="4"/>
  <c r="AS37" i="4"/>
  <c r="BC37" i="4"/>
  <c r="BF37" i="4" s="1"/>
  <c r="AF38" i="4"/>
  <c r="S38" i="4"/>
  <c r="AF39" i="4" l="1"/>
  <c r="BD39" i="4"/>
  <c r="BE39" i="4"/>
  <c r="AV39" i="4"/>
  <c r="AT39" i="4"/>
  <c r="AU39" i="4"/>
  <c r="S37" i="4"/>
  <c r="AF37" i="4"/>
  <c r="AT37" i="4"/>
  <c r="BE37" i="4"/>
  <c r="AU37" i="4"/>
  <c r="BD37" i="4"/>
  <c r="AV37" i="4"/>
  <c r="X28" i="4"/>
  <c r="AA28" i="4" s="1"/>
  <c r="U29" i="4"/>
  <c r="U27" i="4"/>
  <c r="T28" i="4" l="1"/>
  <c r="AB28" i="4"/>
  <c r="AC28" i="4" s="1"/>
  <c r="X27" i="4"/>
  <c r="X29" i="4"/>
  <c r="AA29" i="4" s="1"/>
  <c r="AD28" i="4" l="1"/>
  <c r="AE28" i="4"/>
  <c r="AB27" i="4"/>
  <c r="T27" i="4"/>
  <c r="AA27" i="4"/>
  <c r="AB29" i="4"/>
  <c r="AC29" i="4" s="1"/>
  <c r="T29" i="4"/>
  <c r="BB28" i="4"/>
  <c r="BC28" i="4"/>
  <c r="BF28" i="4" l="1"/>
  <c r="AV28" i="4"/>
  <c r="BD28" i="4"/>
  <c r="BE28" i="4"/>
  <c r="AU28" i="4"/>
  <c r="AT28" i="4"/>
  <c r="BC29" i="4"/>
  <c r="BB29" i="4"/>
  <c r="BC27" i="4"/>
  <c r="BB27" i="4"/>
  <c r="AD29" i="4"/>
  <c r="AE29" i="4"/>
  <c r="S28" i="4"/>
  <c r="AF28" i="4"/>
  <c r="AC27" i="4"/>
  <c r="BF29" i="4" l="1"/>
  <c r="BF27" i="4"/>
  <c r="BE29" i="4"/>
  <c r="AV29" i="4"/>
  <c r="AU29" i="4"/>
  <c r="AT29" i="4"/>
  <c r="BD29" i="4"/>
  <c r="AE27" i="4"/>
  <c r="AD27" i="4"/>
  <c r="AF29" i="4"/>
  <c r="S29" i="4"/>
  <c r="BE27" i="4"/>
  <c r="AV27" i="4"/>
  <c r="AT27" i="4"/>
  <c r="AU27" i="4"/>
  <c r="BD27" i="4"/>
  <c r="S27" i="4" l="1"/>
  <c r="AF27" i="4"/>
  <c r="X24" i="4"/>
  <c r="T24" i="4" s="1"/>
  <c r="U23" i="4"/>
  <c r="X23" i="4" s="1"/>
  <c r="U25" i="4"/>
  <c r="AB24" i="4" l="1"/>
  <c r="AA24" i="4"/>
  <c r="BC24" i="4"/>
  <c r="BB24" i="4"/>
  <c r="BF24" i="4" s="1"/>
  <c r="T23" i="4"/>
  <c r="AB23" i="4"/>
  <c r="AA23" i="4"/>
  <c r="X25" i="4"/>
  <c r="AC24" i="4" l="1"/>
  <c r="AD24" i="4"/>
  <c r="AE24" i="4"/>
  <c r="AF24" i="4" s="1"/>
  <c r="AC23" i="4"/>
  <c r="AE23" i="4" s="1"/>
  <c r="BD24" i="4"/>
  <c r="AT24" i="4"/>
  <c r="AU24" i="4"/>
  <c r="BE24" i="4"/>
  <c r="AV24" i="4"/>
  <c r="BB23" i="4"/>
  <c r="BC23" i="4"/>
  <c r="T25" i="4"/>
  <c r="AA25" i="4"/>
  <c r="AB25" i="4"/>
  <c r="AD23" i="4" l="1"/>
  <c r="S24" i="4"/>
  <c r="BF23" i="4"/>
  <c r="AV23" i="4"/>
  <c r="BE23" i="4"/>
  <c r="AT23" i="4"/>
  <c r="AU23" i="4"/>
  <c r="BD23" i="4"/>
  <c r="AC25" i="4"/>
  <c r="BB25" i="4"/>
  <c r="BC25" i="4"/>
  <c r="AF23" i="4"/>
  <c r="S23" i="4"/>
  <c r="BF25" i="4" l="1"/>
  <c r="AU25" i="4"/>
  <c r="AT25" i="4"/>
  <c r="BD25" i="4"/>
  <c r="AV25" i="4"/>
  <c r="BE25" i="4"/>
  <c r="AE25" i="4"/>
  <c r="AD25" i="4"/>
  <c r="AF25" i="4" l="1"/>
  <c r="S25" i="4"/>
  <c r="X14" i="4"/>
  <c r="AA14" i="4" s="1"/>
  <c r="U13" i="4"/>
  <c r="X13" i="4" s="1"/>
  <c r="U15" i="4"/>
  <c r="X15" i="4" s="1"/>
  <c r="AB14" i="4" l="1"/>
  <c r="AC14" i="4" s="1"/>
  <c r="AB15" i="4"/>
  <c r="AA15" i="4"/>
  <c r="T15" i="4"/>
  <c r="AA13" i="4"/>
  <c r="T13" i="4"/>
  <c r="AB13" i="4"/>
  <c r="T14" i="4"/>
  <c r="AD14" i="4" l="1"/>
  <c r="AE14" i="4"/>
  <c r="AF14" i="4" s="1"/>
  <c r="AC15" i="4"/>
  <c r="AD15" i="4" s="1"/>
  <c r="BB13" i="4"/>
  <c r="BC13" i="4"/>
  <c r="AC13" i="4"/>
  <c r="BC14" i="4"/>
  <c r="BB14" i="4"/>
  <c r="BB15" i="4"/>
  <c r="BC15" i="4"/>
  <c r="S14" i="4" l="1"/>
  <c r="BF15" i="4"/>
  <c r="AE15" i="4"/>
  <c r="S15" i="4" s="1"/>
  <c r="BF13" i="4"/>
  <c r="BF14" i="4"/>
  <c r="AV13" i="4"/>
  <c r="AU13" i="4"/>
  <c r="BE13" i="4"/>
  <c r="AT13" i="4"/>
  <c r="BD13" i="4"/>
  <c r="AD13" i="4"/>
  <c r="AE13" i="4"/>
  <c r="AT15" i="4"/>
  <c r="BD15" i="4"/>
  <c r="AU15" i="4"/>
  <c r="BE15" i="4"/>
  <c r="AV15" i="4"/>
  <c r="BD14" i="4"/>
  <c r="AU14" i="4"/>
  <c r="AV14" i="4"/>
  <c r="BE14" i="4"/>
  <c r="AT14" i="4"/>
  <c r="AF15" i="4" l="1"/>
  <c r="BH9" i="4"/>
  <c r="BI9" i="4"/>
  <c r="BJ9" i="4"/>
  <c r="D12" i="1" s="1"/>
  <c r="G12" i="1" s="1"/>
  <c r="BH4" i="4"/>
  <c r="AF13" i="4"/>
  <c r="S13" i="4"/>
  <c r="BI4" i="4"/>
  <c r="BJ4" i="4"/>
  <c r="C12" i="1" l="1"/>
  <c r="F12" i="1" s="1"/>
  <c r="BI10" i="4"/>
  <c r="B12" i="1"/>
  <c r="BH10" i="4"/>
  <c r="E12" i="1" l="1"/>
  <c r="I12" i="1" s="1"/>
  <c r="I1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Pedro Mendes</author>
  </authors>
  <commentList>
    <comment ref="AR2" authorId="0" shapeId="0" xr:uid="{2F082350-1563-4E42-8E43-A45D831F4C39}">
      <text>
        <r>
          <rPr>
            <b/>
            <sz val="9"/>
            <color indexed="81"/>
            <rFont val="Tahoma"/>
            <family val="2"/>
          </rPr>
          <t>Pedro Mendes:</t>
        </r>
        <r>
          <rPr>
            <sz val="9"/>
            <color indexed="81"/>
            <rFont val="Tahoma"/>
            <family val="2"/>
          </rPr>
          <t xml:space="preserve">
Equação retirada da folha "CLARK-Y RN_1M".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F4473D9-3405-4C60-A9A8-ECB1B45136A1}" keepAlive="1" name="Query - xf-clarky-il-100000" description="Connection to the 'xf-clarky-il-100000' query in the workbook." type="5" refreshedVersion="6" background="1" saveData="1">
    <dbPr connection="Provider=Microsoft.Mashup.OleDb.1;Data Source=$Workbook$;Location=xf-clarky-il-100000;Extended Properties=&quot;&quot;" command="SELECT * FROM [xf-clarky-il-100000]"/>
  </connection>
  <connection id="2" xr16:uid="{F16478ED-6A09-4D9B-A4DA-C9EAEABAEEF2}" keepAlive="1" name="Query - xf-clarky-il-100000 (2)" description="Connection to the 'xf-clarky-il-100000 (2)' query in the workbook." type="5" refreshedVersion="6" background="1" saveData="1">
    <dbPr connection="Provider=Microsoft.Mashup.OleDb.1;Data Source=$Workbook$;Location=&quot;xf-clarky-il-100000 (2)&quot;;Extended Properties=&quot;&quot;" command="SELECT * FROM [xf-clarky-il-100000 (2)]"/>
  </connection>
  <connection id="3" xr16:uid="{FB611102-CF43-4F9F-8548-A44C3E7466F5}" keepAlive="1" name="Query - xf-clarky-il-1000000" description="Connection to the 'xf-clarky-il-1000000' query in the workbook." type="5" refreshedVersion="6" background="1" saveData="1">
    <dbPr connection="Provider=Microsoft.Mashup.OleDb.1;Data Source=$Workbook$;Location=xf-clarky-il-1000000;Extended Properties=&quot;&quot;" command="SELECT * FROM [xf-clarky-il-1000000]"/>
  </connection>
  <connection id="4" xr16:uid="{B2026CEC-D974-4879-B71D-8CEE80AE9C40}" keepAlive="1" name="Query - xf-clarky-il-1000000 (2)" description="Connection to the 'xf-clarky-il-1000000 (2)' query in the workbook." type="5" refreshedVersion="6" background="1" saveData="1">
    <dbPr connection="Provider=Microsoft.Mashup.OleDb.1;Data Source=$Workbook$;Location=&quot;xf-clarky-il-1000000 (2)&quot;;Extended Properties=&quot;&quot;" command="SELECT * FROM [xf-clarky-il-1000000 (2)]"/>
  </connection>
</connections>
</file>

<file path=xl/sharedStrings.xml><?xml version="1.0" encoding="utf-8"?>
<sst xmlns="http://schemas.openxmlformats.org/spreadsheetml/2006/main" count="181" uniqueCount="105">
  <si>
    <t>RPM</t>
  </si>
  <si>
    <t>No. of elements</t>
  </si>
  <si>
    <t>m</t>
  </si>
  <si>
    <t>r</t>
  </si>
  <si>
    <t>x=r/R</t>
  </si>
  <si>
    <t>ΔA</t>
  </si>
  <si>
    <r>
      <t>m</t>
    </r>
    <r>
      <rPr>
        <vertAlign val="superscript"/>
        <sz val="11"/>
        <color theme="1"/>
        <rFont val="Calibri"/>
        <family val="2"/>
        <scheme val="minor"/>
      </rPr>
      <t>2</t>
    </r>
  </si>
  <si>
    <t>Blade Geometry</t>
  </si>
  <si>
    <t>V</t>
  </si>
  <si>
    <t>m/s</t>
  </si>
  <si>
    <t>Ω∙r</t>
  </si>
  <si>
    <t>M</t>
  </si>
  <si>
    <t>Airspeed Components</t>
  </si>
  <si>
    <t>rad</t>
  </si>
  <si>
    <t>deg</t>
  </si>
  <si>
    <t>Flow Angles</t>
  </si>
  <si>
    <t>φ</t>
  </si>
  <si>
    <t>β</t>
  </si>
  <si>
    <t>Re</t>
  </si>
  <si>
    <t>Cl</t>
  </si>
  <si>
    <t>Cd</t>
  </si>
  <si>
    <t>dL</t>
  </si>
  <si>
    <t>dD</t>
  </si>
  <si>
    <t>dT</t>
  </si>
  <si>
    <t>dQ</t>
  </si>
  <si>
    <t>dP</t>
  </si>
  <si>
    <t>N</t>
  </si>
  <si>
    <t>Nm</t>
  </si>
  <si>
    <t>W</t>
  </si>
  <si>
    <t>Lift and Drag Coefficient</t>
  </si>
  <si>
    <t>Blade Element Differentials</t>
  </si>
  <si>
    <r>
      <t>V</t>
    </r>
    <r>
      <rPr>
        <b/>
        <vertAlign val="subscript"/>
        <sz val="11"/>
        <color theme="1"/>
        <rFont val="Calibri"/>
        <family val="2"/>
      </rPr>
      <t>R</t>
    </r>
  </si>
  <si>
    <t>Forward Speed</t>
  </si>
  <si>
    <t>Diameter</t>
  </si>
  <si>
    <t>in</t>
  </si>
  <si>
    <t>Geometric Pitch</t>
  </si>
  <si>
    <t>Hub Diameter</t>
  </si>
  <si>
    <t>Altitude</t>
  </si>
  <si>
    <t>Tip Radius</t>
  </si>
  <si>
    <t>Sound Speed</t>
  </si>
  <si>
    <t>rad/s</t>
  </si>
  <si>
    <t>Calc</t>
  </si>
  <si>
    <t>ft</t>
  </si>
  <si>
    <t>out</t>
  </si>
  <si>
    <t>Km/h</t>
  </si>
  <si>
    <t>KTS</t>
  </si>
  <si>
    <t>Tip pitch</t>
  </si>
  <si>
    <t>Hub pitch</t>
  </si>
  <si>
    <t>ρ/μ</t>
  </si>
  <si>
    <t>kg/Nms</t>
  </si>
  <si>
    <t>Air density ρ</t>
  </si>
  <si>
    <r>
      <t>kg/m</t>
    </r>
    <r>
      <rPr>
        <vertAlign val="superscript"/>
        <sz val="11"/>
        <color theme="1"/>
        <rFont val="Calibri"/>
        <family val="2"/>
        <scheme val="minor"/>
      </rPr>
      <t>3</t>
    </r>
  </si>
  <si>
    <t>Air viscosity μ</t>
  </si>
  <si>
    <r>
      <t>N</t>
    </r>
    <r>
      <rPr>
        <sz val="11"/>
        <color theme="1"/>
        <rFont val="Calibri"/>
        <family val="2"/>
      </rPr>
      <t>∙s/m</t>
    </r>
    <r>
      <rPr>
        <vertAlign val="superscript"/>
        <sz val="11"/>
        <color theme="1"/>
        <rFont val="Calibri"/>
        <family val="2"/>
        <scheme val="minor"/>
      </rPr>
      <t>2</t>
    </r>
  </si>
  <si>
    <t>Air Temp</t>
  </si>
  <si>
    <t>ºC</t>
  </si>
  <si>
    <t>Lbf</t>
  </si>
  <si>
    <r>
      <t>α</t>
    </r>
    <r>
      <rPr>
        <b/>
        <vertAlign val="subscript"/>
        <sz val="11"/>
        <color theme="1"/>
        <rFont val="Calibri"/>
        <family val="2"/>
      </rPr>
      <t>i</t>
    </r>
  </si>
  <si>
    <t>Number of Blades</t>
  </si>
  <si>
    <t>Totals</t>
  </si>
  <si>
    <t>T</t>
  </si>
  <si>
    <t>Q</t>
  </si>
  <si>
    <t>P</t>
  </si>
  <si>
    <t>ISA</t>
  </si>
  <si>
    <t>Input</t>
  </si>
  <si>
    <t>Output</t>
  </si>
  <si>
    <r>
      <t>C</t>
    </r>
    <r>
      <rPr>
        <b/>
        <vertAlign val="subscript"/>
        <sz val="11"/>
        <color theme="1"/>
        <rFont val="Calibri"/>
        <family val="2"/>
        <scheme val="minor"/>
      </rPr>
      <t>P</t>
    </r>
  </si>
  <si>
    <r>
      <t>C</t>
    </r>
    <r>
      <rPr>
        <b/>
        <vertAlign val="subscript"/>
        <sz val="11"/>
        <color theme="1"/>
        <rFont val="Calibri"/>
        <family val="2"/>
        <scheme val="minor"/>
      </rPr>
      <t>T</t>
    </r>
  </si>
  <si>
    <r>
      <t>C</t>
    </r>
    <r>
      <rPr>
        <b/>
        <vertAlign val="subscript"/>
        <sz val="11"/>
        <color theme="1"/>
        <rFont val="Calibri"/>
        <family val="2"/>
        <scheme val="minor"/>
      </rPr>
      <t>Q</t>
    </r>
  </si>
  <si>
    <t>RPS (n)</t>
  </si>
  <si>
    <r>
      <t>Angular Velocity (</t>
    </r>
    <r>
      <rPr>
        <b/>
        <sz val="11"/>
        <color theme="1"/>
        <rFont val="Calibri"/>
        <family val="2"/>
      </rPr>
      <t>Ω)</t>
    </r>
  </si>
  <si>
    <r>
      <t>Element width (</t>
    </r>
    <r>
      <rPr>
        <b/>
        <sz val="11"/>
        <color theme="1"/>
        <rFont val="Calibri"/>
        <family val="2"/>
      </rPr>
      <t>Δr</t>
    </r>
    <r>
      <rPr>
        <b/>
        <sz val="11"/>
        <color theme="1"/>
        <rFont val="Calibri"/>
        <family val="2"/>
        <scheme val="minor"/>
      </rPr>
      <t>)</t>
    </r>
  </si>
  <si>
    <t>Advance Ratio (J)</t>
  </si>
  <si>
    <r>
      <t>Propeller Efficiency (</t>
    </r>
    <r>
      <rPr>
        <b/>
        <sz val="11"/>
        <color theme="1"/>
        <rFont val="Calibri"/>
        <family val="2"/>
      </rPr>
      <t>η</t>
    </r>
    <r>
      <rPr>
        <b/>
        <vertAlign val="subscript"/>
        <sz val="11"/>
        <color theme="1"/>
        <rFont val="Calibri"/>
        <family val="2"/>
      </rPr>
      <t>p</t>
    </r>
    <r>
      <rPr>
        <b/>
        <sz val="11"/>
        <color theme="1"/>
        <rFont val="Calibri"/>
        <family val="2"/>
        <scheme val="minor"/>
      </rPr>
      <t>)</t>
    </r>
  </si>
  <si>
    <r>
      <t>Pitch (</t>
    </r>
    <r>
      <rPr>
        <b/>
        <sz val="11"/>
        <color theme="1"/>
        <rFont val="Calibri"/>
        <family val="2"/>
      </rPr>
      <t>β</t>
    </r>
    <r>
      <rPr>
        <b/>
        <vertAlign val="subscript"/>
        <sz val="11"/>
        <color theme="1"/>
        <rFont val="Calibri"/>
        <family val="2"/>
      </rPr>
      <t>75%</t>
    </r>
    <r>
      <rPr>
        <b/>
        <sz val="11"/>
        <color theme="1"/>
        <rFont val="Calibri"/>
        <family val="2"/>
        <scheme val="minor"/>
      </rPr>
      <t>)</t>
    </r>
  </si>
  <si>
    <t>Prandtl's Tip and Hub Loss Correction</t>
  </si>
  <si>
    <r>
      <t>P</t>
    </r>
    <r>
      <rPr>
        <b/>
        <vertAlign val="subscript"/>
        <sz val="11"/>
        <color theme="1"/>
        <rFont val="Calibri"/>
        <family val="2"/>
        <scheme val="minor"/>
      </rPr>
      <t>tip</t>
    </r>
  </si>
  <si>
    <r>
      <t>F</t>
    </r>
    <r>
      <rPr>
        <b/>
        <vertAlign val="subscript"/>
        <sz val="11"/>
        <color theme="1"/>
        <rFont val="Calibri"/>
        <family val="2"/>
        <scheme val="minor"/>
      </rPr>
      <t>tip</t>
    </r>
  </si>
  <si>
    <r>
      <t>P</t>
    </r>
    <r>
      <rPr>
        <b/>
        <vertAlign val="subscript"/>
        <sz val="11"/>
        <color theme="1"/>
        <rFont val="Calibri"/>
        <family val="2"/>
        <scheme val="minor"/>
      </rPr>
      <t>hub</t>
    </r>
  </si>
  <si>
    <r>
      <t>F</t>
    </r>
    <r>
      <rPr>
        <b/>
        <vertAlign val="subscript"/>
        <sz val="11"/>
        <color theme="1"/>
        <rFont val="Calibri"/>
        <family val="2"/>
        <scheme val="minor"/>
      </rPr>
      <t>hub</t>
    </r>
  </si>
  <si>
    <r>
      <t>F</t>
    </r>
    <r>
      <rPr>
        <b/>
        <vertAlign val="subscript"/>
        <sz val="11"/>
        <color theme="1"/>
        <rFont val="Calibri"/>
        <family val="2"/>
        <scheme val="minor"/>
      </rPr>
      <t>P</t>
    </r>
  </si>
  <si>
    <t>Totals (Prandtl Corrected)</t>
  </si>
  <si>
    <t>b</t>
  </si>
  <si>
    <t>HUB x</t>
  </si>
  <si>
    <t>Torsion parameters</t>
  </si>
  <si>
    <t xml:space="preserve">CLARK-Y </t>
  </si>
  <si>
    <t xml:space="preserve">E63        </t>
  </si>
  <si>
    <t>α=β-φ</t>
  </si>
  <si>
    <t>c(x)</t>
  </si>
  <si>
    <t>k</t>
  </si>
  <si>
    <t>Blade Element Differentials (Prandtl)</t>
  </si>
  <si>
    <r>
      <rPr>
        <sz val="11"/>
        <color theme="1"/>
        <rFont val="Calibri"/>
        <family val="2"/>
      </rPr>
      <t>α</t>
    </r>
    <r>
      <rPr>
        <sz val="9.35"/>
        <color theme="1"/>
        <rFont val="Calibri"/>
        <family val="2"/>
      </rPr>
      <t>i=tan(w/Ve)</t>
    </r>
  </si>
  <si>
    <t>w</t>
  </si>
  <si>
    <t>VE</t>
  </si>
  <si>
    <t>f(w)</t>
  </si>
  <si>
    <t>f'(w)</t>
  </si>
  <si>
    <t>DIFERENÇA</t>
  </si>
  <si>
    <t>final iteraction</t>
  </si>
  <si>
    <t>αi(0)</t>
  </si>
  <si>
    <t>α(0)</t>
  </si>
  <si>
    <t>w(1)</t>
  </si>
  <si>
    <t>w(0)</t>
  </si>
  <si>
    <t>αi(1)</t>
  </si>
  <si>
    <t>MACH</t>
  </si>
  <si>
    <t>Iteractions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</si>
</sst>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00"/>
    <numFmt numFmtId="165" formatCode="0.0000"/>
    <numFmt numFmtId="166" formatCode="0.00000"/>
    <numFmt numFmtId="167" formatCode="0.0"/>
    <numFmt numFmtId="168" formatCode="0.0000E+00"/>
    <numFmt numFmtId="169" formatCode="0.00000000"/>
    <numFmt numFmtId="170" formatCode="0.00000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vertAlign val="superscript"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</font>
    <font>
      <b/>
      <vertAlign val="subscript"/>
      <sz val="11"/>
      <color theme="1"/>
      <name val="Calibri"/>
      <family val="2"/>
    </font>
    <font>
      <b/>
      <sz val="12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sz val="9.35"/>
      <color theme="1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double">
        <color indexed="64"/>
      </right>
      <top style="thin">
        <color auto="1"/>
      </top>
      <bottom/>
      <diagonal/>
    </border>
    <border>
      <left style="thin">
        <color auto="1"/>
      </left>
      <right style="double">
        <color indexed="64"/>
      </right>
      <top/>
      <bottom style="thin">
        <color auto="1"/>
      </bottom>
      <diagonal/>
    </border>
    <border>
      <left/>
      <right style="double">
        <color indexed="64"/>
      </right>
      <top/>
      <bottom/>
      <diagonal/>
    </border>
    <border>
      <left style="thin">
        <color auto="1"/>
      </left>
      <right style="double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74">
    <xf numFmtId="0" fontId="0" fillId="0" borderId="0" xfId="0"/>
    <xf numFmtId="0" fontId="4" fillId="0" borderId="0" xfId="0" applyFont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5" fillId="5" borderId="8" xfId="0" applyFont="1" applyFill="1" applyBorder="1" applyAlignment="1">
      <alignment horizontal="center" vertical="center"/>
    </xf>
    <xf numFmtId="0" fontId="0" fillId="9" borderId="0" xfId="0" applyFill="1"/>
    <xf numFmtId="0" fontId="4" fillId="7" borderId="9" xfId="0" applyFont="1" applyFill="1" applyBorder="1" applyAlignment="1">
      <alignment horizontal="center" vertical="center"/>
    </xf>
    <xf numFmtId="0" fontId="3" fillId="5" borderId="10" xfId="0" applyFont="1" applyFill="1" applyBorder="1" applyAlignment="1">
      <alignment horizontal="center" vertical="center"/>
    </xf>
    <xf numFmtId="0" fontId="0" fillId="7" borderId="11" xfId="0" applyFill="1" applyBorder="1" applyAlignment="1">
      <alignment horizontal="center" vertical="center"/>
    </xf>
    <xf numFmtId="0" fontId="5" fillId="5" borderId="12" xfId="0" applyFont="1" applyFill="1" applyBorder="1" applyAlignment="1">
      <alignment horizontal="center" vertical="center"/>
    </xf>
    <xf numFmtId="0" fontId="8" fillId="8" borderId="2" xfId="0" applyFont="1" applyFill="1" applyBorder="1" applyAlignment="1">
      <alignment horizontal="center" vertical="center"/>
    </xf>
    <xf numFmtId="0" fontId="8" fillId="6" borderId="2" xfId="0" applyFont="1" applyFill="1" applyBorder="1" applyAlignment="1">
      <alignment horizontal="center" vertical="center"/>
    </xf>
    <xf numFmtId="0" fontId="4" fillId="7" borderId="13" xfId="0" applyFont="1" applyFill="1" applyBorder="1" applyAlignment="1">
      <alignment horizontal="center" vertical="center"/>
    </xf>
    <xf numFmtId="0" fontId="3" fillId="5" borderId="14" xfId="0" applyFont="1" applyFill="1" applyBorder="1" applyAlignment="1">
      <alignment horizontal="center" vertical="center"/>
    </xf>
    <xf numFmtId="0" fontId="0" fillId="7" borderId="15" xfId="0" applyFill="1" applyBorder="1" applyAlignment="1">
      <alignment horizontal="center" vertical="center"/>
    </xf>
    <xf numFmtId="0" fontId="5" fillId="5" borderId="16" xfId="0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0" fontId="4" fillId="4" borderId="17" xfId="0" applyFont="1" applyFill="1" applyBorder="1" applyAlignment="1">
      <alignment horizontal="center" vertical="center"/>
    </xf>
    <xf numFmtId="0" fontId="4" fillId="4" borderId="19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0" fillId="7" borderId="21" xfId="0" applyFill="1" applyBorder="1" applyAlignment="1">
      <alignment horizontal="center" vertical="center"/>
    </xf>
    <xf numFmtId="0" fontId="5" fillId="5" borderId="22" xfId="0" applyFont="1" applyFill="1" applyBorder="1" applyAlignment="1">
      <alignment horizontal="center" vertical="center"/>
    </xf>
    <xf numFmtId="0" fontId="11" fillId="7" borderId="9" xfId="0" applyFont="1" applyFill="1" applyBorder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0" fontId="0" fillId="4" borderId="3" xfId="0" applyFont="1" applyFill="1" applyBorder="1" applyAlignment="1">
      <alignment horizontal="center" vertical="center"/>
    </xf>
    <xf numFmtId="0" fontId="0" fillId="4" borderId="18" xfId="0" applyFont="1" applyFill="1" applyBorder="1" applyAlignment="1">
      <alignment horizontal="center" vertical="center"/>
    </xf>
    <xf numFmtId="0" fontId="4" fillId="4" borderId="20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0" fillId="4" borderId="7" xfId="0" applyFont="1" applyFill="1" applyBorder="1" applyAlignment="1">
      <alignment horizontal="center" vertical="center"/>
    </xf>
    <xf numFmtId="0" fontId="0" fillId="13" borderId="0" xfId="0" applyFill="1" applyAlignment="1"/>
    <xf numFmtId="0" fontId="4" fillId="12" borderId="0" xfId="0" applyFont="1" applyFill="1" applyAlignment="1">
      <alignment horizontal="center"/>
    </xf>
    <xf numFmtId="0" fontId="4" fillId="9" borderId="0" xfId="0" applyFont="1" applyFill="1" applyAlignment="1"/>
    <xf numFmtId="0" fontId="0" fillId="9" borderId="0" xfId="0" applyFill="1" applyAlignment="1"/>
    <xf numFmtId="0" fontId="4" fillId="11" borderId="0" xfId="0" applyFont="1" applyFill="1" applyBorder="1" applyAlignment="1">
      <alignment horizontal="center" vertical="center"/>
    </xf>
    <xf numFmtId="0" fontId="0" fillId="11" borderId="0" xfId="0" applyFont="1" applyFill="1" applyBorder="1" applyAlignment="1">
      <alignment horizontal="center" vertical="center"/>
    </xf>
    <xf numFmtId="0" fontId="0" fillId="11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/>
    </xf>
    <xf numFmtId="0" fontId="0" fillId="2" borderId="20" xfId="0" applyFont="1" applyFill="1" applyBorder="1" applyAlignment="1">
      <alignment horizontal="center" vertical="center"/>
    </xf>
    <xf numFmtId="0" fontId="4" fillId="2" borderId="24" xfId="0" applyFont="1" applyFill="1" applyBorder="1" applyAlignment="1">
      <alignment horizontal="center" vertical="center"/>
    </xf>
    <xf numFmtId="0" fontId="0" fillId="2" borderId="25" xfId="0" applyFont="1" applyFill="1" applyBorder="1" applyAlignment="1">
      <alignment horizontal="center" vertical="center"/>
    </xf>
    <xf numFmtId="164" fontId="0" fillId="0" borderId="26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14" borderId="1" xfId="0" applyFill="1" applyBorder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1" fontId="0" fillId="14" borderId="1" xfId="0" applyNumberFormat="1" applyFill="1" applyBorder="1" applyAlignment="1">
      <alignment horizontal="center" vertical="center"/>
    </xf>
    <xf numFmtId="2" fontId="0" fillId="15" borderId="1" xfId="0" applyNumberFormat="1" applyFill="1" applyBorder="1" applyAlignment="1">
      <alignment horizontal="center" vertical="center"/>
    </xf>
    <xf numFmtId="167" fontId="0" fillId="15" borderId="1" xfId="0" applyNumberFormat="1" applyFill="1" applyBorder="1" applyAlignment="1">
      <alignment horizontal="center" vertical="center"/>
    </xf>
    <xf numFmtId="11" fontId="0" fillId="15" borderId="1" xfId="0" applyNumberFormat="1" applyFill="1" applyBorder="1" applyAlignment="1">
      <alignment horizontal="center" vertical="center"/>
    </xf>
    <xf numFmtId="168" fontId="0" fillId="15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3" fontId="4" fillId="0" borderId="0" xfId="0" applyNumberFormat="1" applyFont="1" applyAlignment="1">
      <alignment horizontal="right" vertical="center"/>
    </xf>
    <xf numFmtId="164" fontId="4" fillId="0" borderId="0" xfId="0" applyNumberFormat="1" applyFont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5" fontId="0" fillId="0" borderId="0" xfId="0" applyNumberFormat="1" applyBorder="1" applyAlignment="1">
      <alignment horizontal="center" vertical="center"/>
    </xf>
    <xf numFmtId="166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7" fontId="0" fillId="0" borderId="0" xfId="0" applyNumberFormat="1" applyBorder="1" applyAlignment="1">
      <alignment horizontal="center" vertical="center"/>
    </xf>
    <xf numFmtId="164" fontId="4" fillId="0" borderId="0" xfId="0" applyNumberFormat="1" applyFont="1" applyBorder="1" applyAlignment="1">
      <alignment horizontal="center" vertical="center"/>
    </xf>
    <xf numFmtId="3" fontId="4" fillId="0" borderId="0" xfId="0" applyNumberFormat="1" applyFont="1" applyBorder="1" applyAlignment="1">
      <alignment horizontal="right" vertical="center"/>
    </xf>
    <xf numFmtId="0" fontId="0" fillId="10" borderId="0" xfId="0" applyFill="1" applyBorder="1" applyAlignment="1">
      <alignment horizontal="center" vertical="center"/>
    </xf>
    <xf numFmtId="165" fontId="0" fillId="0" borderId="0" xfId="0" applyNumberFormat="1" applyFill="1" applyBorder="1" applyAlignment="1">
      <alignment horizontal="center" vertical="center"/>
    </xf>
    <xf numFmtId="164" fontId="0" fillId="0" borderId="0" xfId="0" applyNumberForma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0" fillId="16" borderId="0" xfId="0" applyFill="1"/>
    <xf numFmtId="0" fontId="0" fillId="2" borderId="0" xfId="0" applyFill="1"/>
    <xf numFmtId="165" fontId="0" fillId="2" borderId="0" xfId="0" applyNumberFormat="1" applyFill="1" applyBorder="1" applyAlignment="1">
      <alignment horizontal="center" vertical="center"/>
    </xf>
    <xf numFmtId="166" fontId="0" fillId="2" borderId="0" xfId="0" applyNumberForma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164" fontId="0" fillId="2" borderId="0" xfId="0" applyNumberFormat="1" applyFill="1" applyBorder="1" applyAlignment="1">
      <alignment horizontal="center" vertical="center"/>
    </xf>
    <xf numFmtId="167" fontId="0" fillId="2" borderId="0" xfId="0" applyNumberFormat="1" applyFill="1" applyBorder="1" applyAlignment="1">
      <alignment horizontal="center" vertical="center"/>
    </xf>
    <xf numFmtId="164" fontId="4" fillId="2" borderId="0" xfId="0" applyNumberFormat="1" applyFont="1" applyFill="1" applyBorder="1" applyAlignment="1">
      <alignment horizontal="center" vertical="center"/>
    </xf>
    <xf numFmtId="3" fontId="4" fillId="2" borderId="0" xfId="0" applyNumberFormat="1" applyFont="1" applyFill="1" applyBorder="1" applyAlignment="1">
      <alignment horizontal="right" vertical="center"/>
    </xf>
    <xf numFmtId="164" fontId="0" fillId="2" borderId="26" xfId="0" applyNumberForma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165" fontId="0" fillId="2" borderId="29" xfId="0" applyNumberFormat="1" applyFill="1" applyBorder="1" applyAlignment="1">
      <alignment horizontal="center" vertical="center"/>
    </xf>
    <xf numFmtId="166" fontId="0" fillId="2" borderId="29" xfId="0" applyNumberFormat="1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164" fontId="0" fillId="2" borderId="29" xfId="0" applyNumberFormat="1" applyFill="1" applyBorder="1" applyAlignment="1">
      <alignment horizontal="center" vertical="center"/>
    </xf>
    <xf numFmtId="167" fontId="0" fillId="2" borderId="29" xfId="0" applyNumberFormat="1" applyFill="1" applyBorder="1" applyAlignment="1">
      <alignment horizontal="center" vertical="center"/>
    </xf>
    <xf numFmtId="164" fontId="4" fillId="2" borderId="29" xfId="0" applyNumberFormat="1" applyFont="1" applyFill="1" applyBorder="1" applyAlignment="1">
      <alignment horizontal="center" vertical="center"/>
    </xf>
    <xf numFmtId="3" fontId="4" fillId="2" borderId="29" xfId="0" applyNumberFormat="1" applyFont="1" applyFill="1" applyBorder="1" applyAlignment="1">
      <alignment horizontal="right" vertical="center"/>
    </xf>
    <xf numFmtId="164" fontId="0" fillId="2" borderId="30" xfId="0" applyNumberForma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165" fontId="0" fillId="2" borderId="0" xfId="0" applyNumberFormat="1" applyFill="1" applyAlignment="1">
      <alignment horizontal="center" vertical="center"/>
    </xf>
    <xf numFmtId="166" fontId="0" fillId="2" borderId="0" xfId="0" applyNumberFormat="1" applyFill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167" fontId="0" fillId="2" borderId="0" xfId="0" applyNumberFormat="1" applyFill="1" applyAlignment="1">
      <alignment horizontal="center" vertical="center"/>
    </xf>
    <xf numFmtId="164" fontId="4" fillId="2" borderId="0" xfId="0" applyNumberFormat="1" applyFont="1" applyFill="1" applyAlignment="1">
      <alignment horizontal="center" vertical="center"/>
    </xf>
    <xf numFmtId="3" fontId="4" fillId="2" borderId="0" xfId="0" applyNumberFormat="1" applyFont="1" applyFill="1" applyAlignment="1">
      <alignment horizontal="right" vertical="center"/>
    </xf>
    <xf numFmtId="0" fontId="4" fillId="2" borderId="1" xfId="0" applyFont="1" applyFill="1" applyBorder="1" applyAlignment="1">
      <alignment vertical="center"/>
    </xf>
    <xf numFmtId="0" fontId="4" fillId="2" borderId="4" xfId="0" applyFont="1" applyFill="1" applyBorder="1" applyAlignment="1">
      <alignment vertical="center"/>
    </xf>
    <xf numFmtId="0" fontId="4" fillId="2" borderId="6" xfId="0" applyFont="1" applyFill="1" applyBorder="1" applyAlignment="1">
      <alignment vertical="center"/>
    </xf>
    <xf numFmtId="0" fontId="4" fillId="2" borderId="5" xfId="0" applyFont="1" applyFill="1" applyBorder="1" applyAlignment="1">
      <alignment vertical="center"/>
    </xf>
    <xf numFmtId="0" fontId="4" fillId="2" borderId="27" xfId="0" applyFont="1" applyFill="1" applyBorder="1" applyAlignment="1">
      <alignment vertical="center"/>
    </xf>
    <xf numFmtId="0" fontId="4" fillId="2" borderId="0" xfId="0" applyFont="1" applyFill="1" applyBorder="1" applyAlignment="1">
      <alignment vertical="center"/>
    </xf>
    <xf numFmtId="0" fontId="0" fillId="2" borderId="7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167" fontId="0" fillId="0" borderId="0" xfId="0" applyNumberFormat="1" applyFill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7" borderId="0" xfId="0" applyFill="1"/>
    <xf numFmtId="0" fontId="0" fillId="7" borderId="7" xfId="0" applyFont="1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164" fontId="0" fillId="7" borderId="0" xfId="0" applyNumberFormat="1" applyFill="1" applyBorder="1" applyAlignment="1">
      <alignment horizontal="center" vertical="center"/>
    </xf>
    <xf numFmtId="0" fontId="0" fillId="0" borderId="31" xfId="0" applyFill="1" applyBorder="1" applyAlignment="1">
      <alignment horizontal="center" vertical="center"/>
    </xf>
    <xf numFmtId="0" fontId="0" fillId="17" borderId="19" xfId="0" applyFill="1" applyBorder="1" applyAlignment="1">
      <alignment horizontal="center" vertical="center"/>
    </xf>
    <xf numFmtId="0" fontId="0" fillId="17" borderId="23" xfId="0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0" fontId="0" fillId="17" borderId="20" xfId="0" applyFill="1" applyBorder="1" applyAlignment="1">
      <alignment horizontal="center" vertical="center"/>
    </xf>
    <xf numFmtId="0" fontId="0" fillId="17" borderId="0" xfId="0" applyFill="1"/>
    <xf numFmtId="0" fontId="0" fillId="17" borderId="7" xfId="0" applyFont="1" applyFill="1" applyBorder="1" applyAlignment="1">
      <alignment horizontal="center" vertical="center"/>
    </xf>
    <xf numFmtId="0" fontId="0" fillId="17" borderId="0" xfId="0" applyFill="1" applyAlignment="1">
      <alignment horizontal="center"/>
    </xf>
    <xf numFmtId="0" fontId="0" fillId="18" borderId="0" xfId="0" applyFill="1"/>
    <xf numFmtId="0" fontId="0" fillId="18" borderId="0" xfId="0" applyFill="1" applyAlignment="1">
      <alignment horizontal="center" vertical="center"/>
    </xf>
    <xf numFmtId="167" fontId="0" fillId="0" borderId="0" xfId="0" applyNumberFormat="1"/>
    <xf numFmtId="169" fontId="0" fillId="0" borderId="0" xfId="0" applyNumberFormat="1"/>
    <xf numFmtId="170" fontId="0" fillId="2" borderId="0" xfId="0" applyNumberFormat="1" applyFill="1" applyAlignment="1">
      <alignment horizontal="center" vertical="center"/>
    </xf>
    <xf numFmtId="166" fontId="0" fillId="0" borderId="0" xfId="0" applyNumberFormat="1"/>
    <xf numFmtId="164" fontId="0" fillId="0" borderId="32" xfId="0" applyNumberFormat="1" applyFill="1" applyBorder="1" applyAlignment="1">
      <alignment horizontal="center" vertical="center"/>
    </xf>
    <xf numFmtId="0" fontId="0" fillId="7" borderId="29" xfId="0" applyFill="1" applyBorder="1" applyAlignment="1">
      <alignment horizontal="center" vertical="center"/>
    </xf>
    <xf numFmtId="167" fontId="0" fillId="0" borderId="29" xfId="0" applyNumberFormat="1" applyFill="1" applyBorder="1" applyAlignment="1">
      <alignment horizontal="center" vertical="center"/>
    </xf>
    <xf numFmtId="0" fontId="0" fillId="18" borderId="29" xfId="0" applyFill="1" applyBorder="1" applyAlignment="1">
      <alignment horizontal="center" vertical="center"/>
    </xf>
    <xf numFmtId="0" fontId="0" fillId="2" borderId="0" xfId="0" applyFill="1" applyBorder="1" applyAlignment="1">
      <alignment vertical="center"/>
    </xf>
    <xf numFmtId="0" fontId="0" fillId="14" borderId="0" xfId="0" applyFill="1" applyAlignment="1">
      <alignment horizontal="center" vertical="center"/>
    </xf>
    <xf numFmtId="0" fontId="11" fillId="9" borderId="0" xfId="0" applyFont="1" applyFill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23" xfId="0" applyFont="1" applyFill="1" applyBorder="1" applyAlignment="1">
      <alignment horizontal="center" vertical="center"/>
    </xf>
    <xf numFmtId="0" fontId="4" fillId="4" borderId="20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15" borderId="28" xfId="0" applyFont="1" applyFill="1" applyBorder="1" applyAlignment="1">
      <alignment horizontal="center" vertical="center"/>
    </xf>
    <xf numFmtId="0" fontId="4" fillId="15" borderId="18" xfId="0" applyFont="1" applyFill="1" applyBorder="1" applyAlignment="1">
      <alignment horizontal="center" vertical="center"/>
    </xf>
    <xf numFmtId="0" fontId="0" fillId="15" borderId="18" xfId="0" applyFill="1" applyBorder="1" applyAlignment="1">
      <alignment horizontal="center" vertical="center"/>
    </xf>
    <xf numFmtId="0" fontId="0" fillId="15" borderId="20" xfId="0" applyFill="1" applyBorder="1" applyAlignment="1">
      <alignment horizontal="center" vertical="center"/>
    </xf>
    <xf numFmtId="0" fontId="4" fillId="2" borderId="17" xfId="0" applyFont="1" applyFill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0" fillId="15" borderId="17" xfId="0" applyFill="1" applyBorder="1" applyAlignment="1">
      <alignment horizontal="center" vertical="center"/>
    </xf>
    <xf numFmtId="0" fontId="0" fillId="15" borderId="19" xfId="0" applyFill="1" applyBorder="1" applyAlignment="1">
      <alignment horizontal="center" vertical="center"/>
    </xf>
    <xf numFmtId="0" fontId="0" fillId="15" borderId="28" xfId="0" applyFill="1" applyBorder="1" applyAlignment="1">
      <alignment horizontal="center" vertical="center"/>
    </xf>
    <xf numFmtId="0" fontId="0" fillId="15" borderId="23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 textRotation="90" wrapText="1"/>
    </xf>
    <xf numFmtId="0" fontId="0" fillId="0" borderId="29" xfId="0" applyBorder="1" applyAlignment="1">
      <alignment horizontal="center" vertical="center" textRotation="90" wrapText="1"/>
    </xf>
    <xf numFmtId="0" fontId="0" fillId="0" borderId="0" xfId="0" applyAlignment="1">
      <alignment horizontal="center" vertical="center" textRotation="90" wrapText="1"/>
    </xf>
    <xf numFmtId="0" fontId="4" fillId="0" borderId="23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0" borderId="29" xfId="0" applyBorder="1" applyAlignment="1">
      <alignment horizontal="center"/>
    </xf>
    <xf numFmtId="0" fontId="1" fillId="2" borderId="28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56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1F4CB-70B1-43D5-A457-5685869EF902}">
  <dimension ref="A1:M14"/>
  <sheetViews>
    <sheetView topLeftCell="B1" zoomScaleNormal="100" workbookViewId="0">
      <selection activeCell="D18" sqref="D18"/>
    </sheetView>
  </sheetViews>
  <sheetFormatPr defaultColWidth="9.140625" defaultRowHeight="15" x14ac:dyDescent="0.25"/>
  <cols>
    <col min="1" max="1" width="9.140625" style="31"/>
    <col min="2" max="2" width="13.140625" style="31" customWidth="1"/>
    <col min="3" max="3" width="19.140625" style="31" bestFit="1" customWidth="1"/>
    <col min="4" max="4" width="12.42578125" style="31" bestFit="1" customWidth="1"/>
    <col min="5" max="5" width="15.7109375" style="31" bestFit="1" customWidth="1"/>
    <col min="6" max="6" width="19" style="31" bestFit="1" customWidth="1"/>
    <col min="7" max="7" width="17.85546875" style="31" bestFit="1" customWidth="1"/>
    <col min="8" max="8" width="16.28515625" style="31" bestFit="1" customWidth="1"/>
    <col min="9" max="9" width="16.140625" style="31" customWidth="1"/>
    <col min="10" max="10" width="13.42578125" style="31" bestFit="1" customWidth="1"/>
    <col min="11" max="11" width="18.42578125" style="31" bestFit="1" customWidth="1"/>
    <col min="12" max="12" width="16.42578125" style="31" bestFit="1" customWidth="1"/>
    <col min="13" max="13" width="15.42578125" style="31" bestFit="1" customWidth="1"/>
    <col min="14" max="14" width="12.140625" style="31" bestFit="1" customWidth="1"/>
    <col min="15" max="15" width="8.7109375" style="31" bestFit="1" customWidth="1"/>
    <col min="16" max="16384" width="9.140625" style="31"/>
  </cols>
  <sheetData>
    <row r="1" spans="1:13" ht="4.5" customHeight="1" x14ac:dyDescent="0.25">
      <c r="A1" s="33"/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</row>
    <row r="2" spans="1:13" x14ac:dyDescent="0.25">
      <c r="A2" s="147" t="s">
        <v>64</v>
      </c>
      <c r="B2" s="144" t="s">
        <v>0</v>
      </c>
      <c r="C2" s="27" t="s">
        <v>32</v>
      </c>
      <c r="D2" s="27" t="s">
        <v>37</v>
      </c>
      <c r="E2" s="27" t="s">
        <v>33</v>
      </c>
      <c r="F2" s="27" t="s">
        <v>35</v>
      </c>
      <c r="G2" s="27" t="s">
        <v>58</v>
      </c>
      <c r="H2" s="152" t="s">
        <v>84</v>
      </c>
      <c r="I2" s="153"/>
      <c r="J2" s="25" t="s">
        <v>46</v>
      </c>
      <c r="K2" s="156"/>
      <c r="L2" s="157"/>
      <c r="M2" s="26" t="s">
        <v>1</v>
      </c>
    </row>
    <row r="3" spans="1:13" x14ac:dyDescent="0.25">
      <c r="A3" s="147"/>
      <c r="B3" s="146"/>
      <c r="C3" s="35" t="s">
        <v>9</v>
      </c>
      <c r="D3" s="35" t="s">
        <v>2</v>
      </c>
      <c r="E3" s="35" t="s">
        <v>34</v>
      </c>
      <c r="F3" s="35" t="s">
        <v>34</v>
      </c>
      <c r="G3" s="35"/>
      <c r="H3" s="56" t="s">
        <v>2</v>
      </c>
      <c r="I3" s="56" t="s">
        <v>82</v>
      </c>
      <c r="J3" s="36" t="s">
        <v>14</v>
      </c>
      <c r="K3" s="158"/>
      <c r="L3" s="159"/>
      <c r="M3" s="37"/>
    </row>
    <row r="4" spans="1:13" x14ac:dyDescent="0.25">
      <c r="A4" s="148"/>
      <c r="B4" s="54">
        <v>4000</v>
      </c>
      <c r="C4" s="57">
        <v>19.55</v>
      </c>
      <c r="D4" s="57">
        <v>304</v>
      </c>
      <c r="E4" s="54">
        <v>22</v>
      </c>
      <c r="F4" s="54">
        <v>12</v>
      </c>
      <c r="G4" s="54">
        <v>2</v>
      </c>
      <c r="H4" s="53">
        <v>-11.92</v>
      </c>
      <c r="I4" s="54">
        <v>20.92</v>
      </c>
      <c r="J4" s="82">
        <v>9</v>
      </c>
      <c r="K4" s="152"/>
      <c r="L4" s="153"/>
      <c r="M4" s="6">
        <v>40</v>
      </c>
    </row>
    <row r="5" spans="1:13" ht="4.5" customHeight="1" x14ac:dyDescent="0.25">
      <c r="A5" s="33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</row>
    <row r="6" spans="1:13" ht="18" x14ac:dyDescent="0.25">
      <c r="A6" s="149" t="s">
        <v>41</v>
      </c>
      <c r="B6" s="144" t="s">
        <v>69</v>
      </c>
      <c r="C6" s="27" t="s">
        <v>70</v>
      </c>
      <c r="D6" s="27" t="s">
        <v>39</v>
      </c>
      <c r="E6" s="27" t="s">
        <v>38</v>
      </c>
      <c r="F6" s="38" t="s">
        <v>48</v>
      </c>
      <c r="G6" s="27" t="s">
        <v>71</v>
      </c>
      <c r="H6" s="144" t="s">
        <v>63</v>
      </c>
      <c r="I6" s="27" t="s">
        <v>54</v>
      </c>
      <c r="J6" s="27" t="s">
        <v>50</v>
      </c>
      <c r="K6" s="27" t="s">
        <v>52</v>
      </c>
      <c r="L6" s="27" t="s">
        <v>33</v>
      </c>
      <c r="M6" s="27" t="s">
        <v>74</v>
      </c>
    </row>
    <row r="7" spans="1:13" ht="17.25" x14ac:dyDescent="0.25">
      <c r="A7" s="149"/>
      <c r="B7" s="145"/>
      <c r="C7" s="39" t="s">
        <v>40</v>
      </c>
      <c r="D7" s="39" t="s">
        <v>9</v>
      </c>
      <c r="E7" s="39" t="s">
        <v>2</v>
      </c>
      <c r="F7" s="39" t="s">
        <v>49</v>
      </c>
      <c r="G7" s="39" t="s">
        <v>2</v>
      </c>
      <c r="H7" s="145"/>
      <c r="I7" s="35" t="s">
        <v>55</v>
      </c>
      <c r="J7" s="35" t="s">
        <v>51</v>
      </c>
      <c r="K7" s="35" t="s">
        <v>53</v>
      </c>
      <c r="L7" s="39" t="s">
        <v>2</v>
      </c>
      <c r="M7" s="35" t="s">
        <v>14</v>
      </c>
    </row>
    <row r="8" spans="1:13" x14ac:dyDescent="0.25">
      <c r="A8" s="149"/>
      <c r="B8" s="58">
        <f>B4/60</f>
        <v>66.666666666666671</v>
      </c>
      <c r="C8" s="59">
        <f>2*PI()*B8</f>
        <v>418.87902047863912</v>
      </c>
      <c r="D8" s="59">
        <f>SQRT(1.4*287*(273.15+I8))</f>
        <v>345.07018126752126</v>
      </c>
      <c r="E8" s="56">
        <f>E4*0.0254/2</f>
        <v>0.27939999999999998</v>
      </c>
      <c r="F8" s="60">
        <f>J8/K8</f>
        <v>66827.298769579589</v>
      </c>
      <c r="G8" s="56">
        <f>((2*E8-J12)/2)/M4</f>
        <v>6.5468499999999999E-3</v>
      </c>
      <c r="H8" s="146"/>
      <c r="I8" s="56">
        <v>23.2</v>
      </c>
      <c r="J8" s="56">
        <v>1.222</v>
      </c>
      <c r="K8" s="60">
        <f>0.00001716*(((I8+273.15)/(273.15))^1.5)*((273.15+110.4)/(I8+273.15+110.4))</f>
        <v>1.8285940364183415E-5</v>
      </c>
      <c r="L8" s="56">
        <f>E4*0.0254</f>
        <v>0.55879999999999996</v>
      </c>
      <c r="M8" s="56">
        <f>DEGREES(ATAN(F4/(0.75*PI()*E4)))</f>
        <v>13.034260015551469</v>
      </c>
    </row>
    <row r="9" spans="1:13" ht="4.5" customHeight="1" x14ac:dyDescent="0.25">
      <c r="A9" s="33"/>
      <c r="B9" s="33"/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</row>
    <row r="10" spans="1:13" ht="18" x14ac:dyDescent="0.25">
      <c r="A10" s="149" t="s">
        <v>65</v>
      </c>
      <c r="B10" s="2" t="s">
        <v>60</v>
      </c>
      <c r="C10" s="2" t="s">
        <v>61</v>
      </c>
      <c r="D10" s="2" t="s">
        <v>62</v>
      </c>
      <c r="E10" s="2" t="s">
        <v>67</v>
      </c>
      <c r="F10" s="2" t="s">
        <v>68</v>
      </c>
      <c r="G10" s="2" t="s">
        <v>66</v>
      </c>
      <c r="H10" s="2" t="s">
        <v>72</v>
      </c>
      <c r="I10" s="154" t="s">
        <v>73</v>
      </c>
      <c r="J10" s="27" t="s">
        <v>36</v>
      </c>
      <c r="K10" s="27" t="s">
        <v>47</v>
      </c>
      <c r="L10" s="150" t="s">
        <v>83</v>
      </c>
      <c r="M10" s="44"/>
    </row>
    <row r="11" spans="1:13" x14ac:dyDescent="0.25">
      <c r="A11" s="149"/>
      <c r="B11" s="20" t="s">
        <v>26</v>
      </c>
      <c r="C11" s="20" t="s">
        <v>27</v>
      </c>
      <c r="D11" s="20" t="s">
        <v>28</v>
      </c>
      <c r="E11" s="20"/>
      <c r="F11" s="20"/>
      <c r="G11" s="20"/>
      <c r="H11" s="20"/>
      <c r="I11" s="155"/>
      <c r="J11" s="35" t="s">
        <v>2</v>
      </c>
      <c r="K11" s="35" t="s">
        <v>14</v>
      </c>
      <c r="L11" s="151"/>
      <c r="M11" s="45"/>
    </row>
    <row r="12" spans="1:13" x14ac:dyDescent="0.25">
      <c r="A12" s="149"/>
      <c r="B12" s="59">
        <f>'PROP_Table (2)'!BH9</f>
        <v>18.591391101915384</v>
      </c>
      <c r="C12" s="59">
        <f>'PROP_Table (2)'!BI9</f>
        <v>1.0813288189532397</v>
      </c>
      <c r="D12" s="59">
        <f>'PROP_Table (2)'!BJ9</f>
        <v>452.94595649845678</v>
      </c>
      <c r="E12" s="55">
        <f>B12/($J$8*$B$8^2*($L$8)^4)</f>
        <v>3.5107314478444417E-2</v>
      </c>
      <c r="F12" s="61">
        <f>C12/($J$8*$B$8^2*($L$8)^5)</f>
        <v>3.6541561579862365E-3</v>
      </c>
      <c r="G12" s="55">
        <f>D12/($J$8*$B$8^3*($L$8)^5)</f>
        <v>2.2959740281998934E-2</v>
      </c>
      <c r="H12" s="55">
        <f>C4/(B8*(L8))</f>
        <v>0.52478525411596288</v>
      </c>
      <c r="I12" s="55">
        <f>H12*(E12/G12)</f>
        <v>0.80243943196274925</v>
      </c>
      <c r="J12" s="56">
        <v>3.5052E-2</v>
      </c>
      <c r="K12" s="56">
        <f>H4*L12+I4</f>
        <v>20.172290909090911</v>
      </c>
      <c r="L12" s="56">
        <f>J12/L8</f>
        <v>6.2727272727272729E-2</v>
      </c>
      <c r="M12" s="46"/>
    </row>
    <row r="13" spans="1:13" ht="6" customHeight="1" x14ac:dyDescent="0.25">
      <c r="A13" s="33"/>
      <c r="B13" s="33"/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3"/>
    </row>
    <row r="14" spans="1:13" x14ac:dyDescent="0.25">
      <c r="D14" s="142">
        <f>331*SQRT((273.15+I8)/273)</f>
        <v>344.86501234530408</v>
      </c>
      <c r="E14" s="143"/>
      <c r="F14" s="143"/>
      <c r="G14" s="143"/>
      <c r="H14" s="143"/>
      <c r="I14" s="142">
        <f>B12*C4/(C12*C8)</f>
        <v>0.80243943196274925</v>
      </c>
    </row>
  </sheetData>
  <mergeCells count="11">
    <mergeCell ref="L10:L11"/>
    <mergeCell ref="H2:I2"/>
    <mergeCell ref="I10:I11"/>
    <mergeCell ref="B2:B3"/>
    <mergeCell ref="B6:B7"/>
    <mergeCell ref="K2:L4"/>
    <mergeCell ref="E14:H14"/>
    <mergeCell ref="H6:H8"/>
    <mergeCell ref="A2:A4"/>
    <mergeCell ref="A6:A8"/>
    <mergeCell ref="A10:A1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4B8E9-CC12-49B2-A6D8-7524C79B6CFA}">
  <dimension ref="B1:F21"/>
  <sheetViews>
    <sheetView zoomScale="145" zoomScaleNormal="145" workbookViewId="0">
      <selection activeCell="C7" sqref="C7"/>
    </sheetView>
  </sheetViews>
  <sheetFormatPr defaultColWidth="9.140625" defaultRowHeight="15" x14ac:dyDescent="0.25"/>
  <cols>
    <col min="1" max="1" width="9.140625" style="9"/>
    <col min="2" max="2" width="9.140625" style="7"/>
    <col min="3" max="3" width="9.140625" style="8"/>
    <col min="4" max="4" width="9.140625" style="9"/>
    <col min="5" max="5" width="20.140625" style="9" customWidth="1"/>
    <col min="6" max="16384" width="9.140625" style="9"/>
  </cols>
  <sheetData>
    <row r="1" spans="2:6" ht="16.5" thickBot="1" x14ac:dyDescent="0.3">
      <c r="B1" s="14" t="s">
        <v>34</v>
      </c>
      <c r="C1" s="15" t="s">
        <v>43</v>
      </c>
      <c r="E1" s="41" t="s">
        <v>41</v>
      </c>
      <c r="F1" s="42"/>
    </row>
    <row r="2" spans="2:6" x14ac:dyDescent="0.25">
      <c r="B2" s="16" t="s">
        <v>42</v>
      </c>
      <c r="C2" s="17" t="s">
        <v>2</v>
      </c>
      <c r="E2" s="40">
        <f>974.16*2</f>
        <v>1948.32</v>
      </c>
      <c r="F2" s="43"/>
    </row>
    <row r="3" spans="2:6" ht="15.75" thickBot="1" x14ac:dyDescent="0.3">
      <c r="B3" s="18"/>
      <c r="C3" s="19">
        <f>B3*0.3048</f>
        <v>0</v>
      </c>
    </row>
    <row r="4" spans="2:6" x14ac:dyDescent="0.25">
      <c r="B4" s="16" t="s">
        <v>2</v>
      </c>
      <c r="C4" s="17" t="s">
        <v>42</v>
      </c>
    </row>
    <row r="5" spans="2:6" ht="15.75" thickBot="1" x14ac:dyDescent="0.3">
      <c r="B5" s="18"/>
      <c r="C5" s="19">
        <f>B5*3.28</f>
        <v>0</v>
      </c>
    </row>
    <row r="6" spans="2:6" x14ac:dyDescent="0.25">
      <c r="B6" s="16" t="s">
        <v>34</v>
      </c>
      <c r="C6" s="17" t="s">
        <v>2</v>
      </c>
    </row>
    <row r="7" spans="2:6" ht="15.75" thickBot="1" x14ac:dyDescent="0.3">
      <c r="B7" s="18"/>
      <c r="C7" s="19">
        <f>B7*0.0254</f>
        <v>0</v>
      </c>
    </row>
    <row r="8" spans="2:6" x14ac:dyDescent="0.25">
      <c r="B8" s="16" t="s">
        <v>2</v>
      </c>
      <c r="C8" s="17" t="s">
        <v>34</v>
      </c>
    </row>
    <row r="9" spans="2:6" ht="15.75" thickBot="1" x14ac:dyDescent="0.3">
      <c r="B9" s="18"/>
      <c r="C9" s="19">
        <f>B9*39.3700787</f>
        <v>0</v>
      </c>
    </row>
    <row r="10" spans="2:6" x14ac:dyDescent="0.25">
      <c r="B10" s="16" t="s">
        <v>9</v>
      </c>
      <c r="C10" s="17" t="s">
        <v>45</v>
      </c>
    </row>
    <row r="11" spans="2:6" ht="15.75" thickBot="1" x14ac:dyDescent="0.3">
      <c r="B11" s="18"/>
      <c r="C11" s="19">
        <f>B11*1.94384449</f>
        <v>0</v>
      </c>
    </row>
    <row r="12" spans="2:6" x14ac:dyDescent="0.25">
      <c r="B12" s="16" t="s">
        <v>45</v>
      </c>
      <c r="C12" s="17" t="s">
        <v>9</v>
      </c>
    </row>
    <row r="13" spans="2:6" ht="15.75" thickBot="1" x14ac:dyDescent="0.3">
      <c r="B13" s="18">
        <v>160</v>
      </c>
      <c r="C13" s="19">
        <f>B13*0.514444444</f>
        <v>82.31111104</v>
      </c>
    </row>
    <row r="14" spans="2:6" x14ac:dyDescent="0.25">
      <c r="B14" s="16" t="s">
        <v>9</v>
      </c>
      <c r="C14" s="17" t="s">
        <v>44</v>
      </c>
    </row>
    <row r="15" spans="2:6" ht="15.75" thickBot="1" x14ac:dyDescent="0.3">
      <c r="B15" s="18"/>
      <c r="C15" s="19">
        <f>B15*3.6</f>
        <v>0</v>
      </c>
    </row>
    <row r="16" spans="2:6" x14ac:dyDescent="0.25">
      <c r="B16" s="16" t="s">
        <v>44</v>
      </c>
      <c r="C16" s="17" t="s">
        <v>9</v>
      </c>
    </row>
    <row r="17" spans="2:3" x14ac:dyDescent="0.25">
      <c r="B17" s="28"/>
      <c r="C17" s="29">
        <f>B17/3.6</f>
        <v>0</v>
      </c>
    </row>
    <row r="18" spans="2:3" x14ac:dyDescent="0.25">
      <c r="B18" s="10" t="s">
        <v>56</v>
      </c>
      <c r="C18" s="11" t="s">
        <v>26</v>
      </c>
    </row>
    <row r="19" spans="2:3" x14ac:dyDescent="0.25">
      <c r="B19" s="12">
        <v>219</v>
      </c>
      <c r="C19" s="13">
        <f>B19*4.4482216</f>
        <v>974.16053039999997</v>
      </c>
    </row>
    <row r="20" spans="2:3" x14ac:dyDescent="0.25">
      <c r="B20" s="30" t="s">
        <v>26</v>
      </c>
      <c r="C20" s="11" t="s">
        <v>56</v>
      </c>
    </row>
    <row r="21" spans="2:3" x14ac:dyDescent="0.25">
      <c r="B21" s="12">
        <v>101</v>
      </c>
      <c r="C21" s="13">
        <f>B21*0.224808943870961</f>
        <v>22.705703330967062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EA88B-41FD-4D47-99C8-6267545EC7E9}">
  <dimension ref="A1:BJ44"/>
  <sheetViews>
    <sheetView tabSelected="1" topLeftCell="B4" zoomScale="93" zoomScaleNormal="93" workbookViewId="0">
      <pane xSplit="1" topLeftCell="AX1" activePane="topRight" state="frozen"/>
      <selection activeCell="B1" sqref="B1"/>
      <selection pane="topRight" activeCell="BB10" sqref="BB10"/>
    </sheetView>
  </sheetViews>
  <sheetFormatPr defaultColWidth="9.140625" defaultRowHeight="15" x14ac:dyDescent="0.25"/>
  <cols>
    <col min="1" max="1" width="4" style="62" hidden="1" customWidth="1"/>
    <col min="2" max="2" width="4.140625" style="62" bestFit="1" customWidth="1"/>
    <col min="3" max="3" width="19.7109375" style="62" customWidth="1"/>
    <col min="4" max="5" width="7.140625" style="62" bestFit="1" customWidth="1"/>
    <col min="6" max="6" width="8.140625" style="62" bestFit="1" customWidth="1"/>
    <col min="7" max="7" width="6.5703125" style="62" bestFit="1" customWidth="1"/>
    <col min="8" max="8" width="8.140625" style="62" bestFit="1" customWidth="1"/>
    <col min="9" max="9" width="6" style="62" bestFit="1" customWidth="1"/>
    <col min="10" max="10" width="6" style="1" bestFit="1" customWidth="1"/>
    <col min="11" max="11" width="6" style="62" bestFit="1" customWidth="1"/>
    <col min="12" max="12" width="5" style="62" bestFit="1" customWidth="1"/>
    <col min="13" max="13" width="12.7109375" style="62" customWidth="1"/>
    <col min="14" max="14" width="4.85546875" style="62" bestFit="1" customWidth="1"/>
    <col min="15" max="15" width="8.85546875" style="62" customWidth="1"/>
    <col min="16" max="16" width="8.7109375" style="62" bestFit="1" customWidth="1"/>
    <col min="17" max="17" width="6.7109375" style="62" customWidth="1"/>
    <col min="18" max="18" width="7.85546875" style="1" bestFit="1" customWidth="1"/>
    <col min="19" max="19" width="10.42578125" style="119" customWidth="1"/>
    <col min="20" max="20" width="9.140625" style="119"/>
    <col min="22" max="22" width="10.28515625" bestFit="1" customWidth="1"/>
    <col min="23" max="23" width="11.85546875" customWidth="1"/>
    <col min="24" max="24" width="9.85546875" customWidth="1"/>
    <col min="25" max="25" width="10.28515625" style="119" bestFit="1" customWidth="1"/>
    <col min="26" max="26" width="9.140625" style="119"/>
    <col min="30" max="30" width="12.28515625" style="131" bestFit="1" customWidth="1"/>
    <col min="31" max="31" width="12.28515625" bestFit="1" customWidth="1"/>
    <col min="32" max="32" width="10.7109375" customWidth="1"/>
    <col min="33" max="33" width="10.5703125" customWidth="1"/>
    <col min="40" max="40" width="15.140625" bestFit="1" customWidth="1"/>
    <col min="41" max="41" width="11.7109375" style="1" customWidth="1"/>
    <col min="42" max="42" width="6.7109375" style="62" bestFit="1" customWidth="1"/>
    <col min="43" max="43" width="9.28515625" style="62" customWidth="1"/>
    <col min="44" max="44" width="10.42578125" style="62" customWidth="1"/>
    <col min="45" max="45" width="13.7109375" style="62" customWidth="1"/>
    <col min="46" max="46" width="7.7109375" style="62" customWidth="1"/>
    <col min="47" max="47" width="9.5703125" style="62" customWidth="1"/>
    <col min="48" max="48" width="7.140625" style="62" bestFit="1" customWidth="1"/>
    <col min="49" max="49" width="34.42578125" style="62" bestFit="1" customWidth="1"/>
    <col min="50" max="50" width="7" style="62" bestFit="1" customWidth="1"/>
    <col min="51" max="51" width="7.7109375" style="62" bestFit="1" customWidth="1"/>
    <col min="52" max="53" width="7" style="62" bestFit="1" customWidth="1"/>
    <col min="54" max="54" width="10.42578125" style="62" customWidth="1"/>
    <col min="55" max="55" width="10.28515625" style="62" customWidth="1"/>
    <col min="56" max="56" width="9.85546875" style="62" customWidth="1"/>
    <col min="57" max="57" width="9" style="62" customWidth="1"/>
    <col min="58" max="58" width="8.28515625" style="62" bestFit="1" customWidth="1"/>
    <col min="59" max="59" width="12.28515625" style="62" customWidth="1"/>
    <col min="60" max="60" width="10.85546875" style="62" customWidth="1"/>
    <col min="61" max="61" width="10.42578125" style="62" bestFit="1" customWidth="1"/>
    <col min="62" max="62" width="7.85546875" style="62" bestFit="1" customWidth="1"/>
    <col min="63" max="16384" width="9.140625" style="62"/>
  </cols>
  <sheetData>
    <row r="1" spans="1:62" x14ac:dyDescent="0.25">
      <c r="B1" s="163"/>
      <c r="C1" s="165" t="s">
        <v>7</v>
      </c>
      <c r="D1" s="166"/>
      <c r="E1" s="166"/>
      <c r="F1" s="167"/>
      <c r="G1" s="165" t="s">
        <v>12</v>
      </c>
      <c r="H1" s="166"/>
      <c r="I1" s="166"/>
      <c r="J1" s="166"/>
      <c r="K1" s="168" t="s">
        <v>15</v>
      </c>
      <c r="L1" s="168"/>
      <c r="M1" s="168"/>
      <c r="N1" s="168"/>
      <c r="O1" s="168"/>
      <c r="P1" s="168"/>
      <c r="Q1" s="168"/>
      <c r="R1" s="168"/>
      <c r="AO1" s="109" t="s">
        <v>29</v>
      </c>
      <c r="AP1" s="109"/>
      <c r="AQ1" s="109"/>
      <c r="AR1" s="110" t="s">
        <v>30</v>
      </c>
      <c r="AS1" s="112"/>
      <c r="AT1" s="111"/>
      <c r="AU1" s="109"/>
      <c r="AV1" s="113"/>
      <c r="AW1" s="114" t="s">
        <v>75</v>
      </c>
      <c r="AX1" s="114"/>
      <c r="AY1" s="114"/>
      <c r="AZ1" s="114"/>
      <c r="BA1" s="78"/>
      <c r="BB1" s="109" t="s">
        <v>90</v>
      </c>
      <c r="BC1" s="109"/>
      <c r="BD1" s="109"/>
      <c r="BE1" s="77"/>
      <c r="BF1" s="77"/>
      <c r="BG1" s="32"/>
      <c r="BH1" s="79" t="s">
        <v>59</v>
      </c>
      <c r="BI1" s="80"/>
      <c r="BJ1" s="81"/>
    </row>
    <row r="2" spans="1:62" ht="18" x14ac:dyDescent="0.25">
      <c r="B2" s="164"/>
      <c r="C2" s="2" t="s">
        <v>3</v>
      </c>
      <c r="D2" s="2" t="s">
        <v>4</v>
      </c>
      <c r="E2" s="2" t="s">
        <v>88</v>
      </c>
      <c r="F2" s="3" t="s">
        <v>5</v>
      </c>
      <c r="G2" s="4" t="s">
        <v>8</v>
      </c>
      <c r="H2" s="4" t="s">
        <v>10</v>
      </c>
      <c r="I2" s="4" t="s">
        <v>31</v>
      </c>
      <c r="J2" s="4" t="s">
        <v>11</v>
      </c>
      <c r="K2" s="169" t="s">
        <v>16</v>
      </c>
      <c r="L2" s="168"/>
      <c r="M2" s="169" t="s">
        <v>57</v>
      </c>
      <c r="N2" s="168"/>
      <c r="O2" s="169" t="s">
        <v>17</v>
      </c>
      <c r="P2" s="168"/>
      <c r="Q2" s="169" t="s">
        <v>87</v>
      </c>
      <c r="R2" s="168"/>
      <c r="S2" s="119" t="s">
        <v>92</v>
      </c>
      <c r="T2" s="119" t="s">
        <v>93</v>
      </c>
      <c r="U2" s="130" t="s">
        <v>101</v>
      </c>
      <c r="V2" s="130" t="s">
        <v>98</v>
      </c>
      <c r="W2" s="130" t="s">
        <v>99</v>
      </c>
      <c r="X2" s="130" t="s">
        <v>93</v>
      </c>
      <c r="Y2" s="129" t="s">
        <v>19</v>
      </c>
      <c r="Z2" s="129" t="s">
        <v>20</v>
      </c>
      <c r="AA2" s="128" t="s">
        <v>94</v>
      </c>
      <c r="AB2" s="128" t="s">
        <v>95</v>
      </c>
      <c r="AC2" s="130" t="s">
        <v>100</v>
      </c>
      <c r="AD2" s="131" t="s">
        <v>96</v>
      </c>
      <c r="AE2" s="130" t="s">
        <v>102</v>
      </c>
      <c r="AF2" s="128"/>
      <c r="AG2" s="171" t="s">
        <v>91</v>
      </c>
      <c r="AH2" s="172"/>
      <c r="AI2" s="172"/>
      <c r="AJ2" s="172"/>
      <c r="AK2" s="172"/>
      <c r="AL2" s="172"/>
      <c r="AM2" s="172"/>
      <c r="AN2" s="173"/>
      <c r="AO2" s="168" t="s">
        <v>18</v>
      </c>
      <c r="AP2" s="168" t="s">
        <v>19</v>
      </c>
      <c r="AQ2" s="168" t="s">
        <v>20</v>
      </c>
      <c r="AR2" s="2" t="s">
        <v>21</v>
      </c>
      <c r="AS2" s="2" t="s">
        <v>22</v>
      </c>
      <c r="AT2" s="2" t="s">
        <v>23</v>
      </c>
      <c r="AU2" s="2" t="s">
        <v>24</v>
      </c>
      <c r="AV2" s="50" t="s">
        <v>25</v>
      </c>
      <c r="AW2" s="48" t="s">
        <v>76</v>
      </c>
      <c r="AX2" s="2" t="s">
        <v>77</v>
      </c>
      <c r="AY2" s="2" t="s">
        <v>78</v>
      </c>
      <c r="AZ2" s="2" t="s">
        <v>79</v>
      </c>
      <c r="BA2" s="2" t="s">
        <v>80</v>
      </c>
      <c r="BB2" s="2" t="s">
        <v>21</v>
      </c>
      <c r="BC2" s="2" t="s">
        <v>22</v>
      </c>
      <c r="BD2" s="2" t="s">
        <v>23</v>
      </c>
      <c r="BE2" s="2" t="s">
        <v>24</v>
      </c>
      <c r="BF2" s="2" t="s">
        <v>25</v>
      </c>
      <c r="BG2" s="32"/>
      <c r="BH2" s="2" t="s">
        <v>60</v>
      </c>
      <c r="BI2" s="2" t="s">
        <v>61</v>
      </c>
      <c r="BJ2" s="2" t="s">
        <v>62</v>
      </c>
    </row>
    <row r="3" spans="1:62" ht="17.25" x14ac:dyDescent="0.25">
      <c r="B3" s="77" t="s">
        <v>89</v>
      </c>
      <c r="C3" s="20" t="s">
        <v>2</v>
      </c>
      <c r="D3" s="20"/>
      <c r="E3" s="20" t="s">
        <v>2</v>
      </c>
      <c r="F3" s="20" t="s">
        <v>6</v>
      </c>
      <c r="G3" s="20" t="s">
        <v>9</v>
      </c>
      <c r="H3" s="20" t="s">
        <v>9</v>
      </c>
      <c r="I3" s="20" t="s">
        <v>9</v>
      </c>
      <c r="J3" s="65"/>
      <c r="K3" s="21" t="s">
        <v>13</v>
      </c>
      <c r="L3" s="21" t="s">
        <v>14</v>
      </c>
      <c r="M3" s="21" t="s">
        <v>13</v>
      </c>
      <c r="N3" s="21" t="s">
        <v>14</v>
      </c>
      <c r="O3" s="21" t="s">
        <v>13</v>
      </c>
      <c r="P3" s="21" t="s">
        <v>14</v>
      </c>
      <c r="Q3" s="21" t="s">
        <v>13</v>
      </c>
      <c r="R3" s="77" t="s">
        <v>14</v>
      </c>
      <c r="S3" s="120" t="s">
        <v>9</v>
      </c>
      <c r="T3" s="120" t="s">
        <v>9</v>
      </c>
      <c r="U3" s="115" t="s">
        <v>9</v>
      </c>
      <c r="V3" s="115" t="s">
        <v>14</v>
      </c>
      <c r="W3" s="115" t="s">
        <v>14</v>
      </c>
      <c r="X3" s="115" t="s">
        <v>9</v>
      </c>
      <c r="AC3" s="118"/>
      <c r="AO3" s="168"/>
      <c r="AP3" s="168"/>
      <c r="AQ3" s="168"/>
      <c r="AR3" s="20" t="s">
        <v>26</v>
      </c>
      <c r="AS3" s="20" t="s">
        <v>26</v>
      </c>
      <c r="AT3" s="20" t="s">
        <v>26</v>
      </c>
      <c r="AU3" s="20" t="s">
        <v>27</v>
      </c>
      <c r="AV3" s="51" t="s">
        <v>28</v>
      </c>
      <c r="AW3" s="49"/>
      <c r="AX3" s="20"/>
      <c r="AY3" s="20"/>
      <c r="AZ3" s="20"/>
      <c r="BA3" s="20"/>
      <c r="BB3" s="20" t="s">
        <v>26</v>
      </c>
      <c r="BC3" s="20" t="s">
        <v>26</v>
      </c>
      <c r="BD3" s="20" t="s">
        <v>26</v>
      </c>
      <c r="BE3" s="20" t="s">
        <v>27</v>
      </c>
      <c r="BF3" s="20" t="s">
        <v>28</v>
      </c>
      <c r="BG3" s="32"/>
      <c r="BH3" s="20" t="s">
        <v>26</v>
      </c>
      <c r="BI3" s="20" t="s">
        <v>27</v>
      </c>
      <c r="BJ3" s="20" t="s">
        <v>28</v>
      </c>
    </row>
    <row r="4" spans="1:62" x14ac:dyDescent="0.25">
      <c r="A4" s="160" t="s">
        <v>86</v>
      </c>
      <c r="B4" s="66">
        <v>1</v>
      </c>
      <c r="C4" s="67">
        <v>1.6E-2</v>
      </c>
      <c r="D4" s="68">
        <f>C4/PROP_InOut!$E$8</f>
        <v>5.7265569076592707E-2</v>
      </c>
      <c r="E4" s="68"/>
      <c r="F4" s="69">
        <f>E4*PROP_InOut!$G$8</f>
        <v>0</v>
      </c>
      <c r="G4" s="70">
        <f>PROP_InOut!$C$4</f>
        <v>19.55</v>
      </c>
      <c r="H4" s="67">
        <f>PROP_InOut!$C$8*'PROP_Table (2)'!C4</f>
        <v>6.7020643276582259</v>
      </c>
      <c r="I4" s="71">
        <f>SQRT(G4^2+H4^2)</f>
        <v>20.666885741496444</v>
      </c>
      <c r="J4" s="72">
        <f>I4/PROP_InOut!$D$8</f>
        <v>5.9891833207906496E-2</v>
      </c>
      <c r="K4" s="67">
        <f>ATAN(G4/H4)</f>
        <v>1.2405352599837238</v>
      </c>
      <c r="L4" s="71">
        <f>DEGREES(K4)</f>
        <v>71.077434734231701</v>
      </c>
      <c r="M4" s="70">
        <v>0</v>
      </c>
      <c r="N4" s="70">
        <v>0</v>
      </c>
      <c r="O4" s="67">
        <f>RADIANS(P4)</f>
        <v>0.34963547826682823</v>
      </c>
      <c r="P4" s="71">
        <f>PROP_InOut!$K$12*(1-(B4-0.5)/PROP_InOut!$M$4)+PROP_InOut!$J$4*((B4-0.5)/PROP_InOut!$M$4)</f>
        <v>20.032637272727275</v>
      </c>
      <c r="Q4" s="67">
        <f>RADIANS(R4)</f>
        <v>-0.89089978171689577</v>
      </c>
      <c r="R4" s="72">
        <f>P4-L4-N4</f>
        <v>-51.04479746150443</v>
      </c>
      <c r="AO4" s="73">
        <f>PROP_InOut!$F$8*'PROP_Table (2)'!I4*'PROP_Table (2)'!E4</f>
        <v>0</v>
      </c>
      <c r="AP4" s="76"/>
      <c r="AQ4" s="76"/>
      <c r="AR4" s="67">
        <f>0.5*PROP_InOut!$J$8*I4^2*E4*AP4*PROP_InOut!$G$8</f>
        <v>0</v>
      </c>
      <c r="AS4" s="67">
        <f>0.5*PROP_InOut!$J$8*I4^2*E4*AQ4*PROP_InOut!$G$8</f>
        <v>0</v>
      </c>
      <c r="AT4" s="67">
        <f t="shared" ref="AT4:AT41" si="0">(BB4*COS(K4+M4)-BC4*SIN(K4+M4))</f>
        <v>0</v>
      </c>
      <c r="AU4" s="67">
        <f t="shared" ref="AU4:AU41" si="1">(C4*(BB4*SIN(K4+M4)+BC4*COS(K4+M4)))</f>
        <v>0</v>
      </c>
      <c r="AV4" s="52">
        <f t="shared" ref="AV4:AV41" si="2">(H4*(BB4*SIN(K4+M4)+BC4*COS(K4+M4)))</f>
        <v>0</v>
      </c>
      <c r="AW4" s="75">
        <f>PROP_InOut!$G$4/2*((PROP_InOut!$E$8-'PROP_Table (2)'!C4)/('PROP_Table (2)'!C4*SIN('PROP_Table (2)'!K4)))</f>
        <v>17.402997775927627</v>
      </c>
      <c r="AX4" s="75">
        <f>2/PI()*ACOS(EXP(-AW4))</f>
        <v>0.99999998238615295</v>
      </c>
      <c r="AY4" s="75">
        <f>PROP_InOut!$G$4/2*((C4-PROP_InOut!$J$12/2)/(C4*SIN('PROP_Table (2)'!K4)))</f>
        <v>-0.10082374565704462</v>
      </c>
      <c r="AZ4" s="75" t="e">
        <f>2/PI()*ACOS(EXP(-AY4))</f>
        <v>#NUM!</v>
      </c>
      <c r="BA4" s="75" t="e">
        <f>AZ4*AX4</f>
        <v>#NUM!</v>
      </c>
      <c r="BB4" s="68">
        <f>0.5*PROP_InOut!$J$8*I4^2*E4*AP4*PROP_InOut!$G$8</f>
        <v>0</v>
      </c>
      <c r="BC4" s="68">
        <f>0.5*PROP_InOut!$J$8*I4^2*E4*AQ4*PROP_InOut!$G$8</f>
        <v>0</v>
      </c>
      <c r="BD4" s="68" t="e">
        <f>BA4*(BB4*COS(K4+M4)-BC4*SIN(K4+M4))</f>
        <v>#NUM!</v>
      </c>
      <c r="BE4" s="68" t="e">
        <f t="shared" ref="BE4:BE41" si="3">BA4*(C4*(BB4*SIN(K4+M4)+BC4*COS(K4+M4)))</f>
        <v>#NUM!</v>
      </c>
      <c r="BF4" s="68" t="e">
        <f>BA4*(H4*(BB4*SIN(K4+M4)+BC4*COS(K4+M4)))</f>
        <v>#NUM!</v>
      </c>
      <c r="BG4" s="74"/>
      <c r="BH4" s="34">
        <f>PROP_InOut!$G$4*SUM(AT$4:AT$42)</f>
        <v>23.182587306964265</v>
      </c>
      <c r="BI4" s="34">
        <f>PROP_InOut!$G$4*SUM(AU:AU)</f>
        <v>1.3575724357301635</v>
      </c>
      <c r="BJ4" s="34">
        <f>PROP_InOut!$G$4*SUM(AV:AV)</f>
        <v>568.65861210745118</v>
      </c>
    </row>
    <row r="5" spans="1:62" x14ac:dyDescent="0.25">
      <c r="A5" s="160"/>
      <c r="B5" s="66">
        <v>2</v>
      </c>
      <c r="C5" s="67">
        <v>2.4E-2</v>
      </c>
      <c r="D5" s="68">
        <f>C5/PROP_InOut!$E$8</f>
        <v>8.5898353614889053E-2</v>
      </c>
      <c r="E5" s="68"/>
      <c r="F5" s="69">
        <f>E5*PROP_InOut!$G$8</f>
        <v>0</v>
      </c>
      <c r="G5" s="70">
        <f>PROP_InOut!$C$4</f>
        <v>19.55</v>
      </c>
      <c r="H5" s="67">
        <f>PROP_InOut!$C$8*'PROP_Table (2)'!C5</f>
        <v>10.05309649148734</v>
      </c>
      <c r="I5" s="71">
        <f t="shared" ref="I5:I41" si="4">SQRT(G5^2+H5^2)</f>
        <v>21.983340261824523</v>
      </c>
      <c r="J5" s="72">
        <f>I5/PROP_InOut!$D$8</f>
        <v>6.3706867342390214E-2</v>
      </c>
      <c r="K5" s="67">
        <f t="shared" ref="K5:K41" si="5">ATAN(G5/H5)</f>
        <v>1.0958336779291598</v>
      </c>
      <c r="L5" s="71">
        <f t="shared" ref="L5:L41" si="6">DEGREES(K5)</f>
        <v>62.786644793639205</v>
      </c>
      <c r="M5" s="70">
        <v>0</v>
      </c>
      <c r="N5" s="70">
        <v>0</v>
      </c>
      <c r="O5" s="67">
        <f t="shared" ref="O5:O41" si="7">RADIANS(P5)</f>
        <v>0.34476064673297152</v>
      </c>
      <c r="P5" s="71">
        <f>PROP_InOut!$K$12*(1-(B5-0.5)/PROP_InOut!$M$4)+PROP_InOut!$J$4*((B5-0.5)/PROP_InOut!$M$4)</f>
        <v>19.753330000000002</v>
      </c>
      <c r="Q5" s="67">
        <f t="shared" ref="Q5:Q22" si="8">RADIANS(R5)</f>
        <v>-0.75107303119618829</v>
      </c>
      <c r="R5" s="72">
        <f t="shared" ref="R5:R41" si="9">P5-L5-N5</f>
        <v>-43.033314793639207</v>
      </c>
      <c r="AO5" s="73">
        <f>PROP_InOut!$F$8*'PROP_Table (2)'!I5*'PROP_Table (2)'!E5</f>
        <v>0</v>
      </c>
      <c r="AP5" s="67"/>
      <c r="AQ5" s="67"/>
      <c r="AR5" s="67">
        <f>0.5*PROP_InOut!$J$8*I5^2*E5*AP5*PROP_InOut!$G$8</f>
        <v>0</v>
      </c>
      <c r="AS5" s="67">
        <f>0.5*PROP_InOut!$J$8*I5^2*E5*AQ5*PROP_InOut!$G$8</f>
        <v>0</v>
      </c>
      <c r="AT5" s="67">
        <f t="shared" si="0"/>
        <v>0</v>
      </c>
      <c r="AU5" s="67">
        <f t="shared" si="1"/>
        <v>0</v>
      </c>
      <c r="AV5" s="52">
        <f t="shared" si="2"/>
        <v>0</v>
      </c>
      <c r="AW5" s="75">
        <f>PROP_InOut!$G$4/2*((PROP_InOut!$E$8-'PROP_Table (2)'!C5)/('PROP_Table (2)'!C5*SIN('PROP_Table (2)'!K5)))</f>
        <v>11.966208659143184</v>
      </c>
      <c r="AX5" s="75">
        <f t="shared" ref="AX5:AX41" si="10">2/PI()*ACOS(EXP(-AW5))</f>
        <v>0.99999595403861974</v>
      </c>
      <c r="AY5" s="75">
        <f>PROP_InOut!$G$4/2*((C5-PROP_InOut!$J$12/2)/(C5*SIN('PROP_Table (2)'!K5)))</f>
        <v>0.30332511691187547</v>
      </c>
      <c r="AZ5" s="75">
        <f t="shared" ref="AZ5:AZ41" si="11">2/PI()*ACOS(EXP(-AY5))</f>
        <v>0.4712020566363494</v>
      </c>
      <c r="BA5" s="75">
        <f t="shared" ref="BA5:BA41" si="12">AZ5*AX5</f>
        <v>0.47120015017102596</v>
      </c>
      <c r="BB5" s="68">
        <f>0.5*PROP_InOut!$J$8*I5^2*E5*AP5*PROP_InOut!$G$8</f>
        <v>0</v>
      </c>
      <c r="BC5" s="68">
        <f>0.5*PROP_InOut!$J$8*I5^2*E5*AQ5*PROP_InOut!$G$8</f>
        <v>0</v>
      </c>
      <c r="BD5" s="68">
        <f t="shared" ref="BD5:BD41" si="13">BA5*(BB5*COS(K5+M5)-BC5*SIN(K5+M5))</f>
        <v>0</v>
      </c>
      <c r="BE5" s="68">
        <f t="shared" si="3"/>
        <v>0</v>
      </c>
      <c r="BF5" s="68">
        <f t="shared" ref="BF5:BF9" si="14">H5*(BB5*SIN(K5+M5)+BC5*COS(K5+M5))</f>
        <v>0</v>
      </c>
      <c r="BG5" s="74"/>
      <c r="BH5" s="32"/>
      <c r="BI5" s="32"/>
      <c r="BJ5" s="32"/>
    </row>
    <row r="6" spans="1:62" x14ac:dyDescent="0.25">
      <c r="A6" s="160"/>
      <c r="B6" s="66">
        <v>3</v>
      </c>
      <c r="C6" s="67">
        <v>3.2000000000000001E-2</v>
      </c>
      <c r="D6" s="68">
        <f>C6/PROP_InOut!$E$8</f>
        <v>0.11453113815318541</v>
      </c>
      <c r="E6" s="68"/>
      <c r="F6" s="69">
        <f>E6*PROP_InOut!$G$8</f>
        <v>0</v>
      </c>
      <c r="G6" s="70">
        <f>PROP_InOut!$C$4</f>
        <v>19.55</v>
      </c>
      <c r="H6" s="67">
        <f>PROP_InOut!$C$8*'PROP_Table (2)'!C6</f>
        <v>13.404128655316452</v>
      </c>
      <c r="I6" s="71">
        <f t="shared" si="4"/>
        <v>23.703863925703669</v>
      </c>
      <c r="J6" s="72">
        <f>I6/PROP_InOut!$D$8</f>
        <v>6.8692878180994912E-2</v>
      </c>
      <c r="K6" s="67">
        <f t="shared" si="5"/>
        <v>0.9697777411566304</v>
      </c>
      <c r="L6" s="71">
        <f t="shared" si="6"/>
        <v>55.564171634005319</v>
      </c>
      <c r="M6" s="70">
        <v>0</v>
      </c>
      <c r="N6" s="70">
        <v>0</v>
      </c>
      <c r="O6" s="67">
        <f t="shared" si="7"/>
        <v>0.33988581519911487</v>
      </c>
      <c r="P6" s="71">
        <f>PROP_InOut!$K$12*(1-(B6-0.5)/PROP_InOut!$M$4)+PROP_InOut!$J$4*((B6-0.5)/PROP_InOut!$M$4)</f>
        <v>19.474022727272729</v>
      </c>
      <c r="Q6" s="67">
        <f t="shared" si="8"/>
        <v>-0.62989192595751564</v>
      </c>
      <c r="R6" s="72">
        <f t="shared" si="9"/>
        <v>-36.090148906732594</v>
      </c>
      <c r="Y6" s="119">
        <v>0.31037999999999999</v>
      </c>
      <c r="Z6" s="119">
        <v>2.4029999999999999E-2</v>
      </c>
      <c r="AI6">
        <v>1.2260974984208941</v>
      </c>
      <c r="AJ6">
        <v>1.2265743583411572</v>
      </c>
      <c r="AK6">
        <v>1.2040976360406923</v>
      </c>
      <c r="AO6" s="73">
        <f>PROP_InOut!$F$8*'PROP_Table (2)'!I6*'PROP_Table (2)'!E6</f>
        <v>0</v>
      </c>
      <c r="AP6" s="67"/>
      <c r="AQ6" s="67"/>
      <c r="AR6" s="67">
        <f>0.5*PROP_InOut!$J$8*I6^2*E6*AP6*PROP_InOut!$G$8</f>
        <v>0</v>
      </c>
      <c r="AS6" s="67">
        <f>0.5*PROP_InOut!$J$8*I6^2*E6*AQ6*PROP_InOut!$G$8</f>
        <v>0</v>
      </c>
      <c r="AT6" s="67">
        <f t="shared" si="0"/>
        <v>0</v>
      </c>
      <c r="AU6" s="67">
        <f t="shared" si="1"/>
        <v>0</v>
      </c>
      <c r="AV6" s="52">
        <f t="shared" si="2"/>
        <v>0</v>
      </c>
      <c r="AW6" s="75">
        <f>PROP_InOut!$G$4/2*((PROP_InOut!$E$8-'PROP_Table (2)'!C6)/('PROP_Table (2)'!C6*SIN('PROP_Table (2)'!K6)))</f>
        <v>9.3739385153757766</v>
      </c>
      <c r="AX6" s="75">
        <f t="shared" si="10"/>
        <v>0.99994594568693973</v>
      </c>
      <c r="AY6" s="75">
        <f>PROP_InOut!$G$4/2*((C6-PROP_InOut!$J$12/2)/(C6*SIN('PROP_Table (2)'!K6)))</f>
        <v>0.54841708193835492</v>
      </c>
      <c r="AZ6" s="75">
        <f t="shared" si="11"/>
        <v>0.60777296221648147</v>
      </c>
      <c r="BA6" s="75">
        <f t="shared" si="12"/>
        <v>0.60774010946651225</v>
      </c>
      <c r="BB6" s="68">
        <f>0.5*PROP_InOut!$J$8*I6^2*E6*AP6*PROP_InOut!$G$8</f>
        <v>0</v>
      </c>
      <c r="BC6" s="68">
        <f>0.5*PROP_InOut!$J$8*I6^2*E6*AQ6*PROP_InOut!$G$8</f>
        <v>0</v>
      </c>
      <c r="BD6" s="68">
        <f t="shared" si="13"/>
        <v>0</v>
      </c>
      <c r="BE6" s="68">
        <f t="shared" si="3"/>
        <v>0</v>
      </c>
      <c r="BF6" s="68">
        <f t="shared" si="14"/>
        <v>0</v>
      </c>
      <c r="BG6" s="74"/>
      <c r="BH6" s="79" t="s">
        <v>81</v>
      </c>
      <c r="BI6" s="80"/>
      <c r="BJ6" s="81"/>
    </row>
    <row r="7" spans="1:62" x14ac:dyDescent="0.25">
      <c r="A7" s="160"/>
      <c r="B7" s="66">
        <v>4</v>
      </c>
      <c r="C7" s="67">
        <v>0.04</v>
      </c>
      <c r="D7" s="68">
        <f>C7/PROP_InOut!$E$8</f>
        <v>0.14316392269148176</v>
      </c>
      <c r="E7" s="68"/>
      <c r="F7" s="69">
        <f>E7*PROP_InOut!$G$8</f>
        <v>0</v>
      </c>
      <c r="G7" s="70">
        <f>PROP_InOut!$C$4</f>
        <v>19.55</v>
      </c>
      <c r="H7" s="67">
        <f>PROP_InOut!$C$8*'PROP_Table (2)'!C7</f>
        <v>16.755160819145566</v>
      </c>
      <c r="I7" s="71">
        <f t="shared" si="4"/>
        <v>25.747580742186841</v>
      </c>
      <c r="J7" s="72">
        <f>I7/PROP_InOut!$D$8</f>
        <v>7.4615490239145321E-2</v>
      </c>
      <c r="K7" s="67">
        <f t="shared" si="5"/>
        <v>0.86222850192297085</v>
      </c>
      <c r="L7" s="71">
        <f t="shared" si="6"/>
        <v>49.402054136073815</v>
      </c>
      <c r="M7" s="70">
        <v>0</v>
      </c>
      <c r="N7" s="70">
        <v>0</v>
      </c>
      <c r="O7" s="67">
        <f t="shared" si="7"/>
        <v>0.33501098366525817</v>
      </c>
      <c r="P7" s="71">
        <f>PROP_InOut!$K$12*(1-(B7-0.5)/PROP_InOut!$M$4)+PROP_InOut!$J$4*((B7-0.5)/PROP_InOut!$M$4)</f>
        <v>19.194715454545456</v>
      </c>
      <c r="Q7" s="67">
        <f t="shared" si="8"/>
        <v>-0.52721751825771268</v>
      </c>
      <c r="R7" s="72">
        <f t="shared" si="9"/>
        <v>-30.207338681528359</v>
      </c>
      <c r="W7" s="136"/>
      <c r="AO7" s="73">
        <f>PROP_InOut!$F$8*'PROP_Table (2)'!I7*'PROP_Table (2)'!E7</f>
        <v>0</v>
      </c>
      <c r="AP7" s="67"/>
      <c r="AQ7" s="67"/>
      <c r="AR7" s="67">
        <f>0.5*PROP_InOut!$J$8*I7^2*E7*AP7*PROP_InOut!$G$8</f>
        <v>0</v>
      </c>
      <c r="AS7" s="67">
        <f>0.5*PROP_InOut!$J$8*I7^2*E7*AQ7*PROP_InOut!$G$8</f>
        <v>0</v>
      </c>
      <c r="AT7" s="67">
        <f t="shared" si="0"/>
        <v>0</v>
      </c>
      <c r="AU7" s="67">
        <f t="shared" si="1"/>
        <v>0</v>
      </c>
      <c r="AV7" s="52">
        <f t="shared" si="2"/>
        <v>0</v>
      </c>
      <c r="AW7" s="75">
        <f>PROP_InOut!$G$4/2*((PROP_InOut!$E$8-'PROP_Table (2)'!C7)/('PROP_Table (2)'!C7*SIN('PROP_Table (2)'!K7)))</f>
        <v>7.8823156389763795</v>
      </c>
      <c r="AX7" s="75">
        <f t="shared" si="10"/>
        <v>0.99975976629090069</v>
      </c>
      <c r="AY7" s="75">
        <f>PROP_InOut!$G$4/2*((C7-PROP_InOut!$J$12/2)/(C7*SIN('PROP_Table (2)'!K7)))</f>
        <v>0.73996308132980448</v>
      </c>
      <c r="AZ7" s="75">
        <f t="shared" si="11"/>
        <v>0.68335305872521857</v>
      </c>
      <c r="BA7" s="75">
        <f t="shared" si="12"/>
        <v>0.68318889428529661</v>
      </c>
      <c r="BB7" s="68">
        <f>0.5*PROP_InOut!$J$8*I7^2*E7*AP7*PROP_InOut!$G$8</f>
        <v>0</v>
      </c>
      <c r="BC7" s="68">
        <f>0.5*PROP_InOut!$J$8*I7^2*E7*AQ7*PROP_InOut!$G$8</f>
        <v>0</v>
      </c>
      <c r="BD7" s="68">
        <f t="shared" si="13"/>
        <v>0</v>
      </c>
      <c r="BE7" s="68">
        <f t="shared" si="3"/>
        <v>0</v>
      </c>
      <c r="BF7" s="68">
        <f t="shared" si="14"/>
        <v>0</v>
      </c>
      <c r="BG7" s="74"/>
      <c r="BH7" s="2" t="s">
        <v>60</v>
      </c>
      <c r="BI7" s="2" t="s">
        <v>61</v>
      </c>
      <c r="BJ7" s="2" t="s">
        <v>62</v>
      </c>
    </row>
    <row r="8" spans="1:62" x14ac:dyDescent="0.25">
      <c r="A8" s="160"/>
      <c r="B8" s="66">
        <v>5</v>
      </c>
      <c r="C8" s="67">
        <v>4.8000000000000001E-2</v>
      </c>
      <c r="D8" s="68">
        <f>C8/PROP_InOut!$E$8</f>
        <v>0.17179670722977811</v>
      </c>
      <c r="E8" s="68"/>
      <c r="F8" s="69">
        <f>E8*PROP_InOut!$G$8</f>
        <v>0</v>
      </c>
      <c r="G8" s="70">
        <f>PROP_InOut!$C$4</f>
        <v>19.55</v>
      </c>
      <c r="H8" s="67">
        <f>PROP_InOut!$C$8*'PROP_Table (2)'!C8</f>
        <v>20.106192982974679</v>
      </c>
      <c r="I8" s="71">
        <f t="shared" si="4"/>
        <v>28.043920843359622</v>
      </c>
      <c r="J8" s="72">
        <f>I8/PROP_InOut!$D$8</f>
        <v>8.1270194777039048E-2</v>
      </c>
      <c r="K8" s="67">
        <f t="shared" si="5"/>
        <v>0.77137370780407888</v>
      </c>
      <c r="L8" s="71">
        <f t="shared" si="6"/>
        <v>44.196457884531291</v>
      </c>
      <c r="M8" s="70">
        <v>0</v>
      </c>
      <c r="N8" s="70">
        <v>0</v>
      </c>
      <c r="O8" s="67">
        <f t="shared" si="7"/>
        <v>0.33013615213140152</v>
      </c>
      <c r="P8" s="71">
        <f>PROP_InOut!$K$12*(1-(B8-0.5)/PROP_InOut!$M$4)+PROP_InOut!$J$4*((B8-0.5)/PROP_InOut!$M$4)</f>
        <v>18.915408181818183</v>
      </c>
      <c r="Q8" s="67">
        <f t="shared" si="8"/>
        <v>-0.44123755567267736</v>
      </c>
      <c r="R8" s="72">
        <f t="shared" si="9"/>
        <v>-25.281049702713108</v>
      </c>
      <c r="W8" s="134">
        <f>W10</f>
        <v>-0.91562209123609017</v>
      </c>
      <c r="Y8" s="119">
        <v>0.39704</v>
      </c>
      <c r="Z8" s="119">
        <v>1.593E-2</v>
      </c>
      <c r="AO8" s="73">
        <f>PROP_InOut!$F$8*'PROP_Table (2)'!I8*'PROP_Table (2)'!E8</f>
        <v>0</v>
      </c>
      <c r="AP8" s="67"/>
      <c r="AQ8" s="67"/>
      <c r="AR8" s="67">
        <f>0.5*PROP_InOut!$J$8*I8^2*E8*AP8*PROP_InOut!$G$8</f>
        <v>0</v>
      </c>
      <c r="AS8" s="67">
        <f>0.5*PROP_InOut!$J$8*I8^2*E8*AQ8*PROP_InOut!$G$8</f>
        <v>0</v>
      </c>
      <c r="AT8" s="67">
        <f t="shared" si="0"/>
        <v>0</v>
      </c>
      <c r="AU8" s="67">
        <f t="shared" si="1"/>
        <v>0</v>
      </c>
      <c r="AV8" s="52">
        <f t="shared" si="2"/>
        <v>0</v>
      </c>
      <c r="AW8" s="75">
        <f>PROP_InOut!$G$4/2*((PROP_InOut!$E$8-'PROP_Table (2)'!C8)/('PROP_Table (2)'!C8*SIN('PROP_Table (2)'!K8)))</f>
        <v>6.9153487672137857</v>
      </c>
      <c r="AX8" s="75">
        <f t="shared" si="10"/>
        <v>0.99936819598095095</v>
      </c>
      <c r="AY8" s="75">
        <f>PROP_InOut!$G$4/2*((C8-PROP_InOut!$J$12/2)/(C8*SIN('PROP_Table (2)'!K8)))</f>
        <v>0.91071019158199185</v>
      </c>
      <c r="AZ8" s="75">
        <f t="shared" si="11"/>
        <v>0.7364645559237013</v>
      </c>
      <c r="BA8" s="75">
        <f t="shared" si="12"/>
        <v>0.73599925465738159</v>
      </c>
      <c r="BB8" s="68">
        <f>0.5*PROP_InOut!$J$8*I8^2*E8*AP8*PROP_InOut!$G$8</f>
        <v>0</v>
      </c>
      <c r="BC8" s="68">
        <f>0.5*PROP_InOut!$J$8*I8^2*E8*AQ8*PROP_InOut!$G$8</f>
        <v>0</v>
      </c>
      <c r="BD8" s="68">
        <f t="shared" si="13"/>
        <v>0</v>
      </c>
      <c r="BE8" s="68">
        <f t="shared" si="3"/>
        <v>0</v>
      </c>
      <c r="BF8" s="68">
        <f t="shared" si="14"/>
        <v>0</v>
      </c>
      <c r="BG8" s="74"/>
      <c r="BH8" s="20" t="s">
        <v>26</v>
      </c>
      <c r="BI8" s="20" t="s">
        <v>27</v>
      </c>
      <c r="BJ8" s="20" t="s">
        <v>28</v>
      </c>
    </row>
    <row r="9" spans="1:62" ht="15.75" thickBot="1" x14ac:dyDescent="0.3">
      <c r="A9" s="160"/>
      <c r="B9" s="66">
        <v>6</v>
      </c>
      <c r="C9" s="67">
        <v>6.275E-2</v>
      </c>
      <c r="D9" s="68">
        <f>C9/PROP_InOut!$E$8</f>
        <v>0.22458840372226199</v>
      </c>
      <c r="E9" s="68"/>
      <c r="F9" s="69">
        <f>E9*PROP_InOut!$G$8</f>
        <v>0</v>
      </c>
      <c r="G9" s="70">
        <f>PROP_InOut!$C$4</f>
        <v>19.55</v>
      </c>
      <c r="H9" s="67">
        <f>PROP_InOut!$C$8*'PROP_Table (2)'!C9</f>
        <v>26.284658535034605</v>
      </c>
      <c r="I9" s="71">
        <f t="shared" si="4"/>
        <v>32.757987946505011</v>
      </c>
      <c r="J9" s="72">
        <f>I9/PROP_InOut!$D$8</f>
        <v>9.4931378382732093E-2</v>
      </c>
      <c r="K9" s="67">
        <f t="shared" si="5"/>
        <v>0.63950832789464784</v>
      </c>
      <c r="L9" s="71">
        <f t="shared" si="6"/>
        <v>36.641128151831694</v>
      </c>
      <c r="M9" s="70">
        <v>0</v>
      </c>
      <c r="N9" s="70">
        <v>0</v>
      </c>
      <c r="O9" s="67">
        <f t="shared" si="7"/>
        <v>0.32526132059754487</v>
      </c>
      <c r="P9" s="71">
        <f>PROP_InOut!$K$12*(1-(B9-0.5)/PROP_InOut!$M$4)+PROP_InOut!$J$4*((B9-0.5)/PROP_InOut!$M$4)</f>
        <v>18.636100909090914</v>
      </c>
      <c r="Q9" s="67">
        <f t="shared" si="8"/>
        <v>-0.31424700729710292</v>
      </c>
      <c r="R9" s="72">
        <f t="shared" si="9"/>
        <v>-18.00502724274078</v>
      </c>
      <c r="AG9" t="s">
        <v>103</v>
      </c>
      <c r="AH9" s="170" t="s">
        <v>104</v>
      </c>
      <c r="AI9" s="170"/>
      <c r="AJ9" s="170"/>
      <c r="AK9" s="170"/>
      <c r="AL9" s="170"/>
      <c r="AM9" s="170"/>
      <c r="AN9" t="s">
        <v>97</v>
      </c>
      <c r="AO9" s="73">
        <f>PROP_InOut!$F$8*'PROP_Table (2)'!I9*'PROP_Table (2)'!E9</f>
        <v>0</v>
      </c>
      <c r="AP9" s="67"/>
      <c r="AQ9" s="67"/>
      <c r="AR9" s="67">
        <f>0.5*PROP_InOut!$J$8*I9^2*E9*AP9*PROP_InOut!$G$8</f>
        <v>0</v>
      </c>
      <c r="AS9" s="67">
        <f>0.5*PROP_InOut!$J$8*I9^2*E9*AQ9*PROP_InOut!$G$8</f>
        <v>0</v>
      </c>
      <c r="AT9" s="67">
        <f t="shared" si="0"/>
        <v>0</v>
      </c>
      <c r="AU9" s="67">
        <f t="shared" si="1"/>
        <v>0</v>
      </c>
      <c r="AV9" s="52">
        <f t="shared" si="2"/>
        <v>0</v>
      </c>
      <c r="AW9" s="75">
        <f>PROP_InOut!$G$4/2*((PROP_InOut!$E$8-'PROP_Table (2)'!C9)/('PROP_Table (2)'!C9*SIN('PROP_Table (2)'!K9)))</f>
        <v>5.7851606065642773</v>
      </c>
      <c r="AX9" s="75">
        <f t="shared" si="10"/>
        <v>0.99804378097594049</v>
      </c>
      <c r="AY9" s="75">
        <f>PROP_InOut!$G$4/2*((C9-PROP_InOut!$J$12/2)/(C9*SIN('PROP_Table (2)'!K9)))</f>
        <v>1.2076072156531867</v>
      </c>
      <c r="AZ9" s="75">
        <f t="shared" si="11"/>
        <v>0.80675281817156874</v>
      </c>
      <c r="BA9" s="75">
        <f t="shared" si="12"/>
        <v>0.80517463296094793</v>
      </c>
      <c r="BB9" s="68">
        <f>0.5*PROP_InOut!$J$8*I9^2*E9*AP9*PROP_InOut!$G$8</f>
        <v>0</v>
      </c>
      <c r="BC9" s="68">
        <f>0.5*PROP_InOut!$J$8*I9^2*E9*AQ9*PROP_InOut!$G$8</f>
        <v>0</v>
      </c>
      <c r="BD9" s="68">
        <f t="shared" si="13"/>
        <v>0</v>
      </c>
      <c r="BE9" s="68">
        <f t="shared" si="3"/>
        <v>0</v>
      </c>
      <c r="BF9" s="68">
        <f t="shared" si="14"/>
        <v>0</v>
      </c>
      <c r="BG9" s="74"/>
      <c r="BH9" s="34">
        <f>PROP_InOut!$G$4*SUM(BD$10:BD$42)</f>
        <v>18.591391101915384</v>
      </c>
      <c r="BI9" s="34">
        <f>PROP_InOut!$G$4*SUM(BE$10:BE$42)</f>
        <v>1.0813288189532397</v>
      </c>
      <c r="BJ9" s="34">
        <f>PROP_InOut!$G$4*SUM(BF$10:BF$42)</f>
        <v>452.94595649845678</v>
      </c>
    </row>
    <row r="10" spans="1:62" s="92" customFormat="1" ht="15.75" thickBot="1" x14ac:dyDescent="0.3">
      <c r="A10" s="160"/>
      <c r="B10" s="78">
        <v>7</v>
      </c>
      <c r="C10" s="83">
        <v>7.4757279999999995E-2</v>
      </c>
      <c r="D10" s="84">
        <f>C10/PROP_InOut!$E$8</f>
        <v>0.26756363636363639</v>
      </c>
      <c r="E10" s="84">
        <v>4.287266E-2</v>
      </c>
      <c r="F10" s="85">
        <f>E10*PROP_InOut!$G$8</f>
        <v>2.8068087412099998E-4</v>
      </c>
      <c r="G10" s="86">
        <f>PROP_InOut!$C$4</f>
        <v>19.55</v>
      </c>
      <c r="H10" s="87">
        <f>PROP_InOut!$C$8*'PROP_Table (2)'!C10</f>
        <v>31.314256220047358</v>
      </c>
      <c r="I10" s="88">
        <f t="shared" si="4"/>
        <v>36.915919907470474</v>
      </c>
      <c r="J10" s="89">
        <f>I10/PROP_InOut!$D$8</f>
        <v>0.10698090391893586</v>
      </c>
      <c r="K10" s="87">
        <f t="shared" si="5"/>
        <v>0.55810750148409349</v>
      </c>
      <c r="L10" s="88">
        <f t="shared" si="6"/>
        <v>31.977204349629886</v>
      </c>
      <c r="M10" s="86">
        <f>RADIANS(N10)</f>
        <v>3.3484451348954065E-2</v>
      </c>
      <c r="N10" s="86">
        <f>V10</f>
        <v>1.918517741606204</v>
      </c>
      <c r="O10" s="87">
        <f t="shared" si="7"/>
        <v>0.57561133263698183</v>
      </c>
      <c r="P10" s="83">
        <v>32.9801</v>
      </c>
      <c r="Q10" s="87">
        <f t="shared" si="8"/>
        <v>-1.5980620196065689E-2</v>
      </c>
      <c r="R10" s="89">
        <f t="shared" si="9"/>
        <v>-0.91562209123609017</v>
      </c>
      <c r="S10" s="121">
        <f>TAN(AE10)*X10</f>
        <v>1.2594083048331157</v>
      </c>
      <c r="T10" s="121">
        <f>X10</f>
        <v>37.598060010675951</v>
      </c>
      <c r="U10" s="116">
        <v>1.2594083037364427</v>
      </c>
      <c r="V10" s="116">
        <v>1.918517741606204</v>
      </c>
      <c r="W10" s="117">
        <f>P10-L10-V10</f>
        <v>-0.91562209123609017</v>
      </c>
      <c r="X10" s="116">
        <f>SQRT((U10+G10)^2+H10^2)</f>
        <v>37.598060010675951</v>
      </c>
      <c r="Y10" s="122">
        <v>0.50280000000000002</v>
      </c>
      <c r="Z10" s="121">
        <v>2.264E-2</v>
      </c>
      <c r="AA10" s="116">
        <f>((8*PI()*C10*U10)/(E10*2))-((X10)/(G10+U10))*(Y10*H10-Z10*(U10+G10))</f>
        <v>-2.5084041510581301E-8</v>
      </c>
      <c r="AB10" s="116">
        <f>((8*PI()*C10)/(E10*2))-Y10*H10*((1/X10)-(X10/((G10+U10)^2)))+Z10*((U10+G10)/X10)</f>
        <v>22.872856474724603</v>
      </c>
      <c r="AC10" s="116">
        <f>U10-(AA10/AB10)</f>
        <v>1.2594083048331157</v>
      </c>
      <c r="AD10" s="132">
        <f>AC10-U10</f>
        <v>1.0966729746542114E-9</v>
      </c>
      <c r="AE10" s="116">
        <f>ATAN(AC10/X10)</f>
        <v>3.348411041556535E-2</v>
      </c>
      <c r="AF10" s="116">
        <f>DEGREES(AE10)</f>
        <v>1.9184982075619357</v>
      </c>
      <c r="AG10" s="137">
        <f>J10</f>
        <v>0.10698090391893586</v>
      </c>
      <c r="AH10" s="123"/>
      <c r="AI10" s="123"/>
      <c r="AJ10" s="123"/>
      <c r="AK10" s="123"/>
      <c r="AL10" s="123"/>
      <c r="AM10" s="123"/>
      <c r="AN10" s="124">
        <v>1.918517741606204</v>
      </c>
      <c r="AO10" s="90">
        <f>PROP_InOut!$F$8*'PROP_Table (2)'!I10*'PROP_Table (2)'!E10</f>
        <v>105766.47532689183</v>
      </c>
      <c r="AP10" s="87">
        <f>Y10</f>
        <v>0.50280000000000002</v>
      </c>
      <c r="AQ10" s="87">
        <f>Z10</f>
        <v>2.264E-2</v>
      </c>
      <c r="AR10" s="5">
        <f>0.5*PROP_InOut!$J$8*I10^2*E10*AP10*(C10-C9)</f>
        <v>0.21552067439508046</v>
      </c>
      <c r="AS10" s="5">
        <f>0.5*PROP_InOut!$J$8*I10^2*E10*AQ10*(C10-C9)</f>
        <v>9.7044313212104657E-3</v>
      </c>
      <c r="AT10" s="87">
        <f t="shared" si="0"/>
        <v>0.17995228410660938</v>
      </c>
      <c r="AU10" s="87">
        <f t="shared" si="1"/>
        <v>9.9450209562301391E-3</v>
      </c>
      <c r="AV10" s="91">
        <f t="shared" si="2"/>
        <v>4.1657606367852198</v>
      </c>
      <c r="AW10" s="84">
        <f>PROP_InOut!$G$4/2*((PROP_InOut!$E$8-'PROP_Table (2)'!C10)/('PROP_Table (2)'!C10*SIN('PROP_Table (2)'!K10)))</f>
        <v>5.1690381975550066</v>
      </c>
      <c r="AX10" s="84">
        <f t="shared" si="10"/>
        <v>0.99637758919543151</v>
      </c>
      <c r="AY10" s="84">
        <f>PROP_InOut!$G$4/2*((C10-PROP_InOut!$J$12/2)/(C10*SIN('PROP_Table (2)'!K10)))</f>
        <v>1.4455958776103339</v>
      </c>
      <c r="AZ10" s="84">
        <f t="shared" si="11"/>
        <v>0.84858526654800115</v>
      </c>
      <c r="BA10" s="84">
        <f t="shared" si="12"/>
        <v>0.84551134210986001</v>
      </c>
      <c r="BB10" s="22">
        <f>0.5*PROP_InOut!$J$8*T10^2*E10*AP10*(C10-C9)</f>
        <v>0.22355913504621683</v>
      </c>
      <c r="BC10" s="22">
        <f>0.5*PROP_InOut!$J$8*T10^2*E10*AQ10*(C10-C9)</f>
        <v>1.0066385873998307E-2</v>
      </c>
      <c r="BD10" s="84">
        <f t="shared" si="13"/>
        <v>0.15215169725071412</v>
      </c>
      <c r="BE10" s="84">
        <f t="shared" si="3"/>
        <v>8.4086280160128278E-3</v>
      </c>
      <c r="BF10" s="84">
        <f>H10*(BB10*SIN(K10+M10)+BC10*COS(K10+M10))*BA10</f>
        <v>3.5221978669166965</v>
      </c>
      <c r="BG10" s="86"/>
      <c r="BH10" s="104">
        <f>BH9</f>
        <v>18.591391101915384</v>
      </c>
      <c r="BI10" s="135">
        <f>BI9</f>
        <v>1.0813288189532397</v>
      </c>
    </row>
    <row r="11" spans="1:62" s="92" customFormat="1" ht="15.75" thickBot="1" x14ac:dyDescent="0.3">
      <c r="A11" s="160"/>
      <c r="B11" s="78">
        <v>8</v>
      </c>
      <c r="C11" s="83">
        <v>7.8315819999999994E-2</v>
      </c>
      <c r="D11" s="84">
        <f>C11/PROP_InOut!$E$8</f>
        <v>0.28029999999999999</v>
      </c>
      <c r="E11" s="84">
        <v>4.3576239999999995E-2</v>
      </c>
      <c r="F11" s="85">
        <f>E11*PROP_InOut!$G$8</f>
        <v>2.8528710684399996E-4</v>
      </c>
      <c r="G11" s="86">
        <f>PROP_InOut!$C$4</f>
        <v>19.55</v>
      </c>
      <c r="H11" s="87">
        <f>PROP_InOut!$C$8*'PROP_Table (2)'!C11</f>
        <v>32.804853969581416</v>
      </c>
      <c r="I11" s="88">
        <f t="shared" si="4"/>
        <v>38.188492297622354</v>
      </c>
      <c r="J11" s="89">
        <f>I11/PROP_InOut!$D$8</f>
        <v>0.110668769342362</v>
      </c>
      <c r="K11" s="87">
        <f t="shared" si="5"/>
        <v>0.53743505156832816</v>
      </c>
      <c r="L11" s="88">
        <f t="shared" si="6"/>
        <v>30.792760217260959</v>
      </c>
      <c r="M11" s="86">
        <f t="shared" ref="M11:M41" si="15">RADIANS(N11)</f>
        <v>3.410166886254782E-2</v>
      </c>
      <c r="N11" s="86">
        <f t="shared" ref="N11:N41" si="16">V11</f>
        <v>1.9538817001766846</v>
      </c>
      <c r="O11" s="87">
        <f t="shared" si="7"/>
        <v>0.5545731338334422</v>
      </c>
      <c r="P11" s="83">
        <v>31.774699999999999</v>
      </c>
      <c r="Q11" s="87">
        <f t="shared" si="8"/>
        <v>-1.6963586597433779E-2</v>
      </c>
      <c r="R11" s="89">
        <f t="shared" si="9"/>
        <v>-0.97194191743764424</v>
      </c>
      <c r="S11" s="121">
        <f t="shared" ref="S11:S41" si="17">TAN(AE11)*X11</f>
        <v>1.3279231095615691</v>
      </c>
      <c r="T11" s="121">
        <f t="shared" ref="T11:T41" si="18">X11</f>
        <v>38.884861652179218</v>
      </c>
      <c r="U11" s="116">
        <f>U10+(U12-U10)*((C11-C10)/(C12-C10))</f>
        <v>1.3275961677477646</v>
      </c>
      <c r="V11" s="116">
        <f>V10+(V12-V10)*((C11-C10)/(C12-C10))</f>
        <v>1.9538817001766846</v>
      </c>
      <c r="W11" s="117">
        <f t="shared" ref="W11:W41" si="19">P11-L11-V11</f>
        <v>-0.97194191743764424</v>
      </c>
      <c r="X11" s="116">
        <f t="shared" ref="X11:X41" si="20">SQRT((U11+G11)^2+H11^2)</f>
        <v>38.884861652179218</v>
      </c>
      <c r="Y11" s="116">
        <f>Y10+(Y12-Y10)*((C11-C10)/(C12-C10))</f>
        <v>0.50459435961469856</v>
      </c>
      <c r="Z11" s="116">
        <f>Z10+(Z12-Z10)*((C11-C10)/(C12-C10))</f>
        <v>2.1595372814841241E-2</v>
      </c>
      <c r="AA11" s="116">
        <f t="shared" ref="AA11:AA41" si="21">((8*PI()*C11*U11)/(E11*2))-((X11)/(G11+U11))*(Y11*H11-Z11*(U11+G11))</f>
        <v>-7.7312190950991067E-3</v>
      </c>
      <c r="AB11" s="116">
        <f t="shared" ref="AB11:AB41" si="22">((8*PI()*C11)/(E11*2))-Y11*H11*((1/X11)-(X11/((G11+U11)^2)))+Z11*((U11+G11)/X11)</f>
        <v>23.647079598449274</v>
      </c>
      <c r="AC11" s="116">
        <f t="shared" ref="AC11:AC41" si="23">U11-(AA11/AB11)</f>
        <v>1.3279231095615691</v>
      </c>
      <c r="AD11" s="132">
        <f t="shared" ref="AD11:AD41" si="24">AC11-U11</f>
        <v>3.2694181380454879E-4</v>
      </c>
      <c r="AE11" s="116">
        <f t="shared" ref="AE11:AE41" si="25">ATAN(AC11/X11)</f>
        <v>3.4136864378376895E-2</v>
      </c>
      <c r="AF11" s="116">
        <f t="shared" ref="AF11:AF41" si="26">DEGREES(AE11)</f>
        <v>1.9558982546914767</v>
      </c>
      <c r="AG11" s="137">
        <f t="shared" ref="AG11:AG42" si="27">J11</f>
        <v>0.110668769342362</v>
      </c>
      <c r="AH11" s="86"/>
      <c r="AI11" s="47"/>
      <c r="AJ11" s="47"/>
      <c r="AK11" s="47"/>
      <c r="AL11" s="47"/>
      <c r="AM11" s="47"/>
      <c r="AN11" s="125"/>
      <c r="AO11" s="90">
        <f>PROP_InOut!$F$8*'PROP_Table (2)'!I11*'PROP_Table (2)'!E11</f>
        <v>111208.03667420296</v>
      </c>
      <c r="AP11" s="87">
        <f t="shared" ref="AP11:AP41" si="28">Y11</f>
        <v>0.50459435961469856</v>
      </c>
      <c r="AQ11" s="87">
        <f t="shared" ref="AQ11:AQ41" si="29">Z11</f>
        <v>2.1595372814841241E-2</v>
      </c>
      <c r="AR11" s="5">
        <f>0.5*PROP_InOut!$J$8*I11^2*E11*AP11*(C11-C10)</f>
        <v>6.9722063659153052E-2</v>
      </c>
      <c r="AS11" s="5">
        <f>0.5*PROP_InOut!$J$8*I11^2*E11*AQ11*(C11-C10)</f>
        <v>2.9839294265778487E-3</v>
      </c>
      <c r="AT11" s="87">
        <f t="shared" si="0"/>
        <v>5.9125851105071119E-2</v>
      </c>
      <c r="AU11" s="87">
        <f t="shared" si="1"/>
        <v>3.2661196603198882E-3</v>
      </c>
      <c r="AV11" s="91">
        <f t="shared" si="2"/>
        <v>1.3681090040808204</v>
      </c>
      <c r="AW11" s="84">
        <f>PROP_InOut!$G$4/2*((PROP_InOut!$E$8-'PROP_Table (2)'!C11)/('PROP_Table (2)'!C11*SIN('PROP_Table (2)'!K11)))</f>
        <v>5.0154990874043079</v>
      </c>
      <c r="AX11" s="84">
        <f t="shared" si="10"/>
        <v>0.99577642966157531</v>
      </c>
      <c r="AY11" s="84">
        <f>PROP_InOut!$G$4/2*((C11-PROP_InOut!$J$12/2)/(C11*SIN('PROP_Table (2)'!K11)))</f>
        <v>1.5162370641662217</v>
      </c>
      <c r="AZ11" s="84">
        <f t="shared" si="11"/>
        <v>0.85909103192828229</v>
      </c>
      <c r="BA11" s="84">
        <f t="shared" si="12"/>
        <v>0.8554626005278233</v>
      </c>
      <c r="BB11" s="22">
        <f>0.5*PROP_InOut!$J$8*T11^2*E11*AP11*(C11-C10)</f>
        <v>7.2288019138948334E-2</v>
      </c>
      <c r="BC11" s="22">
        <f>0.5*PROP_InOut!$J$8*T11^2*E11*AQ11*(C11-C10)</f>
        <v>3.0937458844050355E-3</v>
      </c>
      <c r="BD11" s="84">
        <f t="shared" si="13"/>
        <v>5.0579954344765012E-2</v>
      </c>
      <c r="BE11" s="84">
        <f t="shared" si="3"/>
        <v>2.7940432182523025E-3</v>
      </c>
      <c r="BF11" s="84">
        <f t="shared" ref="BF11:BF42" si="30">H11*(BB11*SIN(K11+M11)+BC11*COS(K11+M11))*BA11</f>
        <v>1.1703660864365091</v>
      </c>
      <c r="BG11" s="141"/>
      <c r="BH11" s="141"/>
      <c r="BI11" s="141"/>
      <c r="BJ11" s="141"/>
    </row>
    <row r="12" spans="1:62" s="92" customFormat="1" ht="15.75" thickBot="1" x14ac:dyDescent="0.3">
      <c r="A12" s="160"/>
      <c r="B12" s="78">
        <v>9</v>
      </c>
      <c r="C12" s="83">
        <v>8.1876900000000002E-2</v>
      </c>
      <c r="D12" s="84">
        <f>C12/PROP_InOut!$E$8</f>
        <v>0.29304545454545455</v>
      </c>
      <c r="E12" s="84">
        <v>4.4195999999999999E-2</v>
      </c>
      <c r="F12" s="85">
        <f>E12*PROP_InOut!$G$8</f>
        <v>2.8934458260000001E-4</v>
      </c>
      <c r="G12" s="86">
        <f>PROP_InOut!$C$4</f>
        <v>19.55</v>
      </c>
      <c r="H12" s="87">
        <f>PROP_InOut!$C$8*'PROP_Table (2)'!C12</f>
        <v>34.296515671827486</v>
      </c>
      <c r="I12" s="88">
        <f t="shared" si="4"/>
        <v>39.477252782177082</v>
      </c>
      <c r="J12" s="89">
        <f>I12/PROP_InOut!$D$8</f>
        <v>0.11440354723542948</v>
      </c>
      <c r="K12" s="87">
        <f t="shared" si="5"/>
        <v>0.51809022886865086</v>
      </c>
      <c r="L12" s="88">
        <f t="shared" si="6"/>
        <v>29.684383521140578</v>
      </c>
      <c r="M12" s="86">
        <f t="shared" si="15"/>
        <v>3.4719326931112016E-2</v>
      </c>
      <c r="N12" s="86">
        <f t="shared" si="16"/>
        <v>1.9892709006876153</v>
      </c>
      <c r="O12" s="87">
        <f t="shared" si="7"/>
        <v>0.53487360256618222</v>
      </c>
      <c r="P12" s="83">
        <v>30.646000000000001</v>
      </c>
      <c r="Q12" s="87">
        <f t="shared" si="8"/>
        <v>-1.7935953233580645E-2</v>
      </c>
      <c r="R12" s="89">
        <f t="shared" si="9"/>
        <v>-1.0276544218281927</v>
      </c>
      <c r="S12" s="121">
        <f t="shared" si="17"/>
        <v>1.3958327039640777</v>
      </c>
      <c r="T12" s="121">
        <f t="shared" si="18"/>
        <v>40.186800007386644</v>
      </c>
      <c r="U12" s="116">
        <v>1.3958327026113431</v>
      </c>
      <c r="V12" s="116">
        <v>1.9892709006876153</v>
      </c>
      <c r="W12" s="117">
        <f t="shared" si="19"/>
        <v>-1.0276544218281927</v>
      </c>
      <c r="X12" s="116">
        <f>SQRT((U12+G12)^2+H12^2)</f>
        <v>40.186800007386644</v>
      </c>
      <c r="Y12" s="122">
        <v>0.50639000000000001</v>
      </c>
      <c r="Z12" s="121">
        <v>2.0549999999999999E-2</v>
      </c>
      <c r="AA12" s="116">
        <f t="shared" si="21"/>
        <v>-3.3073895622237615E-8</v>
      </c>
      <c r="AB12" s="116">
        <f t="shared" si="22"/>
        <v>24.449656897127539</v>
      </c>
      <c r="AC12" s="116">
        <f t="shared" si="23"/>
        <v>1.3958327039640777</v>
      </c>
      <c r="AD12" s="132">
        <f t="shared" si="24"/>
        <v>1.3527345910091526E-9</v>
      </c>
      <c r="AE12" s="116">
        <f t="shared" si="25"/>
        <v>3.4719653910048352E-2</v>
      </c>
      <c r="AF12" s="116">
        <f t="shared" si="26"/>
        <v>1.989289635200657</v>
      </c>
      <c r="AG12" s="137">
        <f t="shared" si="27"/>
        <v>0.11440354723542948</v>
      </c>
      <c r="AH12" s="86"/>
      <c r="AI12" s="47"/>
      <c r="AJ12" s="47"/>
      <c r="AK12" s="47"/>
      <c r="AL12" s="47"/>
      <c r="AM12" s="47"/>
      <c r="AN12" s="125">
        <v>1.9892709006876153</v>
      </c>
      <c r="AO12" s="90">
        <f>PROP_InOut!$F$8*'PROP_Table (2)'!I12*'PROP_Table (2)'!E12</f>
        <v>116596.03831676791</v>
      </c>
      <c r="AP12" s="87">
        <f t="shared" si="28"/>
        <v>0.50639000000000001</v>
      </c>
      <c r="AQ12" s="87">
        <f t="shared" si="29"/>
        <v>2.0549999999999999E-2</v>
      </c>
      <c r="AR12" s="5">
        <f>0.5*PROP_InOut!$J$8*I12^2*E12*AP12*(C12-C11)</f>
        <v>7.5890055649285942E-2</v>
      </c>
      <c r="AS12" s="5">
        <f>0.5*PROP_InOut!$J$8*I12^2*E12*AQ12*(C12-C11)</f>
        <v>3.0797224344730864E-3</v>
      </c>
      <c r="AT12" s="87">
        <f t="shared" si="0"/>
        <v>6.5253240134031637E-2</v>
      </c>
      <c r="AU12" s="87">
        <f t="shared" si="1"/>
        <v>3.6033825367634245E-3</v>
      </c>
      <c r="AV12" s="91">
        <f t="shared" si="2"/>
        <v>1.509381347409297</v>
      </c>
      <c r="AW12" s="84">
        <f>PROP_InOut!$G$4/2*((PROP_InOut!$E$8-'PROP_Table (2)'!C12)/('PROP_Table (2)'!C12*SIN('PROP_Table (2)'!K12)))</f>
        <v>4.8714322014299558</v>
      </c>
      <c r="AX12" s="84">
        <f t="shared" si="10"/>
        <v>0.99512192752197781</v>
      </c>
      <c r="AY12" s="84">
        <f>PROP_InOut!$G$4/2*((C12-PROP_InOut!$J$12/2)/(C12*SIN('PROP_Table (2)'!K12)))</f>
        <v>1.5870601790423449</v>
      </c>
      <c r="AZ12" s="84">
        <f t="shared" si="11"/>
        <v>0.86886941254097161</v>
      </c>
      <c r="BA12" s="84">
        <f t="shared" si="12"/>
        <v>0.86463100457266018</v>
      </c>
      <c r="BB12" s="22">
        <f>0.5*PROP_InOut!$J$8*T12^2*E12*AP12*(C12-C11)</f>
        <v>7.8642602558101141E-2</v>
      </c>
      <c r="BC12" s="22">
        <f>0.5*PROP_InOut!$J$8*T12^2*E12*AQ12*(C12-C11)</f>
        <v>3.1914245592704802E-3</v>
      </c>
      <c r="BD12" s="84">
        <f t="shared" si="13"/>
        <v>5.64199745687088E-2</v>
      </c>
      <c r="BE12" s="84">
        <f t="shared" si="3"/>
        <v>3.1155962626213405E-3</v>
      </c>
      <c r="BF12" s="84">
        <f t="shared" si="30"/>
        <v>1.3050579106937359</v>
      </c>
      <c r="BG12" s="141"/>
      <c r="BH12" s="141"/>
      <c r="BI12" s="141"/>
      <c r="BJ12" s="141"/>
    </row>
    <row r="13" spans="1:62" s="92" customFormat="1" ht="15.75" thickBot="1" x14ac:dyDescent="0.3">
      <c r="A13" s="160"/>
      <c r="B13" s="78">
        <v>10</v>
      </c>
      <c r="C13" s="83">
        <v>8.5435440000000001E-2</v>
      </c>
      <c r="D13" s="84">
        <f>C13/PROP_InOut!$E$8</f>
        <v>0.30578181818181821</v>
      </c>
      <c r="E13" s="84">
        <v>4.473448E-2</v>
      </c>
      <c r="F13" s="85">
        <f>E13*PROP_InOut!$G$8</f>
        <v>2.92869930388E-4</v>
      </c>
      <c r="G13" s="86">
        <f>PROP_InOut!$C$4</f>
        <v>19.55</v>
      </c>
      <c r="H13" s="87">
        <f>PROP_InOut!$C$8*'PROP_Table (2)'!C13</f>
        <v>35.787113421361546</v>
      </c>
      <c r="I13" s="88">
        <f t="shared" si="4"/>
        <v>40.778915961969808</v>
      </c>
      <c r="J13" s="89">
        <f>I13/PROP_InOut!$D$8</f>
        <v>0.11817571663879961</v>
      </c>
      <c r="K13" s="87">
        <f t="shared" si="5"/>
        <v>0.49998732084566277</v>
      </c>
      <c r="L13" s="88">
        <f t="shared" si="6"/>
        <v>28.647163294509845</v>
      </c>
      <c r="M13" s="86">
        <f t="shared" si="15"/>
        <v>3.5053297231727447E-2</v>
      </c>
      <c r="N13" s="86">
        <f t="shared" si="16"/>
        <v>2.0084059893955946</v>
      </c>
      <c r="O13" s="87">
        <f t="shared" si="7"/>
        <v>0.51640278309232623</v>
      </c>
      <c r="P13" s="83">
        <v>29.587700000000002</v>
      </c>
      <c r="Q13" s="87">
        <f t="shared" si="8"/>
        <v>-1.8637834985063981E-2</v>
      </c>
      <c r="R13" s="89">
        <f t="shared" si="9"/>
        <v>-1.0678692839054378</v>
      </c>
      <c r="S13" s="121">
        <f t="shared" si="17"/>
        <v>1.4565334236429088</v>
      </c>
      <c r="T13" s="121">
        <f t="shared" si="18"/>
        <v>41.496543924395297</v>
      </c>
      <c r="U13" s="116">
        <f>U12+(U14-U12)*((C13-C12)/(C14-C12))</f>
        <v>1.4558484864542525</v>
      </c>
      <c r="V13" s="116">
        <f>V12+(V14-V12)*((C13-C12)/(C14-C12))</f>
        <v>2.0084059893955946</v>
      </c>
      <c r="W13" s="117">
        <f t="shared" si="19"/>
        <v>-1.0678692839054378</v>
      </c>
      <c r="X13" s="116">
        <f t="shared" si="20"/>
        <v>41.496543924395297</v>
      </c>
      <c r="Y13" s="116">
        <f>Y12+(Y14-Y12)*((C13-C12)/(C14-C12))</f>
        <v>0.50610510167677492</v>
      </c>
      <c r="Z13" s="116">
        <f>Z12+(Z14-Z12)*((C13-C12)/(C14-C12))</f>
        <v>1.9825258651444879E-2</v>
      </c>
      <c r="AA13" s="116">
        <f t="shared" si="21"/>
        <v>-1.7312869149094468E-2</v>
      </c>
      <c r="AB13" s="116">
        <f t="shared" si="22"/>
        <v>25.276579277375181</v>
      </c>
      <c r="AC13" s="116">
        <f t="shared" si="23"/>
        <v>1.4565334236429088</v>
      </c>
      <c r="AD13" s="132">
        <f t="shared" si="24"/>
        <v>6.8493718865636488E-4</v>
      </c>
      <c r="AE13" s="116">
        <f t="shared" si="25"/>
        <v>3.5085710019716672E-2</v>
      </c>
      <c r="AF13" s="116">
        <f t="shared" si="26"/>
        <v>2.0102631053496296</v>
      </c>
      <c r="AG13" s="137">
        <f t="shared" si="27"/>
        <v>0.11817571663879961</v>
      </c>
      <c r="AH13" s="47"/>
      <c r="AI13" s="47"/>
      <c r="AJ13" s="47"/>
      <c r="AK13" s="47"/>
      <c r="AL13" s="47"/>
      <c r="AM13" s="47"/>
      <c r="AN13" s="125"/>
      <c r="AO13" s="90">
        <f>PROP_InOut!$F$8*'PROP_Table (2)'!I13*'PROP_Table (2)'!E13</f>
        <v>121907.93557462991</v>
      </c>
      <c r="AP13" s="87">
        <f t="shared" si="28"/>
        <v>0.50610510167677492</v>
      </c>
      <c r="AQ13" s="87">
        <f t="shared" si="29"/>
        <v>1.9825258651444879E-2</v>
      </c>
      <c r="AR13" s="5">
        <f>0.5*PROP_InOut!$J$8*I13^2*E13*AP13*(C13-C12)</f>
        <v>8.1859205259327286E-2</v>
      </c>
      <c r="AS13" s="5">
        <f>0.5*PROP_InOut!$J$8*I13^2*E13*AQ13*(C13-C12)</f>
        <v>3.2066065168897193E-3</v>
      </c>
      <c r="AT13" s="87">
        <f t="shared" si="0"/>
        <v>7.1226473307096999E-2</v>
      </c>
      <c r="AU13" s="87">
        <f t="shared" si="1"/>
        <v>3.9365575195639182E-3</v>
      </c>
      <c r="AV13" s="91">
        <f t="shared" si="2"/>
        <v>1.6489413578527554</v>
      </c>
      <c r="AW13" s="84">
        <f>PROP_InOut!$G$4/2*((PROP_InOut!$E$8-'PROP_Table (2)'!C13)/('PROP_Table (2)'!C13*SIN('PROP_Table (2)'!K13)))</f>
        <v>4.73558067963332</v>
      </c>
      <c r="AX13" s="84">
        <f t="shared" si="10"/>
        <v>0.9944120933560302</v>
      </c>
      <c r="AY13" s="84">
        <f>PROP_InOut!$G$4/2*((C13-PROP_InOut!$J$12/2)/(C13*SIN('PROP_Table (2)'!K13)))</f>
        <v>1.6579865519181352</v>
      </c>
      <c r="AZ13" s="84">
        <f t="shared" si="11"/>
        <v>0.87796376891725425</v>
      </c>
      <c r="BA13" s="84">
        <f t="shared" si="12"/>
        <v>0.87305778933975675</v>
      </c>
      <c r="BB13" s="22">
        <f>0.5*PROP_InOut!$J$8*T13^2*E13*AP13*(C13-C12)</f>
        <v>8.4765675241004354E-2</v>
      </c>
      <c r="BC13" s="22">
        <f>0.5*PROP_InOut!$J$8*T13^2*E13*AQ13*(C13-C12)</f>
        <v>3.3204593884741044E-3</v>
      </c>
      <c r="BD13" s="84">
        <f t="shared" si="13"/>
        <v>6.2184827327961302E-2</v>
      </c>
      <c r="BE13" s="84">
        <f t="shared" si="3"/>
        <v>3.4368422056392707E-3</v>
      </c>
      <c r="BF13" s="84">
        <f t="shared" si="30"/>
        <v>1.4396210966378233</v>
      </c>
      <c r="BG13" s="86"/>
    </row>
    <row r="14" spans="1:62" s="92" customFormat="1" ht="15.75" thickBot="1" x14ac:dyDescent="0.3">
      <c r="A14" s="160"/>
      <c r="B14" s="78">
        <v>11</v>
      </c>
      <c r="C14" s="83">
        <v>8.8996519999999996E-2</v>
      </c>
      <c r="D14" s="84">
        <f>C14/PROP_InOut!$E$8</f>
        <v>0.31852727272727271</v>
      </c>
      <c r="E14" s="84">
        <v>4.5196760000000002E-2</v>
      </c>
      <c r="F14" s="85">
        <f>E14*PROP_InOut!$G$8</f>
        <v>2.9589640820600001E-4</v>
      </c>
      <c r="G14" s="86">
        <f>PROP_InOut!$C$4</f>
        <v>19.55</v>
      </c>
      <c r="H14" s="87">
        <f>PROP_InOut!$C$8*'PROP_Table (2)'!C14</f>
        <v>37.278775123607616</v>
      </c>
      <c r="I14" s="88">
        <f t="shared" si="4"/>
        <v>42.094056287277731</v>
      </c>
      <c r="J14" s="89">
        <f>I14/PROP_InOut!$D$8</f>
        <v>0.1219869422870927</v>
      </c>
      <c r="K14" s="87">
        <f t="shared" si="5"/>
        <v>0.48299778397932608</v>
      </c>
      <c r="L14" s="88">
        <f t="shared" si="6"/>
        <v>27.673734536186831</v>
      </c>
      <c r="M14" s="86">
        <f t="shared" si="15"/>
        <v>3.5387505912286212E-2</v>
      </c>
      <c r="N14" s="86">
        <f t="shared" si="16"/>
        <v>2.027554736268248</v>
      </c>
      <c r="O14" s="87">
        <f t="shared" si="7"/>
        <v>0.49905944631525861</v>
      </c>
      <c r="P14" s="83">
        <v>28.594000000000001</v>
      </c>
      <c r="Q14" s="87">
        <f t="shared" si="8"/>
        <v>-1.9325843576353672E-2</v>
      </c>
      <c r="R14" s="89">
        <f t="shared" si="9"/>
        <v>-1.1072892724550782</v>
      </c>
      <c r="S14" s="121">
        <f t="shared" si="17"/>
        <v>1.5159071093150049</v>
      </c>
      <c r="T14" s="121">
        <f t="shared" si="18"/>
        <v>42.819148952358546</v>
      </c>
      <c r="U14" s="116">
        <v>1.5159071081157505</v>
      </c>
      <c r="V14" s="116">
        <v>2.027554736268248</v>
      </c>
      <c r="W14" s="117">
        <f t="shared" si="19"/>
        <v>-1.1072892724550782</v>
      </c>
      <c r="X14" s="116">
        <f t="shared" si="20"/>
        <v>42.819148952358546</v>
      </c>
      <c r="Y14" s="122">
        <v>0.50582000000000005</v>
      </c>
      <c r="Z14" s="121">
        <v>1.9099999999999999E-2</v>
      </c>
      <c r="AA14" s="116">
        <f t="shared" si="21"/>
        <v>-3.1339858708179236E-8</v>
      </c>
      <c r="AB14" s="116">
        <f t="shared" si="22"/>
        <v>26.132778294320829</v>
      </c>
      <c r="AC14" s="116">
        <f t="shared" si="23"/>
        <v>1.5159071093150052</v>
      </c>
      <c r="AD14" s="132">
        <f t="shared" si="24"/>
        <v>1.1992546955497119E-9</v>
      </c>
      <c r="AE14" s="116">
        <f t="shared" si="25"/>
        <v>3.5387771738372147E-2</v>
      </c>
      <c r="AF14" s="116">
        <f t="shared" si="26"/>
        <v>2.0275699669810563</v>
      </c>
      <c r="AG14" s="137">
        <f t="shared" si="27"/>
        <v>0.1219869422870927</v>
      </c>
      <c r="AH14" s="86"/>
      <c r="AI14" s="47"/>
      <c r="AJ14" s="47"/>
      <c r="AK14" s="47"/>
      <c r="AL14" s="47"/>
      <c r="AM14" s="47"/>
      <c r="AN14" s="125">
        <v>2.027554736268248</v>
      </c>
      <c r="AO14" s="90">
        <f>PROP_InOut!$F$8*'PROP_Table (2)'!I14*'PROP_Table (2)'!E14</f>
        <v>127139.93560826406</v>
      </c>
      <c r="AP14" s="87">
        <f t="shared" si="28"/>
        <v>0.50582000000000005</v>
      </c>
      <c r="AQ14" s="87">
        <f t="shared" si="29"/>
        <v>1.9099999999999999E-2</v>
      </c>
      <c r="AR14" s="5">
        <f>0.5*PROP_InOut!$J$8*I14^2*E14*AP14*(C14-C13)</f>
        <v>8.8138934382848005E-2</v>
      </c>
      <c r="AS14" s="5">
        <f>0.5*PROP_InOut!$J$8*I14^2*E14*AQ14*(C14-C13)</f>
        <v>3.3281674246024209E-3</v>
      </c>
      <c r="AT14" s="87">
        <f t="shared" si="0"/>
        <v>7.7513204207623171E-2</v>
      </c>
      <c r="AU14" s="87">
        <f t="shared" si="1"/>
        <v>4.2878306832694188E-3</v>
      </c>
      <c r="AV14" s="91">
        <f t="shared" si="2"/>
        <v>1.7960823165861481</v>
      </c>
      <c r="AW14" s="84">
        <f>PROP_InOut!$G$4/2*((PROP_InOut!$E$8-'PROP_Table (2)'!C14)/('PROP_Table (2)'!C14*SIN('PROP_Table (2)'!K14)))</f>
        <v>4.6065508816323693</v>
      </c>
      <c r="AX14" s="84">
        <f t="shared" si="10"/>
        <v>0.99364248032311975</v>
      </c>
      <c r="AY14" s="84">
        <f>PROP_InOut!$G$4/2*((C14-PROP_InOut!$J$12/2)/(C14*SIN('PROP_Table (2)'!K14)))</f>
        <v>1.7291311425438438</v>
      </c>
      <c r="AZ14" s="84">
        <f t="shared" si="11"/>
        <v>0.886437824759436</v>
      </c>
      <c r="BA14" s="84">
        <f t="shared" si="12"/>
        <v>0.880802278846197</v>
      </c>
      <c r="BB14" s="22">
        <f>0.5*PROP_InOut!$J$8*T14^2*E14*AP14*(C14-C13)</f>
        <v>9.1201567589807825E-2</v>
      </c>
      <c r="BC14" s="22">
        <f>0.5*PROP_InOut!$J$8*T14^2*E14*AQ14*(C14-C13)</f>
        <v>3.4438138882711819E-3</v>
      </c>
      <c r="BD14" s="84">
        <f t="shared" si="13"/>
        <v>6.8273806906745116E-2</v>
      </c>
      <c r="BE14" s="84">
        <f t="shared" si="3"/>
        <v>3.7767310371303498E-3</v>
      </c>
      <c r="BF14" s="84">
        <f t="shared" si="30"/>
        <v>1.581993397444436</v>
      </c>
      <c r="BG14" s="86"/>
    </row>
    <row r="15" spans="1:62" s="92" customFormat="1" ht="15.75" thickBot="1" x14ac:dyDescent="0.3">
      <c r="A15" s="160"/>
      <c r="B15" s="78">
        <v>12</v>
      </c>
      <c r="C15" s="83">
        <v>9.2557600000000004E-2</v>
      </c>
      <c r="D15" s="84">
        <f>C15/PROP_InOut!$E$8</f>
        <v>0.33127272727272733</v>
      </c>
      <c r="E15" s="84">
        <v>4.5582839999999999E-2</v>
      </c>
      <c r="F15" s="85">
        <f>E15*PROP_InOut!$G$8</f>
        <v>2.9842401605399997E-4</v>
      </c>
      <c r="G15" s="86">
        <f>PROP_InOut!$C$4</f>
        <v>19.55</v>
      </c>
      <c r="H15" s="87">
        <f>PROP_InOut!$C$8*'PROP_Table (2)'!C15</f>
        <v>38.770436825853693</v>
      </c>
      <c r="I15" s="88">
        <f t="shared" si="4"/>
        <v>43.42060883575347</v>
      </c>
      <c r="J15" s="89">
        <f>I15/PROP_InOut!$D$8</f>
        <v>0.12583124011544464</v>
      </c>
      <c r="K15" s="87">
        <f t="shared" si="5"/>
        <v>0.46704197446523038</v>
      </c>
      <c r="L15" s="88">
        <f t="shared" si="6"/>
        <v>26.759533992314463</v>
      </c>
      <c r="M15" s="86">
        <f t="shared" si="15"/>
        <v>3.567154999460851E-2</v>
      </c>
      <c r="N15" s="86">
        <f t="shared" si="16"/>
        <v>2.043829263380982</v>
      </c>
      <c r="O15" s="87">
        <f t="shared" si="7"/>
        <v>0.48275283511387557</v>
      </c>
      <c r="P15" s="83">
        <v>27.659700000000001</v>
      </c>
      <c r="Q15" s="87">
        <f t="shared" si="8"/>
        <v>-1.9960689345963289E-2</v>
      </c>
      <c r="R15" s="89">
        <f t="shared" si="9"/>
        <v>-1.143663255695444</v>
      </c>
      <c r="S15" s="121">
        <f t="shared" si="17"/>
        <v>1.5779805922650123</v>
      </c>
      <c r="T15" s="121">
        <f t="shared" si="18"/>
        <v>44.152945043184147</v>
      </c>
      <c r="U15" s="116">
        <f>U14+(U16-U14)*((C15-C14)/(C16-C14))</f>
        <v>1.5766605103344971</v>
      </c>
      <c r="V15" s="116">
        <f>V14+(V16-V14)*((C15-C14)/(C16-C14))</f>
        <v>2.043829263380982</v>
      </c>
      <c r="W15" s="117">
        <f t="shared" si="19"/>
        <v>-1.143663255695444</v>
      </c>
      <c r="X15" s="116">
        <f t="shared" si="20"/>
        <v>44.152945043184147</v>
      </c>
      <c r="Y15" s="116">
        <f>Y14+(Y16-Y14)*((C15-C14)/(C16-C14))</f>
        <v>0.50704382541720161</v>
      </c>
      <c r="Z15" s="116">
        <f>Z14+(Z16-Z14)*((C15-C14)/(C16-C14))</f>
        <v>1.8520482670089856E-2</v>
      </c>
      <c r="AA15" s="116">
        <f t="shared" si="21"/>
        <v>-3.5674897905558112E-2</v>
      </c>
      <c r="AB15" s="116">
        <f t="shared" si="22"/>
        <v>27.024760418948084</v>
      </c>
      <c r="AC15" s="116">
        <f t="shared" si="23"/>
        <v>1.5779805922650123</v>
      </c>
      <c r="AD15" s="132">
        <f t="shared" si="24"/>
        <v>1.3200819305152489E-3</v>
      </c>
      <c r="AE15" s="116">
        <f t="shared" si="25"/>
        <v>3.5723761290104052E-2</v>
      </c>
      <c r="AF15" s="116">
        <f t="shared" si="26"/>
        <v>2.0468207502557871</v>
      </c>
      <c r="AG15" s="137">
        <f t="shared" si="27"/>
        <v>0.12583124011544464</v>
      </c>
      <c r="AH15" s="47"/>
      <c r="AI15" s="47"/>
      <c r="AJ15" s="47"/>
      <c r="AK15" s="47"/>
      <c r="AL15" s="86"/>
      <c r="AM15" s="86"/>
      <c r="AN15" s="125"/>
      <c r="AO15" s="90">
        <f>PROP_InOut!$F$8*'PROP_Table (2)'!I15*'PROP_Table (2)'!E15</f>
        <v>132266.90631062174</v>
      </c>
      <c r="AP15" s="87">
        <f t="shared" si="28"/>
        <v>0.50704382541720161</v>
      </c>
      <c r="AQ15" s="87">
        <f t="shared" si="29"/>
        <v>1.8520482670089856E-2</v>
      </c>
      <c r="AR15" s="5">
        <f>0.5*PROP_InOut!$J$8*I15^2*E15*AP15*(C15-C14)</f>
        <v>9.4811635116110349E-2</v>
      </c>
      <c r="AS15" s="5">
        <f>0.5*PROP_InOut!$J$8*I15^2*E15*AQ15*(C15-C14)</f>
        <v>3.4631271639014292E-3</v>
      </c>
      <c r="AT15" s="87">
        <f t="shared" si="0"/>
        <v>8.4182228224480585E-2</v>
      </c>
      <c r="AU15" s="87">
        <f t="shared" si="1"/>
        <v>4.6623603915229043E-3</v>
      </c>
      <c r="AV15" s="91">
        <f t="shared" si="2"/>
        <v>1.9529649539195186</v>
      </c>
      <c r="AW15" s="84">
        <f>PROP_InOut!$G$4/2*((PROP_InOut!$E$8-'PROP_Table (2)'!C15)/('PROP_Table (2)'!C15*SIN('PROP_Table (2)'!K15)))</f>
        <v>4.4834517392680322</v>
      </c>
      <c r="AX15" s="84">
        <f t="shared" si="10"/>
        <v>0.99280963384627996</v>
      </c>
      <c r="AY15" s="84">
        <f>PROP_InOut!$G$4/2*((C15-PROP_InOut!$J$12/2)/(C15*SIN('PROP_Table (2)'!K15)))</f>
        <v>1.8004508479877339</v>
      </c>
      <c r="AZ15" s="84">
        <f t="shared" si="11"/>
        <v>0.89433033974517395</v>
      </c>
      <c r="BA15" s="84">
        <f t="shared" si="12"/>
        <v>0.88789977714002533</v>
      </c>
      <c r="BB15" s="22">
        <f>0.5*PROP_InOut!$J$8*T15^2*E15*AP15*(C15-C14)</f>
        <v>9.8036810229825952E-2</v>
      </c>
      <c r="BC15" s="22">
        <f>0.5*PROP_InOut!$J$8*T15^2*E15*AQ15*(C15-C14)</f>
        <v>3.580931181635846E-3</v>
      </c>
      <c r="BD15" s="84">
        <f t="shared" si="13"/>
        <v>7.4745381679667058E-2</v>
      </c>
      <c r="BE15" s="84">
        <f t="shared" si="3"/>
        <v>4.1397087525796676E-3</v>
      </c>
      <c r="BF15" s="84">
        <f t="shared" si="30"/>
        <v>1.7340371473474203</v>
      </c>
      <c r="BG15" s="86"/>
    </row>
    <row r="16" spans="1:62" s="92" customFormat="1" ht="15.75" thickBot="1" x14ac:dyDescent="0.3">
      <c r="A16" s="160"/>
      <c r="B16" s="78">
        <v>13</v>
      </c>
      <c r="C16" s="83">
        <v>9.8889819999999989E-2</v>
      </c>
      <c r="D16" s="84">
        <f>C16/PROP_InOut!$E$8</f>
        <v>0.3539363636363636</v>
      </c>
      <c r="E16" s="84">
        <v>4.6088299999999999E-2</v>
      </c>
      <c r="F16" s="85">
        <f>E16*PROP_InOut!$G$8</f>
        <v>3.01733186855E-4</v>
      </c>
      <c r="G16" s="86">
        <f>PROP_InOut!$C$4</f>
        <v>19.55</v>
      </c>
      <c r="H16" s="87">
        <f>PROP_InOut!$C$8*'PROP_Table (2)'!C16</f>
        <v>41.422870936908929</v>
      </c>
      <c r="I16" s="88">
        <f t="shared" si="4"/>
        <v>45.804549300869823</v>
      </c>
      <c r="J16" s="89">
        <f>I16/PROP_InOut!$D$8</f>
        <v>0.13273980711001829</v>
      </c>
      <c r="K16" s="87">
        <f t="shared" si="5"/>
        <v>0.44096626940223732</v>
      </c>
      <c r="L16" s="88">
        <f t="shared" si="6"/>
        <v>25.265506144377049</v>
      </c>
      <c r="M16" s="86">
        <f t="shared" si="15"/>
        <v>3.6176629807183017E-2</v>
      </c>
      <c r="N16" s="86">
        <f t="shared" si="16"/>
        <v>2.0727682049587601</v>
      </c>
      <c r="O16" s="87">
        <f t="shared" si="7"/>
        <v>0.45605627887537026</v>
      </c>
      <c r="P16" s="83">
        <v>26.130099999999999</v>
      </c>
      <c r="Q16" s="87">
        <f t="shared" si="8"/>
        <v>-2.1086620334050062E-2</v>
      </c>
      <c r="R16" s="89">
        <f t="shared" si="9"/>
        <v>-1.2081743493358106</v>
      </c>
      <c r="S16" s="121">
        <f t="shared" si="17"/>
        <v>1.6846906349363999</v>
      </c>
      <c r="T16" s="121">
        <f t="shared" si="18"/>
        <v>46.548537280215257</v>
      </c>
      <c r="U16" s="116">
        <v>1.6846906328247502</v>
      </c>
      <c r="V16" s="116">
        <v>2.0727682049587601</v>
      </c>
      <c r="W16" s="117">
        <f t="shared" si="19"/>
        <v>-1.2081743493358106</v>
      </c>
      <c r="X16" s="116">
        <f t="shared" si="20"/>
        <v>46.548537280215257</v>
      </c>
      <c r="Y16" s="122">
        <v>0.50922000000000001</v>
      </c>
      <c r="Z16" s="121">
        <v>1.7489999999999999E-2</v>
      </c>
      <c r="AA16" s="116">
        <f t="shared" si="21"/>
        <v>-6.0594842921091185E-8</v>
      </c>
      <c r="AB16" s="116">
        <f t="shared" si="22"/>
        <v>28.695497677117068</v>
      </c>
      <c r="AC16" s="116">
        <f t="shared" si="23"/>
        <v>1.6846906349363999</v>
      </c>
      <c r="AD16" s="132">
        <f t="shared" si="24"/>
        <v>2.1116497439521709E-9</v>
      </c>
      <c r="AE16" s="116">
        <f t="shared" si="25"/>
        <v>3.6176338410745038E-2</v>
      </c>
      <c r="AF16" s="116">
        <f t="shared" si="26"/>
        <v>2.0727515091726985</v>
      </c>
      <c r="AG16" s="137">
        <f t="shared" si="27"/>
        <v>0.13273980711001829</v>
      </c>
      <c r="AH16" s="86"/>
      <c r="AI16" s="86"/>
      <c r="AJ16" s="47"/>
      <c r="AK16" s="47"/>
      <c r="AL16" s="47"/>
      <c r="AM16" s="47"/>
      <c r="AN16" s="125">
        <v>2.0727682049587601</v>
      </c>
      <c r="AO16" s="90">
        <f>PROP_InOut!$F$8*'PROP_Table (2)'!I16*'PROP_Table (2)'!E16</f>
        <v>141076.02364900784</v>
      </c>
      <c r="AP16" s="87">
        <f t="shared" si="28"/>
        <v>0.50922000000000001</v>
      </c>
      <c r="AQ16" s="87">
        <f t="shared" si="29"/>
        <v>1.7489999999999999E-2</v>
      </c>
      <c r="AR16" s="5">
        <f>0.5*PROP_InOut!$J$8*I16^2*E16*AP16*(C16-C15)</f>
        <v>0.19050684096574738</v>
      </c>
      <c r="AS16" s="5">
        <f>0.5*PROP_InOut!$J$8*I16^2*E16*AQ16*(C16-C15)</f>
        <v>6.54327137286619E-3</v>
      </c>
      <c r="AT16" s="87">
        <f t="shared" si="0"/>
        <v>0.17166800939546761</v>
      </c>
      <c r="AU16" s="87">
        <f t="shared" si="1"/>
        <v>9.5287208913925839E-3</v>
      </c>
      <c r="AV16" s="91">
        <f t="shared" si="2"/>
        <v>3.9913812734008705</v>
      </c>
      <c r="AW16" s="84">
        <f>PROP_InOut!$G$4/2*((PROP_InOut!$E$8-'PROP_Table (2)'!C16)/('PROP_Table (2)'!C16*SIN('PROP_Table (2)'!K16)))</f>
        <v>4.276731302592454</v>
      </c>
      <c r="AX16" s="84">
        <f t="shared" si="10"/>
        <v>0.99115835080836945</v>
      </c>
      <c r="AY16" s="84">
        <f>PROP_InOut!$G$4/2*((C16-PROP_InOut!$J$12/2)/(C16*SIN('PROP_Table (2)'!K16)))</f>
        <v>1.9277095391101928</v>
      </c>
      <c r="AZ16" s="84">
        <f t="shared" si="11"/>
        <v>0.90705404565058634</v>
      </c>
      <c r="BA16" s="84">
        <f t="shared" si="12"/>
        <v>0.89903419198109458</v>
      </c>
      <c r="BB16" s="22">
        <f>0.5*PROP_InOut!$J$8*T16^2*E16*AP16*(C16-C15)</f>
        <v>0.19674577912028149</v>
      </c>
      <c r="BC16" s="22">
        <f>0.5*PROP_InOut!$J$8*T16^2*E16*AQ16*(C16-C15)</f>
        <v>6.7575579843951981E-3</v>
      </c>
      <c r="BD16" s="84">
        <f t="shared" si="13"/>
        <v>0.15433541011585719</v>
      </c>
      <c r="BE16" s="84">
        <f t="shared" si="3"/>
        <v>8.5666458872065074E-3</v>
      </c>
      <c r="BF16" s="84">
        <f t="shared" si="30"/>
        <v>3.5883882380204239</v>
      </c>
      <c r="BG16" s="86"/>
    </row>
    <row r="17" spans="1:59" s="92" customFormat="1" ht="15.75" thickBot="1" x14ac:dyDescent="0.3">
      <c r="A17" s="160"/>
      <c r="B17" s="78">
        <v>14</v>
      </c>
      <c r="C17" s="83">
        <v>0.10598150000000001</v>
      </c>
      <c r="D17" s="84">
        <f>C17/PROP_InOut!$E$8</f>
        <v>0.37931818181818189</v>
      </c>
      <c r="E17" s="84">
        <v>4.63931E-2</v>
      </c>
      <c r="F17" s="85">
        <f>E17*PROP_InOut!$G$8</f>
        <v>3.0372866673500002E-4</v>
      </c>
      <c r="G17" s="86">
        <f>PROP_InOut!$C$4</f>
        <v>19.55</v>
      </c>
      <c r="H17" s="87">
        <f>PROP_InOut!$C$8*'PROP_Table (2)'!C17</f>
        <v>44.393426908856895</v>
      </c>
      <c r="I17" s="88">
        <f t="shared" si="4"/>
        <v>48.507513363519465</v>
      </c>
      <c r="J17" s="89">
        <f>I17/PROP_InOut!$D$8</f>
        <v>0.14057289211528023</v>
      </c>
      <c r="K17" s="87">
        <f t="shared" si="5"/>
        <v>0.41482562207897894</v>
      </c>
      <c r="L17" s="88">
        <f t="shared" si="6"/>
        <v>23.767757379014391</v>
      </c>
      <c r="M17" s="86">
        <f t="shared" si="15"/>
        <v>3.60614144464085E-2</v>
      </c>
      <c r="N17" s="86">
        <f t="shared" si="16"/>
        <v>2.0661668510513032</v>
      </c>
      <c r="O17" s="87">
        <f t="shared" si="7"/>
        <v>0.42926023886950138</v>
      </c>
      <c r="P17" s="83">
        <v>24.594799999999999</v>
      </c>
      <c r="Q17" s="87">
        <f t="shared" si="8"/>
        <v>-2.1626797655886088E-2</v>
      </c>
      <c r="R17" s="89">
        <f t="shared" si="9"/>
        <v>-1.2391242300656948</v>
      </c>
      <c r="S17" s="121">
        <f t="shared" si="17"/>
        <v>1.7817087528357805</v>
      </c>
      <c r="T17" s="121">
        <f t="shared" si="18"/>
        <v>49.250570402707694</v>
      </c>
      <c r="U17" s="116">
        <f>U16+(U18-U16)*((C17-C16)/(C18-C16))</f>
        <v>1.7770328991176794</v>
      </c>
      <c r="V17" s="116">
        <f>V16+(V18-V16)*((C17-C16)/(C18-C16))</f>
        <v>2.0661668510513032</v>
      </c>
      <c r="W17" s="117">
        <f t="shared" si="19"/>
        <v>-1.2391242300656948</v>
      </c>
      <c r="X17" s="116">
        <f t="shared" si="20"/>
        <v>49.250570402707694</v>
      </c>
      <c r="Y17" s="116">
        <f>Y16+(Y18-Y16)*((C17-C16)/(C18-C16))</f>
        <v>0.50703960952892713</v>
      </c>
      <c r="Z17" s="116">
        <f>Z16+(Z18-Z16)*((C17-C16)/(C18-C16))</f>
        <v>1.6729863872469997E-2</v>
      </c>
      <c r="AA17" s="116">
        <f t="shared" si="21"/>
        <v>-0.14352269426434106</v>
      </c>
      <c r="AB17" s="116">
        <f t="shared" si="22"/>
        <v>30.694436335495016</v>
      </c>
      <c r="AC17" s="116">
        <f t="shared" si="23"/>
        <v>1.7817087528357805</v>
      </c>
      <c r="AD17" s="132">
        <f t="shared" si="24"/>
        <v>4.6758537181010862E-3</v>
      </c>
      <c r="AE17" s="116">
        <f t="shared" si="25"/>
        <v>3.6160639114850006E-2</v>
      </c>
      <c r="AF17" s="116">
        <f t="shared" si="26"/>
        <v>2.0718520057765861</v>
      </c>
      <c r="AG17" s="137">
        <f t="shared" si="27"/>
        <v>0.14057289211528023</v>
      </c>
      <c r="AH17" s="86"/>
      <c r="AI17" s="86"/>
      <c r="AJ17" s="86"/>
      <c r="AK17" s="47"/>
      <c r="AL17" s="47"/>
      <c r="AM17" s="47"/>
      <c r="AN17" s="125"/>
      <c r="AO17" s="90">
        <f>PROP_InOut!$F$8*'PROP_Table (2)'!I17*'PROP_Table (2)'!E17</f>
        <v>150389.08326844865</v>
      </c>
      <c r="AP17" s="87">
        <f t="shared" si="28"/>
        <v>0.50703960952892713</v>
      </c>
      <c r="AQ17" s="87">
        <f t="shared" si="29"/>
        <v>1.6729863872469997E-2</v>
      </c>
      <c r="AR17" s="5">
        <f>0.5*PROP_InOut!$J$8*I17^2*E17*AP17*(C17-C16)</f>
        <v>0.23983007616253921</v>
      </c>
      <c r="AS17" s="5">
        <f>0.5*PROP_InOut!$J$8*I17^2*E17*AQ17*(C17-C16)</f>
        <v>7.9132368582626178E-3</v>
      </c>
      <c r="AT17" s="87">
        <f t="shared" si="0"/>
        <v>0.21897087953808442</v>
      </c>
      <c r="AU17" s="87">
        <f t="shared" si="1"/>
        <v>1.2196135065488899E-2</v>
      </c>
      <c r="AV17" s="91">
        <f t="shared" si="2"/>
        <v>5.1087051098571736</v>
      </c>
      <c r="AW17" s="84">
        <f>PROP_InOut!$G$4/2*((PROP_InOut!$E$8-'PROP_Table (2)'!C17)/('PROP_Table (2)'!C17*SIN('PROP_Table (2)'!K17)))</f>
        <v>4.0600147720282642</v>
      </c>
      <c r="AX17" s="84">
        <f t="shared" si="10"/>
        <v>0.98901855100952962</v>
      </c>
      <c r="AY17" s="84">
        <f>PROP_InOut!$G$4/2*((C17-PROP_InOut!$J$12/2)/(C17*SIN('PROP_Table (2)'!K17)))</f>
        <v>2.0708899953992579</v>
      </c>
      <c r="AZ17" s="84">
        <f t="shared" si="11"/>
        <v>0.91952494642708738</v>
      </c>
      <c r="BA17" s="84">
        <f t="shared" si="12"/>
        <v>0.90942723013243332</v>
      </c>
      <c r="BB17" s="22">
        <f>0.5*PROP_InOut!$J$8*T17^2*E17*AP17*(C17-C16)</f>
        <v>0.24723397462430333</v>
      </c>
      <c r="BC17" s="22">
        <f>0.5*PROP_InOut!$J$8*T17^2*E17*AQ17*(C17-C16)</f>
        <v>8.1575298307701976E-3</v>
      </c>
      <c r="BD17" s="84">
        <f t="shared" si="13"/>
        <v>0.19913808045798284</v>
      </c>
      <c r="BE17" s="84">
        <f t="shared" si="3"/>
        <v>1.1091497330928613E-2</v>
      </c>
      <c r="BF17" s="84">
        <f t="shared" si="30"/>
        <v>4.6459955376208182</v>
      </c>
      <c r="BG17" s="86"/>
    </row>
    <row r="18" spans="1:59" s="92" customFormat="1" ht="15.75" thickBot="1" x14ac:dyDescent="0.3">
      <c r="A18" s="160"/>
      <c r="B18" s="78">
        <v>15</v>
      </c>
      <c r="C18" s="83">
        <v>0.11307064</v>
      </c>
      <c r="D18" s="84">
        <f>C18/PROP_InOut!$E$8</f>
        <v>0.4046909090909091</v>
      </c>
      <c r="E18" s="84">
        <v>4.6436279999999996E-2</v>
      </c>
      <c r="F18" s="85">
        <f>E18*PROP_InOut!$G$8</f>
        <v>3.0401135971799999E-4</v>
      </c>
      <c r="G18" s="86">
        <f>PROP_InOut!$C$4</f>
        <v>19.55</v>
      </c>
      <c r="H18" s="87">
        <f>PROP_InOut!$C$8*'PROP_Table (2)'!C18</f>
        <v>47.362918928092832</v>
      </c>
      <c r="I18" s="88">
        <f t="shared" si="4"/>
        <v>51.239131426958188</v>
      </c>
      <c r="J18" s="89">
        <f>I18/PROP_InOut!$D$8</f>
        <v>0.14848901530333686</v>
      </c>
      <c r="K18" s="87">
        <f t="shared" si="5"/>
        <v>0.39146643907048984</v>
      </c>
      <c r="L18" s="88">
        <f t="shared" si="6"/>
        <v>22.429374779754262</v>
      </c>
      <c r="M18" s="86">
        <f t="shared" si="15"/>
        <v>3.5946240351880675E-2</v>
      </c>
      <c r="N18" s="86">
        <f t="shared" si="16"/>
        <v>2.0595678615256179</v>
      </c>
      <c r="O18" s="87">
        <f t="shared" si="7"/>
        <v>0.40527417895934331</v>
      </c>
      <c r="P18" s="83">
        <v>23.220500000000001</v>
      </c>
      <c r="Q18" s="87">
        <f t="shared" si="8"/>
        <v>-2.2138500463027226E-2</v>
      </c>
      <c r="R18" s="89">
        <f t="shared" si="9"/>
        <v>-1.2684426412798788</v>
      </c>
      <c r="S18" s="121">
        <f t="shared" si="17"/>
        <v>1.869342093775308</v>
      </c>
      <c r="T18" s="121">
        <f t="shared" si="18"/>
        <v>51.981095650469037</v>
      </c>
      <c r="U18" s="116">
        <v>1.8693420915329961</v>
      </c>
      <c r="V18" s="116">
        <v>2.0595678615256179</v>
      </c>
      <c r="W18" s="117">
        <f t="shared" si="19"/>
        <v>-1.2684426412798788</v>
      </c>
      <c r="X18" s="116">
        <f t="shared" si="20"/>
        <v>51.981095650469037</v>
      </c>
      <c r="Y18" s="122">
        <v>0.50485999999999998</v>
      </c>
      <c r="Z18" s="121">
        <v>1.5970000000000002E-2</v>
      </c>
      <c r="AA18" s="116">
        <f t="shared" si="21"/>
        <v>-7.3669887967753311E-8</v>
      </c>
      <c r="AB18" s="116">
        <f t="shared" si="22"/>
        <v>32.854435537531728</v>
      </c>
      <c r="AC18" s="116">
        <f t="shared" si="23"/>
        <v>1.869342093775308</v>
      </c>
      <c r="AD18" s="132">
        <f t="shared" si="24"/>
        <v>2.2423118917203055E-9</v>
      </c>
      <c r="AE18" s="116">
        <f t="shared" si="25"/>
        <v>3.5946469482036059E-2</v>
      </c>
      <c r="AF18" s="116">
        <f t="shared" si="26"/>
        <v>2.0595809897164807</v>
      </c>
      <c r="AG18" s="137">
        <f t="shared" si="27"/>
        <v>0.14848901530333686</v>
      </c>
      <c r="AH18" s="86"/>
      <c r="AI18" s="86"/>
      <c r="AJ18" s="86"/>
      <c r="AK18" s="47"/>
      <c r="AL18" s="47"/>
      <c r="AM18" s="47"/>
      <c r="AN18" s="125">
        <v>2.0595678615256179</v>
      </c>
      <c r="AO18" s="90">
        <f>PROP_InOut!$F$8*'PROP_Table (2)'!I18*'PROP_Table (2)'!E18</f>
        <v>159005.84433490009</v>
      </c>
      <c r="AP18" s="87">
        <f t="shared" si="28"/>
        <v>0.50485999999999998</v>
      </c>
      <c r="AQ18" s="87">
        <f t="shared" si="29"/>
        <v>1.5970000000000002E-2</v>
      </c>
      <c r="AR18" s="5">
        <f>0.5*PROP_InOut!$J$8*I18^2*E18*AP18*(C18-C17)</f>
        <v>0.26660400304677878</v>
      </c>
      <c r="AS18" s="5">
        <f>0.5*PROP_InOut!$J$8*I18^2*E18*AQ18*(C18-C17)</f>
        <v>8.4333596019828434E-3</v>
      </c>
      <c r="AT18" s="87">
        <f t="shared" si="0"/>
        <v>0.24610027145906302</v>
      </c>
      <c r="AU18" s="87">
        <f t="shared" si="1"/>
        <v>1.3753271912536053E-2</v>
      </c>
      <c r="AV18" s="91">
        <f t="shared" si="2"/>
        <v>5.7609570670994819</v>
      </c>
      <c r="AW18" s="84">
        <f>PROP_InOut!$G$4/2*((PROP_InOut!$E$8-'PROP_Table (2)'!C18)/('PROP_Table (2)'!C18*SIN('PROP_Table (2)'!K18)))</f>
        <v>3.8554410188938983</v>
      </c>
      <c r="AX18" s="84">
        <f t="shared" si="10"/>
        <v>0.98652540283399337</v>
      </c>
      <c r="AY18" s="84">
        <f>PROP_InOut!$G$4/2*((C18-PROP_InOut!$J$12/2)/(C18*SIN('PROP_Table (2)'!K18)))</f>
        <v>2.2146825081960921</v>
      </c>
      <c r="AZ18" s="84">
        <f t="shared" si="11"/>
        <v>0.93034978279929725</v>
      </c>
      <c r="BA18" s="84">
        <f t="shared" si="12"/>
        <v>0.91781369425259496</v>
      </c>
      <c r="BB18" s="22">
        <f>0.5*PROP_InOut!$J$8*T18^2*E18*AP18*(C18-C17)</f>
        <v>0.27438098197783789</v>
      </c>
      <c r="BC18" s="22">
        <f>0.5*PROP_InOut!$J$8*T18^2*E18*AQ18*(C18-C17)</f>
        <v>8.6793651352574403E-3</v>
      </c>
      <c r="BD18" s="84">
        <f t="shared" si="13"/>
        <v>0.22587419930440908</v>
      </c>
      <c r="BE18" s="84">
        <f t="shared" si="3"/>
        <v>1.2622941302105166E-2</v>
      </c>
      <c r="BF18" s="84">
        <f t="shared" si="30"/>
        <v>5.2874852881851702</v>
      </c>
      <c r="BG18" s="86"/>
    </row>
    <row r="19" spans="1:59" s="92" customFormat="1" ht="15.75" thickBot="1" x14ac:dyDescent="0.3">
      <c r="A19" s="160"/>
      <c r="B19" s="78">
        <v>16</v>
      </c>
      <c r="C19" s="83">
        <v>0.12016232</v>
      </c>
      <c r="D19" s="84">
        <f>C19/PROP_InOut!$E$8</f>
        <v>0.43007272727272733</v>
      </c>
      <c r="E19" s="84">
        <v>4.623816E-2</v>
      </c>
      <c r="F19" s="85">
        <f>E19*PROP_InOut!$G$8</f>
        <v>3.0271429779599998E-4</v>
      </c>
      <c r="G19" s="86">
        <f>PROP_InOut!$C$4</f>
        <v>19.55</v>
      </c>
      <c r="H19" s="87">
        <f>PROP_InOut!$C$8*'PROP_Table (2)'!C19</f>
        <v>50.333474900040791</v>
      </c>
      <c r="I19" s="88">
        <f t="shared" si="4"/>
        <v>53.996862830288912</v>
      </c>
      <c r="J19" s="89">
        <f>I19/PROP_InOut!$D$8</f>
        <v>0.15648081393746094</v>
      </c>
      <c r="K19" s="87">
        <f t="shared" si="5"/>
        <v>0.37047481164537421</v>
      </c>
      <c r="L19" s="88">
        <f t="shared" si="6"/>
        <v>21.226643123184065</v>
      </c>
      <c r="M19" s="86">
        <f t="shared" si="15"/>
        <v>3.5509588739831018E-2</v>
      </c>
      <c r="N19" s="86">
        <f t="shared" si="16"/>
        <v>2.0345495670375886</v>
      </c>
      <c r="O19" s="87">
        <f t="shared" si="7"/>
        <v>0.38369841874618943</v>
      </c>
      <c r="P19" s="83">
        <v>21.984300000000001</v>
      </c>
      <c r="Q19" s="87">
        <f t="shared" si="8"/>
        <v>-2.2285981639015837E-2</v>
      </c>
      <c r="R19" s="89">
        <f t="shared" si="9"/>
        <v>-1.2768926902216524</v>
      </c>
      <c r="S19" s="121">
        <f t="shared" si="17"/>
        <v>1.9486693868318254</v>
      </c>
      <c r="T19" s="121">
        <f t="shared" si="18"/>
        <v>54.730504092573575</v>
      </c>
      <c r="U19" s="116">
        <f>U18+(U20-U18)*((C19-C18)/(C20-C18))</f>
        <v>1.9434730258787196</v>
      </c>
      <c r="V19" s="116">
        <f>V18+(V20-V18)*((C19-C18)/(C20-C18))</f>
        <v>2.0345495670375886</v>
      </c>
      <c r="W19" s="117">
        <f t="shared" si="19"/>
        <v>-1.2768926902216524</v>
      </c>
      <c r="X19" s="116">
        <f t="shared" si="20"/>
        <v>54.730504092573575</v>
      </c>
      <c r="Y19" s="116">
        <f>Y18+(Y20-Y18)*((C19-C18)/(C20-C18))</f>
        <v>0.50323470893784705</v>
      </c>
      <c r="Z19" s="116">
        <f>Z18+(Z20-Z18)*((C19-C18)/(C20-C18))</f>
        <v>1.5484913129142039E-2</v>
      </c>
      <c r="AA19" s="116">
        <f t="shared" si="21"/>
        <v>-0.18291826155773805</v>
      </c>
      <c r="AB19" s="116">
        <f t="shared" si="22"/>
        <v>35.201223165302885</v>
      </c>
      <c r="AC19" s="116">
        <f t="shared" si="23"/>
        <v>1.9486693868318252</v>
      </c>
      <c r="AD19" s="132">
        <f t="shared" si="24"/>
        <v>5.1963609531056054E-3</v>
      </c>
      <c r="AE19" s="116">
        <f t="shared" si="25"/>
        <v>3.558977941796284E-2</v>
      </c>
      <c r="AF19" s="116">
        <f t="shared" si="26"/>
        <v>2.0391441544508342</v>
      </c>
      <c r="AG19" s="137">
        <f t="shared" si="27"/>
        <v>0.15648081393746094</v>
      </c>
      <c r="AH19" s="47"/>
      <c r="AI19" s="47"/>
      <c r="AJ19" s="47"/>
      <c r="AK19" s="47"/>
      <c r="AL19" s="47"/>
      <c r="AM19" s="47"/>
      <c r="AN19" s="125"/>
      <c r="AO19" s="90">
        <f>PROP_InOut!$F$8*'PROP_Table (2)'!I19*'PROP_Table (2)'!E19</f>
        <v>166848.75821081008</v>
      </c>
      <c r="AP19" s="87">
        <f t="shared" si="28"/>
        <v>0.50323470893784705</v>
      </c>
      <c r="AQ19" s="87">
        <f t="shared" si="29"/>
        <v>1.5484913129142039E-2</v>
      </c>
      <c r="AR19" s="5">
        <f>0.5*PROP_InOut!$J$8*I19^2*E19*AP19*(C19-C18)</f>
        <v>0.2939669649933408</v>
      </c>
      <c r="AS19" s="5">
        <f>0.5*PROP_InOut!$J$8*I19^2*E19*AQ19*(C19-C18)</f>
        <v>9.0455861547531508E-3</v>
      </c>
      <c r="AT19" s="87">
        <f t="shared" si="0"/>
        <v>0.27379018431850155</v>
      </c>
      <c r="AU19" s="87">
        <f t="shared" si="1"/>
        <v>1.5357729249166487E-2</v>
      </c>
      <c r="AV19" s="91">
        <f t="shared" si="2"/>
        <v>6.4330305846670042</v>
      </c>
      <c r="AW19" s="84">
        <f>PROP_InOut!$G$4/2*((PROP_InOut!$E$8-'PROP_Table (2)'!C19)/('PROP_Table (2)'!C19*SIN('PROP_Table (2)'!K19)))</f>
        <v>3.6601535354606844</v>
      </c>
      <c r="AX19" s="84">
        <f t="shared" si="10"/>
        <v>0.98361888099352246</v>
      </c>
      <c r="AY19" s="84">
        <f>PROP_InOut!$G$4/2*((C19-PROP_InOut!$J$12/2)/(C19*SIN('PROP_Table (2)'!K19)))</f>
        <v>2.3591444532140518</v>
      </c>
      <c r="AZ19" s="84">
        <f t="shared" si="11"/>
        <v>0.93974886405108249</v>
      </c>
      <c r="BA19" s="84">
        <f t="shared" si="12"/>
        <v>0.92435472607285962</v>
      </c>
      <c r="BB19" s="22">
        <f>0.5*PROP_InOut!$J$8*T19^2*E19*AP19*(C19-C18)</f>
        <v>0.3020093357785858</v>
      </c>
      <c r="BC19" s="22">
        <f>0.5*PROP_InOut!$J$8*T19^2*E19*AQ19*(C19-C18)</f>
        <v>9.2930559948695441E-3</v>
      </c>
      <c r="BD19" s="84">
        <f t="shared" si="13"/>
        <v>0.25307925082716626</v>
      </c>
      <c r="BE19" s="84">
        <f t="shared" si="3"/>
        <v>1.4195989613214431E-2</v>
      </c>
      <c r="BF19" s="84">
        <f t="shared" si="30"/>
        <v>5.9464022239081968</v>
      </c>
      <c r="BG19" s="86"/>
    </row>
    <row r="20" spans="1:59" s="92" customFormat="1" ht="15.75" thickBot="1" x14ac:dyDescent="0.3">
      <c r="A20" s="160"/>
      <c r="B20" s="78">
        <v>17</v>
      </c>
      <c r="C20" s="83">
        <v>0.12725145999999998</v>
      </c>
      <c r="D20" s="84">
        <f>C20/PROP_InOut!$E$8</f>
        <v>0.45544545454545449</v>
      </c>
      <c r="E20" s="84">
        <v>4.5813979999999997E-2</v>
      </c>
      <c r="F20" s="85">
        <f>E20*PROP_InOut!$G$8</f>
        <v>2.99937254963E-4</v>
      </c>
      <c r="G20" s="86">
        <f>PROP_InOut!$C$4</f>
        <v>19.55</v>
      </c>
      <c r="H20" s="87">
        <f>PROP_InOut!$C$8*'PROP_Table (2)'!C20</f>
        <v>53.30296691927672</v>
      </c>
      <c r="I20" s="88">
        <f t="shared" si="4"/>
        <v>56.775071839650792</v>
      </c>
      <c r="J20" s="89">
        <f>I20/PROP_InOut!$D$8</f>
        <v>0.16453195587953454</v>
      </c>
      <c r="K20" s="87">
        <f t="shared" si="5"/>
        <v>0.35153704927549179</v>
      </c>
      <c r="L20" s="88">
        <f t="shared" si="6"/>
        <v>20.141589265968133</v>
      </c>
      <c r="M20" s="86">
        <f t="shared" si="15"/>
        <v>3.5073093521625215E-2</v>
      </c>
      <c r="N20" s="86">
        <f t="shared" si="16"/>
        <v>2.0095402332567542</v>
      </c>
      <c r="O20" s="87">
        <f t="shared" si="7"/>
        <v>0.36420658165991671</v>
      </c>
      <c r="P20" s="83">
        <v>20.8675</v>
      </c>
      <c r="Q20" s="87">
        <f t="shared" si="8"/>
        <v>-2.2403561137200281E-2</v>
      </c>
      <c r="R20" s="89">
        <f t="shared" si="9"/>
        <v>-1.2836294992248871</v>
      </c>
      <c r="S20" s="121">
        <f t="shared" si="17"/>
        <v>2.0175774119259331</v>
      </c>
      <c r="T20" s="121">
        <f t="shared" si="18"/>
        <v>57.501014579675186</v>
      </c>
      <c r="U20" s="116">
        <v>2.017577409030193</v>
      </c>
      <c r="V20" s="116">
        <v>2.0095402332567542</v>
      </c>
      <c r="W20" s="117">
        <f t="shared" si="19"/>
        <v>-1.2836294992248871</v>
      </c>
      <c r="X20" s="116">
        <f t="shared" si="20"/>
        <v>57.501014579675186</v>
      </c>
      <c r="Y20" s="122">
        <v>0.50161</v>
      </c>
      <c r="Z20" s="121">
        <v>1.4999999999999999E-2</v>
      </c>
      <c r="AA20" s="116">
        <f t="shared" si="21"/>
        <v>-1.0931341876130318E-7</v>
      </c>
      <c r="AB20" s="116">
        <f t="shared" si="22"/>
        <v>37.74973464648378</v>
      </c>
      <c r="AC20" s="116">
        <f t="shared" si="23"/>
        <v>2.0175774119259331</v>
      </c>
      <c r="AD20" s="132">
        <f t="shared" si="24"/>
        <v>2.8957400921569842E-9</v>
      </c>
      <c r="AE20" s="116">
        <f t="shared" si="25"/>
        <v>3.5073294977453311E-2</v>
      </c>
      <c r="AF20" s="116">
        <f t="shared" si="26"/>
        <v>2.0095517758254626</v>
      </c>
      <c r="AG20" s="137">
        <f t="shared" si="27"/>
        <v>0.16453195587953454</v>
      </c>
      <c r="AH20" s="47"/>
      <c r="AI20" s="47"/>
      <c r="AJ20" s="47"/>
      <c r="AK20" s="47"/>
      <c r="AL20" s="47"/>
      <c r="AM20" s="47"/>
      <c r="AN20" s="125">
        <v>2.0095402332567542</v>
      </c>
      <c r="AO20" s="90">
        <f>PROP_InOut!$F$8*'PROP_Table (2)'!I20*'PROP_Table (2)'!E20</f>
        <v>173823.95259611023</v>
      </c>
      <c r="AP20" s="87">
        <f t="shared" si="28"/>
        <v>0.50161</v>
      </c>
      <c r="AQ20" s="87">
        <f t="shared" si="29"/>
        <v>1.4999999999999999E-2</v>
      </c>
      <c r="AR20" s="5">
        <f>0.5*PROP_InOut!$J$8*I20^2*E20*AP20*(C20-C19)</f>
        <v>0.32085909632802107</v>
      </c>
      <c r="AS20" s="5">
        <f>0.5*PROP_InOut!$J$8*I20^2*E20*AQ20*(C20-C19)</f>
        <v>9.5948773846620192E-3</v>
      </c>
      <c r="AT20" s="87">
        <f t="shared" si="0"/>
        <v>0.30111461085773411</v>
      </c>
      <c r="AU20" s="87">
        <f t="shared" si="1"/>
        <v>1.6951063730124304E-2</v>
      </c>
      <c r="AV20" s="91">
        <f t="shared" si="2"/>
        <v>7.1004449713454552</v>
      </c>
      <c r="AW20" s="84">
        <f>PROP_InOut!$G$4/2*((PROP_InOut!$E$8-'PROP_Table (2)'!C20)/('PROP_Table (2)'!C20*SIN('PROP_Table (2)'!K20)))</f>
        <v>3.4722896524389868</v>
      </c>
      <c r="AX20" s="84">
        <f t="shared" si="10"/>
        <v>0.9802324121520769</v>
      </c>
      <c r="AY20" s="84">
        <f>PROP_InOut!$G$4/2*((C20-PROP_InOut!$J$12/2)/(C20*SIN('PROP_Table (2)'!K20)))</f>
        <v>2.5041224803544475</v>
      </c>
      <c r="AZ20" s="84">
        <f t="shared" si="11"/>
        <v>0.94789991382888239</v>
      </c>
      <c r="BA20" s="84">
        <f t="shared" si="12"/>
        <v>0.92916221901123119</v>
      </c>
      <c r="BB20" s="22">
        <f>0.5*PROP_InOut!$J$8*T20^2*E20*AP20*(C20-C19)</f>
        <v>0.3291167506047068</v>
      </c>
      <c r="BC20" s="22">
        <f>0.5*PROP_InOut!$J$8*T20^2*E20*AQ20*(C20-C19)</f>
        <v>9.8418118838751265E-3</v>
      </c>
      <c r="BD20" s="84">
        <f t="shared" si="13"/>
        <v>0.27978432000127562</v>
      </c>
      <c r="BE20" s="84">
        <f t="shared" si="3"/>
        <v>1.5750287990083097E-2</v>
      </c>
      <c r="BF20" s="84">
        <f t="shared" si="30"/>
        <v>6.5974652055424814</v>
      </c>
      <c r="BG20" s="86"/>
    </row>
    <row r="21" spans="1:59" s="92" customFormat="1" ht="15.75" thickBot="1" x14ac:dyDescent="0.3">
      <c r="A21" s="160"/>
      <c r="B21" s="78">
        <v>18</v>
      </c>
      <c r="C21" s="83">
        <v>0.13434314</v>
      </c>
      <c r="D21" s="84">
        <f>C21/PROP_InOut!$E$8</f>
        <v>0.48082727272727277</v>
      </c>
      <c r="E21" s="84">
        <v>4.5181519999999996E-2</v>
      </c>
      <c r="F21" s="85">
        <f>E21*PROP_InOut!$G$8</f>
        <v>2.9579663421199995E-4</v>
      </c>
      <c r="G21" s="86">
        <f>PROP_InOut!$C$4</f>
        <v>19.55</v>
      </c>
      <c r="H21" s="87">
        <f>PROP_InOut!$C$8*'PROP_Table (2)'!C21</f>
        <v>56.27352289122468</v>
      </c>
      <c r="I21" s="88">
        <f t="shared" si="4"/>
        <v>59.572744427205869</v>
      </c>
      <c r="J21" s="89">
        <f>I21/PROP_InOut!$D$8</f>
        <v>0.17263950251621751</v>
      </c>
      <c r="K21" s="87">
        <f t="shared" si="5"/>
        <v>0.33436585335449803</v>
      </c>
      <c r="L21" s="88">
        <f t="shared" si="6"/>
        <v>19.157752210502938</v>
      </c>
      <c r="M21" s="86">
        <f t="shared" si="15"/>
        <v>3.4483170682242423E-2</v>
      </c>
      <c r="N21" s="86">
        <f t="shared" si="16"/>
        <v>1.9757401443217462</v>
      </c>
      <c r="O21" s="87">
        <f t="shared" si="7"/>
        <v>0.34652290567871014</v>
      </c>
      <c r="P21" s="83">
        <v>19.854299999999999</v>
      </c>
      <c r="Q21" s="87">
        <f t="shared" si="8"/>
        <v>-2.2326118358030337E-2</v>
      </c>
      <c r="R21" s="89">
        <f t="shared" si="9"/>
        <v>-1.2791923548246857</v>
      </c>
      <c r="S21" s="121">
        <f t="shared" si="17"/>
        <v>2.0836910805298001</v>
      </c>
      <c r="T21" s="121">
        <f t="shared" si="18"/>
        <v>60.286770707525427</v>
      </c>
      <c r="U21" s="116">
        <f>U20+(U22-U20)*((C21-C20)/(C22-C20))</f>
        <v>2.0783458394893883</v>
      </c>
      <c r="V21" s="116">
        <f>V20+(V22-V20)*((C21-C20)/(C22-C20))</f>
        <v>1.9757401443217462</v>
      </c>
      <c r="W21" s="117">
        <f t="shared" si="19"/>
        <v>-1.2791923548246857</v>
      </c>
      <c r="X21" s="116">
        <f t="shared" si="20"/>
        <v>60.286770707525427</v>
      </c>
      <c r="Y21" s="116">
        <f>Y20+(Y22-Y20)*((C21-C20)/(C22-C20))</f>
        <v>0.50212000000000001</v>
      </c>
      <c r="Z21" s="116">
        <f>Z20+(Z22-Z20)*((C21-C20)/(C22-C20))</f>
        <v>1.4709999999999999E-2</v>
      </c>
      <c r="AA21" s="116">
        <f t="shared" si="21"/>
        <v>-0.21671263900118731</v>
      </c>
      <c r="AB21" s="116">
        <f t="shared" si="22"/>
        <v>40.54309943419959</v>
      </c>
      <c r="AC21" s="116">
        <f t="shared" si="23"/>
        <v>2.0836910805298001</v>
      </c>
      <c r="AD21" s="132">
        <f t="shared" si="24"/>
        <v>5.3452410404117856E-3</v>
      </c>
      <c r="AE21" s="116">
        <f t="shared" si="25"/>
        <v>3.4549237325036432E-2</v>
      </c>
      <c r="AF21" s="116">
        <f t="shared" si="26"/>
        <v>1.9795254841204415</v>
      </c>
      <c r="AG21" s="137">
        <f t="shared" si="27"/>
        <v>0.17263950251621751</v>
      </c>
      <c r="AJ21" s="47"/>
      <c r="AK21" s="47"/>
      <c r="AL21" s="47"/>
      <c r="AM21" s="47"/>
      <c r="AN21" s="125"/>
      <c r="AO21" s="90">
        <f>PROP_InOut!$F$8*'PROP_Table (2)'!I21*'PROP_Table (2)'!E21</f>
        <v>179871.49822259348</v>
      </c>
      <c r="AP21" s="87">
        <f t="shared" si="28"/>
        <v>0.50212000000000001</v>
      </c>
      <c r="AQ21" s="87">
        <f t="shared" si="29"/>
        <v>1.4709999999999999E-2</v>
      </c>
      <c r="AR21" s="5">
        <f>0.5*PROP_InOut!$J$8*I21^2*E21*AP21*(C21-C20)</f>
        <v>0.3488621990828964</v>
      </c>
      <c r="AS21" s="5">
        <f>0.5*PROP_InOut!$J$8*I21^2*E21*AQ21*(C21-C20)</f>
        <v>1.0220192281744218E-2</v>
      </c>
      <c r="AT21" s="87">
        <f t="shared" si="0"/>
        <v>0.3294721504224678</v>
      </c>
      <c r="AU21" s="87">
        <f t="shared" si="1"/>
        <v>1.8616656074688674E-2</v>
      </c>
      <c r="AV21" s="91">
        <f t="shared" si="2"/>
        <v>7.7981266611532991</v>
      </c>
      <c r="AW21" s="84">
        <f>PROP_InOut!$G$4/2*((PROP_InOut!$E$8-'PROP_Table (2)'!C21)/('PROP_Table (2)'!C21*SIN('PROP_Table (2)'!K21)))</f>
        <v>3.2902100415783435</v>
      </c>
      <c r="AX21" s="84">
        <f t="shared" si="10"/>
        <v>0.97628295801380638</v>
      </c>
      <c r="AY21" s="84">
        <f>PROP_InOut!$G$4/2*((C21-PROP_InOut!$J$12/2)/(C21*SIN('PROP_Table (2)'!K21)))</f>
        <v>2.6496708053411826</v>
      </c>
      <c r="AZ21" s="84">
        <f t="shared" si="11"/>
        <v>0.95496969185260006</v>
      </c>
      <c r="BA21" s="84">
        <f t="shared" si="12"/>
        <v>0.93232063557538958</v>
      </c>
      <c r="BB21" s="22">
        <f>0.5*PROP_InOut!$J$8*T21^2*E21*AP21*(C21-C20)</f>
        <v>0.35727509297733551</v>
      </c>
      <c r="BC21" s="22">
        <f>0.5*PROP_InOut!$J$8*T21^2*E21*AQ21*(C21-C20)</f>
        <v>1.0466654619805234E-2</v>
      </c>
      <c r="BD21" s="84">
        <f t="shared" si="13"/>
        <v>0.30717368468626555</v>
      </c>
      <c r="BE21" s="84">
        <f t="shared" si="3"/>
        <v>1.7356692623842183E-2</v>
      </c>
      <c r="BF21" s="84">
        <f t="shared" si="30"/>
        <v>7.2703544050238342</v>
      </c>
      <c r="BG21" s="86"/>
    </row>
    <row r="22" spans="1:59" s="92" customFormat="1" ht="15.75" thickBot="1" x14ac:dyDescent="0.3">
      <c r="A22" s="160"/>
      <c r="B22" s="78">
        <v>19</v>
      </c>
      <c r="C22" s="83">
        <v>0.14143481999999999</v>
      </c>
      <c r="D22" s="84">
        <f>C22/PROP_InOut!$E$8</f>
        <v>0.50620909090909094</v>
      </c>
      <c r="E22" s="84">
        <v>4.4358559999999998E-2</v>
      </c>
      <c r="F22" s="85">
        <f>E22*PROP_InOut!$G$8</f>
        <v>2.90408838536E-4</v>
      </c>
      <c r="G22" s="86">
        <f>PROP_InOut!$C$4</f>
        <v>19.55</v>
      </c>
      <c r="H22" s="87">
        <f>PROP_InOut!$C$8*'PROP_Table (2)'!C22</f>
        <v>59.244078863172632</v>
      </c>
      <c r="I22" s="88">
        <f t="shared" si="4"/>
        <v>62.386403810011508</v>
      </c>
      <c r="J22" s="89">
        <f>I22/PROP_InOut!$D$8</f>
        <v>0.18079337826540692</v>
      </c>
      <c r="K22" s="87">
        <f t="shared" si="5"/>
        <v>0.31873924898087325</v>
      </c>
      <c r="L22" s="88">
        <f t="shared" si="6"/>
        <v>18.262413731773563</v>
      </c>
      <c r="M22" s="86">
        <f t="shared" si="15"/>
        <v>3.3893247842859624E-2</v>
      </c>
      <c r="N22" s="86">
        <f t="shared" si="16"/>
        <v>1.9419400553867381</v>
      </c>
      <c r="O22" s="87">
        <f t="shared" si="7"/>
        <v>0.33041700734130647</v>
      </c>
      <c r="P22" s="83">
        <v>18.9315</v>
      </c>
      <c r="Q22" s="87">
        <f t="shared" si="8"/>
        <v>-2.2215489482426385E-2</v>
      </c>
      <c r="R22" s="89">
        <f t="shared" si="9"/>
        <v>-1.2728537871603014</v>
      </c>
      <c r="S22" s="121">
        <f t="shared" si="17"/>
        <v>2.1391142736068693</v>
      </c>
      <c r="T22" s="121">
        <f t="shared" si="18"/>
        <v>63.089448865564719</v>
      </c>
      <c r="U22" s="116">
        <v>2.1391142699485832</v>
      </c>
      <c r="V22" s="116">
        <v>1.9419400553867381</v>
      </c>
      <c r="W22" s="117">
        <f t="shared" si="19"/>
        <v>-1.2728537871603014</v>
      </c>
      <c r="X22" s="116">
        <f t="shared" si="20"/>
        <v>63.089448865564719</v>
      </c>
      <c r="Y22" s="122">
        <v>0.50263000000000002</v>
      </c>
      <c r="Z22" s="121">
        <v>1.4420000000000001E-2</v>
      </c>
      <c r="AA22" s="116">
        <f t="shared" si="21"/>
        <v>-1.5947844644870202E-7</v>
      </c>
      <c r="AB22" s="116">
        <f t="shared" si="22"/>
        <v>43.593759664544208</v>
      </c>
      <c r="AC22" s="116">
        <f t="shared" si="23"/>
        <v>2.1391142736068693</v>
      </c>
      <c r="AD22" s="132">
        <f t="shared" si="24"/>
        <v>3.6582861184797366E-9</v>
      </c>
      <c r="AE22" s="116">
        <f t="shared" si="25"/>
        <v>3.3893070137702569E-2</v>
      </c>
      <c r="AF22" s="116">
        <f t="shared" si="26"/>
        <v>1.9419298736312411</v>
      </c>
      <c r="AG22" s="137">
        <f t="shared" si="27"/>
        <v>0.18079337826540692</v>
      </c>
      <c r="AH22" s="47"/>
      <c r="AI22" s="47"/>
      <c r="AJ22" s="47"/>
      <c r="AK22" s="47"/>
      <c r="AL22" s="47"/>
      <c r="AM22" s="47"/>
      <c r="AN22" s="125">
        <v>1.9419400553867381</v>
      </c>
      <c r="AO22" s="90">
        <f>PROP_InOut!$F$8*'PROP_Table (2)'!I22*'PROP_Table (2)'!E22</f>
        <v>184935.9310685228</v>
      </c>
      <c r="AP22" s="87">
        <f t="shared" si="28"/>
        <v>0.50263000000000002</v>
      </c>
      <c r="AQ22" s="87">
        <f t="shared" si="29"/>
        <v>1.4420000000000001E-2</v>
      </c>
      <c r="AR22" s="5">
        <f>0.5*PROP_InOut!$J$8*I22^2*E22*AP22*(C22-C21)</f>
        <v>0.37600713877924624</v>
      </c>
      <c r="AS22" s="5">
        <f>0.5*PROP_InOut!$J$8*I22^2*E22*AQ22*(C22-C21)</f>
        <v>1.078730465988248E-2</v>
      </c>
      <c r="AT22" s="87">
        <f t="shared" si="0"/>
        <v>0.35705810571658914</v>
      </c>
      <c r="AU22" s="87">
        <f t="shared" si="1"/>
        <v>2.0247489717441083E-2</v>
      </c>
      <c r="AV22" s="91">
        <f t="shared" si="2"/>
        <v>8.4812486599930388</v>
      </c>
      <c r="AW22" s="84">
        <f>PROP_InOut!$G$4/2*((PROP_InOut!$E$8-'PROP_Table (2)'!C22)/('PROP_Table (2)'!C22*SIN('PROP_Table (2)'!K22)))</f>
        <v>3.1128367138812263</v>
      </c>
      <c r="AX22" s="84">
        <f t="shared" si="10"/>
        <v>0.97167723879104984</v>
      </c>
      <c r="AY22" s="84">
        <f>PROP_InOut!$G$4/2*((C22-PROP_InOut!$J$12/2)/(C22*SIN('PROP_Table (2)'!K22)))</f>
        <v>2.7956903623776692</v>
      </c>
      <c r="AZ22" s="84">
        <f t="shared" si="11"/>
        <v>0.96109570293294377</v>
      </c>
      <c r="BA22" s="84">
        <f t="shared" si="12"/>
        <v>0.93387481883982593</v>
      </c>
      <c r="BB22" s="22">
        <f>0.5*PROP_InOut!$J$8*T22^2*E22*AP22*(C22-C21)</f>
        <v>0.38452949141476028</v>
      </c>
      <c r="BC22" s="22">
        <f>0.5*PROP_InOut!$J$8*T22^2*E22*AQ22*(C22-C21)</f>
        <v>1.103180324732078E-2</v>
      </c>
      <c r="BD22" s="84">
        <f t="shared" si="13"/>
        <v>0.33344757379137108</v>
      </c>
      <c r="BE22" s="84">
        <f t="shared" si="3"/>
        <v>1.8908620791836528E-2</v>
      </c>
      <c r="BF22" s="84">
        <f t="shared" si="30"/>
        <v>7.9204245558865152</v>
      </c>
      <c r="BG22" s="86"/>
    </row>
    <row r="23" spans="1:59" s="92" customFormat="1" ht="15.75" thickBot="1" x14ac:dyDescent="0.3">
      <c r="A23" s="161"/>
      <c r="B23" s="93">
        <v>20</v>
      </c>
      <c r="C23" s="83">
        <v>0.14852396000000001</v>
      </c>
      <c r="D23" s="94">
        <f>C23/PROP_InOut!$E$8</f>
        <v>0.53158181818181827</v>
      </c>
      <c r="E23" s="84">
        <v>4.3360339999999997E-2</v>
      </c>
      <c r="F23" s="95">
        <f>E23*PROP_InOut!$G$8</f>
        <v>2.83873641929E-4</v>
      </c>
      <c r="G23" s="96">
        <f>PROP_InOut!$C$4</f>
        <v>19.55</v>
      </c>
      <c r="H23" s="97">
        <f>PROP_InOut!$C$8*'PROP_Table (2)'!C23</f>
        <v>62.213570882408582</v>
      </c>
      <c r="I23" s="98">
        <f t="shared" si="4"/>
        <v>65.21296575022852</v>
      </c>
      <c r="J23" s="99">
        <f>I23/PROP_InOut!$D$8</f>
        <v>0.18898464512548277</v>
      </c>
      <c r="K23" s="97">
        <f t="shared" si="5"/>
        <v>0.30446938741534718</v>
      </c>
      <c r="L23" s="98">
        <f t="shared" si="6"/>
        <v>17.444810889832972</v>
      </c>
      <c r="M23" s="86">
        <f t="shared" si="15"/>
        <v>3.2994503189685408E-2</v>
      </c>
      <c r="N23" s="86">
        <f t="shared" si="16"/>
        <v>1.8904457798999064</v>
      </c>
      <c r="O23" s="97">
        <f t="shared" si="7"/>
        <v>0.31569340977148236</v>
      </c>
      <c r="P23" s="83">
        <v>18.087900000000001</v>
      </c>
      <c r="Q23" s="97">
        <f>RADIANS(R23)</f>
        <v>-2.1770480833550206E-2</v>
      </c>
      <c r="R23" s="99">
        <f t="shared" si="9"/>
        <v>-1.2473566697328773</v>
      </c>
      <c r="S23" s="138">
        <f t="shared" si="17"/>
        <v>2.1784290637040096</v>
      </c>
      <c r="T23" s="138">
        <f t="shared" si="18"/>
        <v>65.896923453199278</v>
      </c>
      <c r="U23" s="116">
        <f>U22+(U24-U22)*((C23-C22)/(C24-C22))</f>
        <v>2.1727097447884596</v>
      </c>
      <c r="V23" s="116">
        <f>V22+(V24-V22)*((C23-C22)/(C24-C22))</f>
        <v>1.8904457798999064</v>
      </c>
      <c r="W23" s="139">
        <f t="shared" si="19"/>
        <v>-1.2473566697328773</v>
      </c>
      <c r="X23" s="126">
        <f t="shared" si="20"/>
        <v>65.896923453199278</v>
      </c>
      <c r="Y23" s="116">
        <f>Y22+(Y24-Y22)*((C23-C22)/(C24-C22))</f>
        <v>0.50197511732043709</v>
      </c>
      <c r="Z23" s="116">
        <f>Z22+(Z24-Z22)*((C23-C22)/(C24-C22))</f>
        <v>1.4355011642486119E-2</v>
      </c>
      <c r="AA23" s="126">
        <f t="shared" si="21"/>
        <v>-0.2684425644444417</v>
      </c>
      <c r="AB23" s="126">
        <f t="shared" si="22"/>
        <v>46.936106975006865</v>
      </c>
      <c r="AC23" s="126">
        <f t="shared" si="23"/>
        <v>2.1784290637040096</v>
      </c>
      <c r="AD23" s="140">
        <f t="shared" si="24"/>
        <v>5.7193189155499979E-3</v>
      </c>
      <c r="AE23" s="126">
        <f t="shared" si="25"/>
        <v>3.3046095499028656E-2</v>
      </c>
      <c r="AF23" s="126">
        <f t="shared" si="26"/>
        <v>1.893401801480608</v>
      </c>
      <c r="AG23" s="137">
        <f t="shared" si="27"/>
        <v>0.18898464512548277</v>
      </c>
      <c r="AH23" s="96"/>
      <c r="AI23" s="96"/>
      <c r="AJ23" s="96"/>
      <c r="AK23" s="126"/>
      <c r="AL23" s="126"/>
      <c r="AM23" s="126"/>
      <c r="AN23" s="127"/>
      <c r="AO23" s="100">
        <f>PROP_InOut!$F$8*'PROP_Table (2)'!I23*'PROP_Table (2)'!E23</f>
        <v>188964.63687781824</v>
      </c>
      <c r="AP23" s="87">
        <f t="shared" si="28"/>
        <v>0.50197511732043709</v>
      </c>
      <c r="AQ23" s="87">
        <f t="shared" si="29"/>
        <v>1.4355011642486119E-2</v>
      </c>
      <c r="AR23" s="5">
        <f>0.5*PROP_InOut!$J$8*I23^2*E23*AP23*(C23-C22)</f>
        <v>0.40093829126125241</v>
      </c>
      <c r="AS23" s="5">
        <f>0.5*PROP_InOut!$J$8*I23^2*E23*AQ23*(C23-C22)</f>
        <v>1.1465655647827155E-2</v>
      </c>
      <c r="AT23" s="97">
        <f t="shared" si="0"/>
        <v>0.38242545058036065</v>
      </c>
      <c r="AU23" s="97">
        <f t="shared" si="1"/>
        <v>2.17728624197795E-2</v>
      </c>
      <c r="AV23" s="101">
        <f t="shared" si="2"/>
        <v>9.120195283413409</v>
      </c>
      <c r="AW23" s="94">
        <f>PROP_InOut!$G$4/2*((PROP_InOut!$E$8-'PROP_Table (2)'!C23)/('PROP_Table (2)'!C23*SIN('PROP_Table (2)'!K23)))</f>
        <v>2.9393467052935267</v>
      </c>
      <c r="AX23" s="94">
        <f t="shared" si="10"/>
        <v>0.9663069105915757</v>
      </c>
      <c r="AY23" s="94">
        <f>PROP_InOut!$G$4/2*((C23-PROP_InOut!$J$12/2)/(C23*SIN('PROP_Table (2)'!K23)))</f>
        <v>2.9420849081785589</v>
      </c>
      <c r="AZ23" s="94">
        <f t="shared" si="11"/>
        <v>0.9663991286756537</v>
      </c>
      <c r="BA23" s="94">
        <f t="shared" si="12"/>
        <v>0.93383815642896151</v>
      </c>
      <c r="BB23" s="22">
        <f>0.5*PROP_InOut!$J$8*T23^2*E23*AP23*(C23-C22)</f>
        <v>0.40939252649604602</v>
      </c>
      <c r="BC23" s="22">
        <f>0.5*PROP_InOut!$J$8*T23^2*E23*AQ23*(C23-C22)</f>
        <v>1.1707421904831301E-2</v>
      </c>
      <c r="BD23" s="94">
        <f t="shared" si="13"/>
        <v>0.3571234777414789</v>
      </c>
      <c r="BE23" s="94">
        <f t="shared" si="3"/>
        <v>2.0332329702268306E-2</v>
      </c>
      <c r="BF23" s="84">
        <f t="shared" si="30"/>
        <v>8.5167863497348879</v>
      </c>
      <c r="BG23" s="96"/>
    </row>
    <row r="24" spans="1:59" s="92" customFormat="1" ht="15.75" thickBot="1" x14ac:dyDescent="0.3">
      <c r="A24" s="162" t="s">
        <v>85</v>
      </c>
      <c r="B24" s="102">
        <v>21</v>
      </c>
      <c r="C24" s="83">
        <v>0.15561564</v>
      </c>
      <c r="D24" s="103">
        <f>C24/PROP_InOut!$E$8</f>
        <v>0.55696363636363644</v>
      </c>
      <c r="E24" s="84">
        <v>4.2202099999999999E-2</v>
      </c>
      <c r="F24" s="104">
        <f>E24*PROP_InOut!$G$8</f>
        <v>2.7629081838500001E-4</v>
      </c>
      <c r="G24" s="92">
        <f>PROP_InOut!$C$4</f>
        <v>19.55</v>
      </c>
      <c r="H24" s="105">
        <f>PROP_InOut!$C$8*'PROP_Table (2)'!C24</f>
        <v>65.184126854356535</v>
      </c>
      <c r="I24" s="106">
        <f t="shared" si="4"/>
        <v>68.052721428057851</v>
      </c>
      <c r="J24" s="107">
        <f>I24/PROP_InOut!$D$8</f>
        <v>0.19721414692537248</v>
      </c>
      <c r="K24" s="105">
        <f t="shared" si="5"/>
        <v>0.29138307004901931</v>
      </c>
      <c r="L24" s="106">
        <f t="shared" si="6"/>
        <v>16.695020135373632</v>
      </c>
      <c r="M24" s="86">
        <f t="shared" si="15"/>
        <v>3.2095436521228787E-2</v>
      </c>
      <c r="N24" s="86">
        <f t="shared" si="16"/>
        <v>1.8389330542964546</v>
      </c>
      <c r="O24" s="105">
        <f t="shared" si="7"/>
        <v>0.30218805201955024</v>
      </c>
      <c r="P24" s="83">
        <v>17.3141</v>
      </c>
      <c r="Q24" s="105">
        <f t="shared" ref="Q24:Q41" si="31">RADIANS(R24)</f>
        <v>-2.1290454550697894E-2</v>
      </c>
      <c r="R24" s="107">
        <f t="shared" si="9"/>
        <v>-1.2198531896700866</v>
      </c>
      <c r="S24" s="121">
        <f t="shared" si="17"/>
        <v>2.2063172593969727</v>
      </c>
      <c r="T24" s="121">
        <f t="shared" si="18"/>
        <v>68.719049282852779</v>
      </c>
      <c r="U24" s="116">
        <v>2.2063172567028033</v>
      </c>
      <c r="V24" s="116">
        <v>1.8389330542964546</v>
      </c>
      <c r="W24" s="117">
        <f t="shared" si="19"/>
        <v>-1.2198531896700866</v>
      </c>
      <c r="X24" s="116">
        <f t="shared" si="20"/>
        <v>68.719049282852779</v>
      </c>
      <c r="Y24" s="122">
        <v>0.50131999999999999</v>
      </c>
      <c r="Z24" s="121">
        <v>1.4290000000000001E-2</v>
      </c>
      <c r="AA24" s="116">
        <f t="shared" si="21"/>
        <v>-1.3635276729928592E-7</v>
      </c>
      <c r="AB24" s="116">
        <f t="shared" si="22"/>
        <v>50.610315944853284</v>
      </c>
      <c r="AC24" s="116">
        <f t="shared" si="23"/>
        <v>2.2063172593969727</v>
      </c>
      <c r="AD24" s="132">
        <f t="shared" si="24"/>
        <v>2.6941693320736704E-9</v>
      </c>
      <c r="AE24" s="116">
        <f t="shared" si="25"/>
        <v>3.2095316331029543E-2</v>
      </c>
      <c r="AF24" s="116">
        <f t="shared" si="26"/>
        <v>1.8389261679052991</v>
      </c>
      <c r="AG24" s="137">
        <f t="shared" si="27"/>
        <v>0.19721414692537248</v>
      </c>
      <c r="AK24" s="47"/>
      <c r="AL24" s="47"/>
      <c r="AM24" s="47"/>
      <c r="AN24" s="125">
        <v>1.8389330542964546</v>
      </c>
      <c r="AO24" s="108">
        <f>PROP_InOut!$F$8*'PROP_Table (2)'!I24*'PROP_Table (2)'!E24</f>
        <v>191925.84721858308</v>
      </c>
      <c r="AP24" s="87">
        <f t="shared" si="28"/>
        <v>0.50131999999999999</v>
      </c>
      <c r="AQ24" s="87">
        <f t="shared" si="29"/>
        <v>1.4290000000000001E-2</v>
      </c>
      <c r="AR24" s="5">
        <f>0.5*PROP_InOut!$J$8*I24^2*E24*AP24*(C24-C23)</f>
        <v>0.42455154794477107</v>
      </c>
      <c r="AS24" s="5">
        <f>0.5*PROP_InOut!$J$8*I24^2*E24*AQ24*(C24-C23)</f>
        <v>1.2101734660757158E-2</v>
      </c>
      <c r="AT24" s="105">
        <f t="shared" si="0"/>
        <v>0.40653119997904402</v>
      </c>
      <c r="AU24" s="105">
        <f t="shared" si="1"/>
        <v>2.3234389162781911E-2</v>
      </c>
      <c r="AV24" s="91">
        <f t="shared" si="2"/>
        <v>9.7323981739255938</v>
      </c>
      <c r="AW24" s="84">
        <f>PROP_InOut!$G$4/2*((PROP_InOut!$E$8-'PROP_Table (2)'!C24)/('PROP_Table (2)'!C24*SIN('PROP_Table (2)'!K24)))</f>
        <v>2.7689254814421433</v>
      </c>
      <c r="AX24" s="84">
        <f t="shared" si="10"/>
        <v>0.96003900435218803</v>
      </c>
      <c r="AY24" s="84">
        <f>PROP_InOut!$G$4/2*((C24-PROP_InOut!$J$12/2)/(C24*SIN('PROP_Table (2)'!K24)))</f>
        <v>3.0889194961235193</v>
      </c>
      <c r="AZ24" s="84">
        <f t="shared" si="11"/>
        <v>0.97099120213056911</v>
      </c>
      <c r="BA24" s="84">
        <f t="shared" si="12"/>
        <v>0.93218942692816575</v>
      </c>
      <c r="BB24" s="22">
        <f>0.5*PROP_InOut!$J$8*T24^2*E24*AP24*(C24-C23)</f>
        <v>0.43290611352136893</v>
      </c>
      <c r="BC24" s="22">
        <f>0.5*PROP_InOut!$J$8*T24^2*E24*AQ24*(C24-C23)</f>
        <v>1.2339879442711966E-2</v>
      </c>
      <c r="BD24" s="103">
        <f t="shared" si="13"/>
        <v>0.37896408633688461</v>
      </c>
      <c r="BE24" s="103">
        <f t="shared" si="3"/>
        <v>2.1658851918679653E-2</v>
      </c>
      <c r="BF24" s="84">
        <f t="shared" si="30"/>
        <v>9.0724386763884262</v>
      </c>
    </row>
    <row r="25" spans="1:59" s="92" customFormat="1" ht="15.75" thickBot="1" x14ac:dyDescent="0.3">
      <c r="A25" s="162"/>
      <c r="B25" s="102">
        <v>22</v>
      </c>
      <c r="C25" s="83">
        <v>0.16270477999999999</v>
      </c>
      <c r="D25" s="103">
        <f>C25/PROP_InOut!$E$8</f>
        <v>0.58233636363636365</v>
      </c>
      <c r="E25" s="84">
        <v>4.0906699999999997E-2</v>
      </c>
      <c r="F25" s="104">
        <f>E25*PROP_InOut!$G$8</f>
        <v>2.67810028895E-4</v>
      </c>
      <c r="G25" s="92">
        <f>PROP_InOut!$C$4</f>
        <v>19.55</v>
      </c>
      <c r="H25" s="105">
        <f>PROP_InOut!$C$8*'PROP_Table (2)'!C25</f>
        <v>68.153618873592464</v>
      </c>
      <c r="I25" s="106">
        <f t="shared" si="4"/>
        <v>70.902173912842045</v>
      </c>
      <c r="J25" s="107">
        <f>I25/PROP_InOut!$D$8</f>
        <v>0.20547174969567708</v>
      </c>
      <c r="K25" s="105">
        <f t="shared" si="5"/>
        <v>0.27935116615589445</v>
      </c>
      <c r="L25" s="106">
        <f t="shared" si="6"/>
        <v>16.005642822790552</v>
      </c>
      <c r="M25" s="86">
        <f t="shared" si="15"/>
        <v>3.1139938740485523E-2</v>
      </c>
      <c r="N25" s="86">
        <f t="shared" si="16"/>
        <v>1.7841870641257489</v>
      </c>
      <c r="O25" s="105">
        <f t="shared" si="7"/>
        <v>0.28975781708684661</v>
      </c>
      <c r="P25" s="83">
        <v>16.601900000000001</v>
      </c>
      <c r="Q25" s="105">
        <f t="shared" si="31"/>
        <v>-2.073328780953335E-2</v>
      </c>
      <c r="R25" s="107">
        <f t="shared" si="9"/>
        <v>-1.1879298869163004</v>
      </c>
      <c r="S25" s="121">
        <f t="shared" si="17"/>
        <v>2.2318049873349137</v>
      </c>
      <c r="T25" s="121">
        <f t="shared" si="18"/>
        <v>71.548010667786997</v>
      </c>
      <c r="U25" s="116">
        <f>U24+(U26-U24)*((C25-C24)/(C26-C24))</f>
        <v>2.2261811379052854</v>
      </c>
      <c r="V25" s="116">
        <f>V24+(V26-V24)*((C25-C24)/(C26-C24))</f>
        <v>1.7841870641257489</v>
      </c>
      <c r="W25" s="117">
        <f t="shared" si="19"/>
        <v>-1.1879298869163004</v>
      </c>
      <c r="X25" s="116">
        <f t="shared" si="20"/>
        <v>71.548010667786997</v>
      </c>
      <c r="Y25" s="116">
        <f>Y24+(Y26-Y24)*((C25-C24)/(C26-C24))</f>
        <v>0.50285472505821238</v>
      </c>
      <c r="Z25" s="116">
        <f>Z24+(Z26-Z24)*((C25-C24)/(C26-C24))</f>
        <v>1.4329992835393159E-2</v>
      </c>
      <c r="AA25" s="116">
        <f t="shared" si="21"/>
        <v>-0.30750364120112295</v>
      </c>
      <c r="AB25" s="116">
        <f t="shared" si="22"/>
        <v>54.678498250877247</v>
      </c>
      <c r="AC25" s="116">
        <f t="shared" si="23"/>
        <v>2.2318049873349137</v>
      </c>
      <c r="AD25" s="132">
        <f t="shared" si="24"/>
        <v>5.623849429628347E-3</v>
      </c>
      <c r="AE25" s="116">
        <f t="shared" si="25"/>
        <v>3.1182999115184271E-2</v>
      </c>
      <c r="AF25" s="116">
        <f t="shared" si="26"/>
        <v>1.7866542418602391</v>
      </c>
      <c r="AG25" s="137">
        <f t="shared" si="27"/>
        <v>0.20547174969567708</v>
      </c>
      <c r="AH25" s="47"/>
      <c r="AI25" s="47"/>
      <c r="AJ25" s="47"/>
      <c r="AK25" s="47"/>
      <c r="AL25" s="47"/>
      <c r="AM25" s="47"/>
      <c r="AN25" s="125"/>
      <c r="AO25" s="108">
        <f>PROP_InOut!$F$8*'PROP_Table (2)'!I25*'PROP_Table (2)'!E25</f>
        <v>193824.15700807361</v>
      </c>
      <c r="AP25" s="87">
        <f t="shared" si="28"/>
        <v>0.50285472505821238</v>
      </c>
      <c r="AQ25" s="87">
        <f t="shared" si="29"/>
        <v>1.4329992835393159E-2</v>
      </c>
      <c r="AR25" s="5">
        <f>0.5*PROP_InOut!$J$8*I25^2*E25*AP25*(C25-C24)</f>
        <v>0.44791009098758588</v>
      </c>
      <c r="AS25" s="5">
        <f>0.5*PROP_InOut!$J$8*I25^2*E25*AQ25*(C25-C24)</f>
        <v>1.2764220111503114E-2</v>
      </c>
      <c r="AT25" s="105">
        <f t="shared" si="0"/>
        <v>0.43032658233616178</v>
      </c>
      <c r="AU25" s="105">
        <f t="shared" si="1"/>
        <v>2.4687038485236738E-2</v>
      </c>
      <c r="AV25" s="91">
        <f t="shared" si="2"/>
        <v>10.34088249921443</v>
      </c>
      <c r="AW25" s="84">
        <f>PROP_InOut!$G$4/2*((PROP_InOut!$E$8-'PROP_Table (2)'!C25)/('PROP_Table (2)'!C25*SIN('PROP_Table (2)'!K25)))</f>
        <v>2.6011508820271056</v>
      </c>
      <c r="AX25" s="84">
        <f t="shared" si="10"/>
        <v>0.95272692653465918</v>
      </c>
      <c r="AY25" s="84">
        <f>PROP_InOut!$G$4/2*((C25-PROP_InOut!$J$12/2)/(C25*SIN('PROP_Table (2)'!K25)))</f>
        <v>3.2360529561418128</v>
      </c>
      <c r="AZ25" s="84">
        <f t="shared" si="11"/>
        <v>0.97496243180163167</v>
      </c>
      <c r="BA25" s="84">
        <f t="shared" si="12"/>
        <v>0.92887296113712581</v>
      </c>
      <c r="BB25" s="22">
        <f>0.5*PROP_InOut!$J$8*T25^2*E25*AP25*(C25-C24)</f>
        <v>0.45610713974019018</v>
      </c>
      <c r="BC25" s="22">
        <f>0.5*PROP_InOut!$J$8*T25^2*E25*AQ25*(C25-C24)</f>
        <v>1.2997813720238897E-2</v>
      </c>
      <c r="BD25" s="103">
        <f t="shared" si="13"/>
        <v>0.39971872679060977</v>
      </c>
      <c r="BE25" s="103">
        <f t="shared" si="3"/>
        <v>2.2931122539488032E-2</v>
      </c>
      <c r="BF25" s="84">
        <f t="shared" si="30"/>
        <v>9.6053661478163903</v>
      </c>
    </row>
    <row r="26" spans="1:59" s="92" customFormat="1" ht="15.75" thickBot="1" x14ac:dyDescent="0.3">
      <c r="A26" s="162"/>
      <c r="B26" s="102">
        <v>23</v>
      </c>
      <c r="C26" s="83">
        <v>0.16979645999999998</v>
      </c>
      <c r="D26" s="103">
        <f>C26/PROP_InOut!$E$8</f>
        <v>0.60771818181818182</v>
      </c>
      <c r="E26" s="84">
        <v>3.9486839999999995E-2</v>
      </c>
      <c r="F26" s="104">
        <f>E26*PROP_InOut!$G$8</f>
        <v>2.5851441845399996E-4</v>
      </c>
      <c r="G26" s="92">
        <f>PROP_InOut!$C$4</f>
        <v>19.55</v>
      </c>
      <c r="H26" s="105">
        <f>PROP_InOut!$C$8*'PROP_Table (2)'!C26</f>
        <v>71.124174845540423</v>
      </c>
      <c r="I26" s="106">
        <f t="shared" si="4"/>
        <v>73.762122715245965</v>
      </c>
      <c r="J26" s="107">
        <f>I26/PROP_InOut!$D$8</f>
        <v>0.21375977038729024</v>
      </c>
      <c r="K26" s="105">
        <f t="shared" si="5"/>
        <v>0.268246628792494</v>
      </c>
      <c r="L26" s="106">
        <f t="shared" si="6"/>
        <v>15.369399698422377</v>
      </c>
      <c r="M26" s="86">
        <f t="shared" si="15"/>
        <v>3.0184098610125359E-2</v>
      </c>
      <c r="N26" s="86">
        <f t="shared" si="16"/>
        <v>1.7294214587668773</v>
      </c>
      <c r="O26" s="105">
        <f t="shared" si="7"/>
        <v>0.27828576791348786</v>
      </c>
      <c r="P26" s="83">
        <v>15.944599999999999</v>
      </c>
      <c r="Q26" s="105">
        <f t="shared" si="31"/>
        <v>-2.014495948913152E-2</v>
      </c>
      <c r="R26" s="107">
        <f t="shared" si="9"/>
        <v>-1.1542211571892551</v>
      </c>
      <c r="S26" s="121">
        <f t="shared" si="17"/>
        <v>2.2460521384901782</v>
      </c>
      <c r="T26" s="121">
        <f t="shared" si="18"/>
        <v>74.38895170779162</v>
      </c>
      <c r="U26" s="116">
        <v>2.2460521362275103</v>
      </c>
      <c r="V26" s="116">
        <v>1.7294214587668773</v>
      </c>
      <c r="W26" s="117">
        <f t="shared" si="19"/>
        <v>-1.1542211571892551</v>
      </c>
      <c r="X26" s="116">
        <f t="shared" si="20"/>
        <v>74.38895170779162</v>
      </c>
      <c r="Y26" s="122">
        <v>0.50439000000000001</v>
      </c>
      <c r="Z26" s="121">
        <v>1.4370000000000001E-2</v>
      </c>
      <c r="AA26" s="116">
        <f t="shared" si="21"/>
        <v>-1.3389504260885587E-7</v>
      </c>
      <c r="AB26" s="116">
        <f t="shared" si="22"/>
        <v>59.175735204343589</v>
      </c>
      <c r="AC26" s="116">
        <f t="shared" si="23"/>
        <v>2.2460521384901782</v>
      </c>
      <c r="AD26" s="132">
        <f t="shared" si="24"/>
        <v>2.2626678308768078E-9</v>
      </c>
      <c r="AE26" s="116">
        <f t="shared" si="25"/>
        <v>3.0184186369388959E-2</v>
      </c>
      <c r="AF26" s="116">
        <f t="shared" si="26"/>
        <v>1.7294264870022946</v>
      </c>
      <c r="AG26" s="137">
        <f t="shared" si="27"/>
        <v>0.21375977038729024</v>
      </c>
      <c r="AH26" s="47"/>
      <c r="AN26" s="125">
        <v>1.7294214587668773</v>
      </c>
      <c r="AO26" s="108">
        <f>PROP_InOut!$F$8*'PROP_Table (2)'!I26*'PROP_Table (2)'!E26</f>
        <v>194643.40490041091</v>
      </c>
      <c r="AP26" s="87">
        <f t="shared" si="28"/>
        <v>0.50439000000000001</v>
      </c>
      <c r="AQ26" s="87">
        <f t="shared" si="29"/>
        <v>1.4370000000000001E-2</v>
      </c>
      <c r="AR26" s="5">
        <f>0.5*PROP_InOut!$J$8*I26^2*E26*AP26*(C26-C25)</f>
        <v>0.46954368183680423</v>
      </c>
      <c r="AS26" s="5">
        <f>0.5*PROP_InOut!$J$8*I26^2*E26*AQ26*(C26-C25)</f>
        <v>1.3377233307549473E-2</v>
      </c>
      <c r="AT26" s="105">
        <f t="shared" si="0"/>
        <v>0.45244911245849334</v>
      </c>
      <c r="AU26" s="105">
        <f t="shared" si="1"/>
        <v>2.604950714982672E-2</v>
      </c>
      <c r="AV26" s="91">
        <f t="shared" si="2"/>
        <v>10.911592038870724</v>
      </c>
      <c r="AW26" s="84">
        <f>PROP_InOut!$G$4/2*((PROP_InOut!$E$8-'PROP_Table (2)'!C26)/('PROP_Table (2)'!C26*SIN('PROP_Table (2)'!K26)))</f>
        <v>2.4354689341165305</v>
      </c>
      <c r="AX26" s="84">
        <f t="shared" si="10"/>
        <v>0.94418822092275878</v>
      </c>
      <c r="AY26" s="84">
        <f>PROP_InOut!$G$4/2*((C26-PROP_InOut!$J$12/2)/(C26*SIN('PROP_Table (2)'!K26)))</f>
        <v>3.3835583678559455</v>
      </c>
      <c r="AZ26" s="84">
        <f t="shared" si="11"/>
        <v>0.97839756323320115</v>
      </c>
      <c r="BA26" s="84">
        <f t="shared" si="12"/>
        <v>0.92379145458431855</v>
      </c>
      <c r="BB26" s="22">
        <f>0.5*PROP_InOut!$J$8*T26^2*E26*AP26*(C26-C25)</f>
        <v>0.47755793522494888</v>
      </c>
      <c r="BC26" s="22">
        <f>0.5*PROP_InOut!$J$8*T26^2*E26*AQ26*(C26-C25)</f>
        <v>1.3605558256869715E-2</v>
      </c>
      <c r="BD26" s="103">
        <f t="shared" si="13"/>
        <v>0.41796862372341548</v>
      </c>
      <c r="BE26" s="103">
        <f t="shared" si="3"/>
        <v>2.4064312101143032E-2</v>
      </c>
      <c r="BF26" s="84">
        <f t="shared" si="30"/>
        <v>10.080035481419056</v>
      </c>
    </row>
    <row r="27" spans="1:59" s="92" customFormat="1" ht="15.75" thickBot="1" x14ac:dyDescent="0.3">
      <c r="A27" s="162"/>
      <c r="B27" s="102">
        <v>24</v>
      </c>
      <c r="C27" s="83">
        <v>0.1768856</v>
      </c>
      <c r="D27" s="103">
        <f>C27/PROP_InOut!$E$8</f>
        <v>0.63309090909090915</v>
      </c>
      <c r="E27" s="84">
        <v>3.7962839999999998E-2</v>
      </c>
      <c r="F27" s="104">
        <f>E27*PROP_InOut!$G$8</f>
        <v>2.4853701905399998E-4</v>
      </c>
      <c r="G27" s="92">
        <f>PROP_InOut!$C$4</f>
        <v>19.55</v>
      </c>
      <c r="H27" s="105">
        <f>PROP_InOut!$C$8*'PROP_Table (2)'!C27</f>
        <v>74.093666864776367</v>
      </c>
      <c r="I27" s="106">
        <f t="shared" si="4"/>
        <v>76.629458888005075</v>
      </c>
      <c r="J27" s="107">
        <f>I27/PROP_InOut!$D$8</f>
        <v>0.22206919939163577</v>
      </c>
      <c r="K27" s="105">
        <f t="shared" si="5"/>
        <v>0.25797575495162051</v>
      </c>
      <c r="L27" s="106">
        <f t="shared" si="6"/>
        <v>14.780921975429004</v>
      </c>
      <c r="M27" s="86">
        <f t="shared" si="15"/>
        <v>2.9155201577956105E-2</v>
      </c>
      <c r="N27" s="86">
        <f t="shared" si="16"/>
        <v>1.6704700012700429</v>
      </c>
      <c r="O27" s="105">
        <f t="shared" si="7"/>
        <v>0.2676654394151024</v>
      </c>
      <c r="P27" s="83">
        <v>15.3361</v>
      </c>
      <c r="Q27" s="105">
        <f t="shared" si="31"/>
        <v>-1.9465517114474255E-2</v>
      </c>
      <c r="R27" s="107">
        <f t="shared" si="9"/>
        <v>-1.1152919766990472</v>
      </c>
      <c r="S27" s="121">
        <f t="shared" si="17"/>
        <v>2.2551726597835566</v>
      </c>
      <c r="T27" s="121">
        <f t="shared" si="18"/>
        <v>77.234024234903856</v>
      </c>
      <c r="U27" s="116">
        <f>U26+(U28-U26)*((C27-C26)/(C28-C26))</f>
        <v>2.2496107774716152</v>
      </c>
      <c r="V27" s="116">
        <f>V26+(V28-V26)*((C27-C26)/(C28-C26))</f>
        <v>1.6704700012700429</v>
      </c>
      <c r="W27" s="117">
        <f t="shared" si="19"/>
        <v>-1.1152919766990472</v>
      </c>
      <c r="X27" s="116">
        <f t="shared" si="20"/>
        <v>77.234024234903856</v>
      </c>
      <c r="Y27" s="116">
        <f>Y26+(Y28-Y26)*((C27-C26)/(C28-C26))</f>
        <v>0.50740945907218349</v>
      </c>
      <c r="Z27" s="116">
        <f>Z26+(Z28-Z26)*((C27-C26)/(C28-C26))</f>
        <v>1.4524972237148487E-2</v>
      </c>
      <c r="AA27" s="116">
        <f t="shared" si="21"/>
        <v>-0.35696002253581582</v>
      </c>
      <c r="AB27" s="116">
        <f t="shared" si="22"/>
        <v>64.17971516035486</v>
      </c>
      <c r="AC27" s="116">
        <f t="shared" si="23"/>
        <v>2.2551726597835566</v>
      </c>
      <c r="AD27" s="132">
        <f t="shared" si="24"/>
        <v>5.5618823119414351E-3</v>
      </c>
      <c r="AE27" s="116">
        <f t="shared" si="25"/>
        <v>2.9190918047189762E-2</v>
      </c>
      <c r="AF27" s="116">
        <f t="shared" si="26"/>
        <v>1.6725164042162401</v>
      </c>
      <c r="AG27" s="137">
        <f t="shared" si="27"/>
        <v>0.22206919939163577</v>
      </c>
      <c r="AM27" s="47"/>
      <c r="AN27" s="125"/>
      <c r="AO27" s="108">
        <f>PROP_InOut!$F$8*'PROP_Table (2)'!I27*'PROP_Table (2)'!E27</f>
        <v>194405.41613820297</v>
      </c>
      <c r="AP27" s="87">
        <f t="shared" si="28"/>
        <v>0.50740945907218349</v>
      </c>
      <c r="AQ27" s="87">
        <f t="shared" si="29"/>
        <v>1.4524972237148487E-2</v>
      </c>
      <c r="AR27" s="5">
        <f>0.5*PROP_InOut!$J$8*I27^2*E27*AP27*(C27-C26)</f>
        <v>0.48994071832446345</v>
      </c>
      <c r="AS27" s="5">
        <f>0.5*PROP_InOut!$J$8*I27^2*E27*AQ27*(C27-C26)</f>
        <v>1.4024916572355522E-2</v>
      </c>
      <c r="AT27" s="105">
        <f t="shared" si="0"/>
        <v>0.47329140341309611</v>
      </c>
      <c r="AU27" s="105">
        <f t="shared" si="1"/>
        <v>2.7348974250652271E-2</v>
      </c>
      <c r="AV27" s="91">
        <f t="shared" si="2"/>
        <v>11.455911545208746</v>
      </c>
      <c r="AW27" s="84">
        <f>PROP_InOut!$G$4/2*((PROP_InOut!$E$8-'PROP_Table (2)'!C27)/('PROP_Table (2)'!C27*SIN('PROP_Table (2)'!K27)))</f>
        <v>2.2716498592835372</v>
      </c>
      <c r="AX27" s="84">
        <f t="shared" si="10"/>
        <v>0.93422086358937362</v>
      </c>
      <c r="AY27" s="84">
        <f>PROP_InOut!$G$4/2*((C27-PROP_InOut!$J$12/2)/(C27*SIN('PROP_Table (2)'!K27)))</f>
        <v>3.5313010944363024</v>
      </c>
      <c r="AZ27" s="84">
        <f t="shared" si="11"/>
        <v>0.9813655078173692</v>
      </c>
      <c r="BA27" s="84">
        <f t="shared" si="12"/>
        <v>0.91681213220996682</v>
      </c>
      <c r="BB27" s="22">
        <f>0.5*PROP_InOut!$J$8*T27^2*E27*AP27*(C27-C26)</f>
        <v>0.49770195320471489</v>
      </c>
      <c r="BC27" s="22">
        <f>0.5*PROP_InOut!$J$8*T27^2*E27*AQ27*(C27-C26)</f>
        <v>1.4247087679231961E-2</v>
      </c>
      <c r="BD27" s="103">
        <f t="shared" si="13"/>
        <v>0.43391930071980822</v>
      </c>
      <c r="BE27" s="103">
        <f t="shared" si="3"/>
        <v>2.507387139649599E-2</v>
      </c>
      <c r="BF27" s="84">
        <f t="shared" si="30"/>
        <v>10.502918690171606</v>
      </c>
    </row>
    <row r="28" spans="1:59" s="92" customFormat="1" ht="15.75" thickBot="1" x14ac:dyDescent="0.3">
      <c r="A28" s="162"/>
      <c r="B28" s="102">
        <v>193</v>
      </c>
      <c r="C28" s="83">
        <v>0.18397727999999999</v>
      </c>
      <c r="D28" s="103">
        <f>C28/PROP_InOut!$E$8</f>
        <v>0.65847272727272732</v>
      </c>
      <c r="E28" s="84">
        <v>3.6347400000000002E-2</v>
      </c>
      <c r="F28" s="104">
        <f>E28*PROP_InOut!$G$8</f>
        <v>2.3796097569000002E-4</v>
      </c>
      <c r="G28" s="92">
        <f>PROP_InOut!$C$4</f>
        <v>19.55</v>
      </c>
      <c r="H28" s="105">
        <f>PROP_InOut!$C$8*'PROP_Table (2)'!C28</f>
        <v>77.064222836724326</v>
      </c>
      <c r="I28" s="106">
        <f t="shared" si="4"/>
        <v>79.505326497212138</v>
      </c>
      <c r="J28" s="107">
        <f>I28/PROP_InOut!$D$8</f>
        <v>0.23040335216787203</v>
      </c>
      <c r="K28" s="105">
        <f t="shared" si="5"/>
        <v>0.24844342438849079</v>
      </c>
      <c r="L28" s="106">
        <f t="shared" si="6"/>
        <v>14.234759665238109</v>
      </c>
      <c r="M28" s="86">
        <f t="shared" si="15"/>
        <v>2.8125935897620549E-2</v>
      </c>
      <c r="N28" s="86">
        <f t="shared" si="16"/>
        <v>1.611497421789154</v>
      </c>
      <c r="O28" s="105">
        <f t="shared" si="7"/>
        <v>0.25780956512909037</v>
      </c>
      <c r="P28" s="83">
        <v>14.7714</v>
      </c>
      <c r="Q28" s="105">
        <f t="shared" si="31"/>
        <v>-1.8759795157020965E-2</v>
      </c>
      <c r="R28" s="107">
        <f t="shared" si="9"/>
        <v>-1.0748570870272627</v>
      </c>
      <c r="S28" s="121">
        <f t="shared" si="17"/>
        <v>2.2531706962455007</v>
      </c>
      <c r="T28" s="121">
        <f t="shared" si="18"/>
        <v>80.089154657353106</v>
      </c>
      <c r="U28" s="116">
        <v>2.2531706937573701</v>
      </c>
      <c r="V28" s="116">
        <v>1.611497421789154</v>
      </c>
      <c r="W28" s="117">
        <f t="shared" si="19"/>
        <v>-1.0748570870272627</v>
      </c>
      <c r="X28" s="116">
        <f t="shared" si="20"/>
        <v>80.089154657353106</v>
      </c>
      <c r="Y28" s="122">
        <v>0.51043000000000005</v>
      </c>
      <c r="Z28" s="121">
        <v>1.468E-2</v>
      </c>
      <c r="AA28" s="116">
        <f t="shared" si="21"/>
        <v>-1.7353795556118712E-7</v>
      </c>
      <c r="AB28" s="116">
        <f t="shared" si="22"/>
        <v>69.746327262509112</v>
      </c>
      <c r="AC28" s="116">
        <f t="shared" si="23"/>
        <v>2.2531706962455007</v>
      </c>
      <c r="AD28" s="132">
        <f t="shared" si="24"/>
        <v>2.488130590450055E-9</v>
      </c>
      <c r="AE28" s="116">
        <f t="shared" si="25"/>
        <v>2.8125862239119118E-2</v>
      </c>
      <c r="AF28" s="116">
        <f t="shared" si="26"/>
        <v>1.6114932014678969</v>
      </c>
      <c r="AG28" s="137">
        <f t="shared" si="27"/>
        <v>0.23040335216787203</v>
      </c>
      <c r="AH28" s="47"/>
      <c r="AI28" s="47"/>
      <c r="AJ28" s="47"/>
      <c r="AK28" s="47"/>
      <c r="AL28" s="47"/>
      <c r="AM28" s="47"/>
      <c r="AN28" s="125">
        <v>1.611497421789154</v>
      </c>
      <c r="AO28" s="108">
        <f>PROP_InOut!$F$8*'PROP_Table (2)'!I28*'PROP_Table (2)'!E28</f>
        <v>193118.32351819906</v>
      </c>
      <c r="AP28" s="87">
        <f t="shared" si="28"/>
        <v>0.51043000000000005</v>
      </c>
      <c r="AQ28" s="87">
        <f t="shared" si="29"/>
        <v>1.468E-2</v>
      </c>
      <c r="AR28" s="5">
        <f>0.5*PROP_InOut!$J$8*I28^2*E28*AP28*(C28-C27)</f>
        <v>0.50815047240956446</v>
      </c>
      <c r="AS28" s="5">
        <f>0.5*PROP_InOut!$J$8*I28^2*E28*AQ28*(C28-C27)</f>
        <v>1.4614440638231307E-2</v>
      </c>
      <c r="AT28" s="105">
        <f t="shared" si="0"/>
        <v>0.49199597968503073</v>
      </c>
      <c r="AU28" s="105">
        <f t="shared" si="1"/>
        <v>2.8528553452294107E-2</v>
      </c>
      <c r="AV28" s="91">
        <f t="shared" si="2"/>
        <v>11.950012525769454</v>
      </c>
      <c r="AW28" s="84">
        <f>PROP_InOut!$G$4/2*((PROP_InOut!$E$8-'PROP_Table (2)'!C28)/('PROP_Table (2)'!C28*SIN('PROP_Table (2)'!K28)))</f>
        <v>2.1092937302635351</v>
      </c>
      <c r="AX28" s="84">
        <f t="shared" si="10"/>
        <v>0.92257223561545831</v>
      </c>
      <c r="AY28" s="84">
        <f>PROP_InOut!$G$4/2*((C28-PROP_InOut!$J$12/2)/(C28*SIN('PROP_Table (2)'!K28)))</f>
        <v>3.6793610714339322</v>
      </c>
      <c r="AZ28" s="84">
        <f t="shared" si="11"/>
        <v>0.98393058628759811</v>
      </c>
      <c r="BA28" s="84">
        <f t="shared" si="12"/>
        <v>0.90774704068177803</v>
      </c>
      <c r="BB28" s="22">
        <f>0.5*PROP_InOut!$J$8*T28^2*E28*AP28*(C28-C27)</f>
        <v>0.51564083412805339</v>
      </c>
      <c r="BC28" s="22">
        <f>0.5*PROP_InOut!$J$8*T28^2*E28*AQ28*(C28-C27)</f>
        <v>1.4829863928452133E-2</v>
      </c>
      <c r="BD28" s="103">
        <f t="shared" si="13"/>
        <v>0.44660789458641881</v>
      </c>
      <c r="BE28" s="103">
        <f t="shared" si="3"/>
        <v>2.5896709971251899E-2</v>
      </c>
      <c r="BF28" s="84">
        <f t="shared" si="30"/>
        <v>10.847588506377402</v>
      </c>
    </row>
    <row r="29" spans="1:59" s="92" customFormat="1" ht="15.75" thickBot="1" x14ac:dyDescent="0.3">
      <c r="A29" s="162"/>
      <c r="B29" s="102">
        <v>26</v>
      </c>
      <c r="C29" s="83">
        <v>0.19106642000000001</v>
      </c>
      <c r="D29" s="103">
        <f>C29/PROP_InOut!$E$8</f>
        <v>0.68384545454545465</v>
      </c>
      <c r="E29" s="84">
        <v>3.4660839999999998E-2</v>
      </c>
      <c r="F29" s="104">
        <f>E29*PROP_InOut!$G$8</f>
        <v>2.2691932035399999E-4</v>
      </c>
      <c r="G29" s="92">
        <f>PROP_InOut!$C$4</f>
        <v>19.55</v>
      </c>
      <c r="H29" s="105">
        <f>PROP_InOut!$C$8*'PROP_Table (2)'!C29</f>
        <v>80.03371485596027</v>
      </c>
      <c r="I29" s="106">
        <f t="shared" si="4"/>
        <v>82.386880106271505</v>
      </c>
      <c r="J29" s="107">
        <f>I29/PROP_InOut!$D$8</f>
        <v>0.23875398275111967</v>
      </c>
      <c r="K29" s="105">
        <f t="shared" si="5"/>
        <v>0.23958043299376625</v>
      </c>
      <c r="L29" s="106">
        <f t="shared" si="6"/>
        <v>13.726947664459624</v>
      </c>
      <c r="M29" s="86">
        <f t="shared" si="15"/>
        <v>2.7041466399880913E-2</v>
      </c>
      <c r="N29" s="86">
        <f t="shared" si="16"/>
        <v>1.5493618965580007</v>
      </c>
      <c r="O29" s="105">
        <f t="shared" si="7"/>
        <v>0.2486378599098602</v>
      </c>
      <c r="P29" s="83">
        <v>14.245900000000001</v>
      </c>
      <c r="Q29" s="105">
        <f t="shared" si="31"/>
        <v>-1.7984039483786955E-2</v>
      </c>
      <c r="R29" s="107">
        <f t="shared" si="9"/>
        <v>-1.0304095610176243</v>
      </c>
      <c r="S29" s="121">
        <f t="shared" si="17"/>
        <v>2.2458772330794652</v>
      </c>
      <c r="T29" s="121">
        <f t="shared" si="18"/>
        <v>82.947113481916801</v>
      </c>
      <c r="U29" s="116">
        <f>U28+(U30-U28)*((C29-C28)/(C30-C28))</f>
        <v>2.2405511939654348</v>
      </c>
      <c r="V29" s="116">
        <f>V28+(V30-V28)*((C29-C28)/(C30-C28))</f>
        <v>1.5493618965580007</v>
      </c>
      <c r="W29" s="117">
        <f t="shared" si="19"/>
        <v>-1.0304095610176243</v>
      </c>
      <c r="X29" s="116">
        <f t="shared" si="20"/>
        <v>82.947113481916801</v>
      </c>
      <c r="Y29" s="116">
        <f>Y28+(Y30-Y28)*((C29-C28)/(C30-C28))</f>
        <v>0.51483921010209566</v>
      </c>
      <c r="Z29" s="116">
        <f>Z28+(Z30-Z28)*((C29-C28)/(C30-C28))</f>
        <v>1.4904959699086513E-2</v>
      </c>
      <c r="AA29" s="116">
        <f t="shared" si="21"/>
        <v>-0.40465491859282565</v>
      </c>
      <c r="AB29" s="116">
        <f t="shared" si="22"/>
        <v>75.97670800555224</v>
      </c>
      <c r="AC29" s="116">
        <f t="shared" si="23"/>
        <v>2.2458772330794652</v>
      </c>
      <c r="AD29" s="132">
        <f t="shared" si="24"/>
        <v>5.3260391140304009E-3</v>
      </c>
      <c r="AE29" s="116">
        <f t="shared" si="25"/>
        <v>2.7069400666002177E-2</v>
      </c>
      <c r="AF29" s="116">
        <f t="shared" si="26"/>
        <v>1.5509624121105445</v>
      </c>
      <c r="AG29" s="137">
        <f t="shared" si="27"/>
        <v>0.23875398275111967</v>
      </c>
      <c r="AH29" s="47"/>
      <c r="AI29" s="47"/>
      <c r="AJ29" s="47"/>
      <c r="AK29" s="47"/>
      <c r="AL29" s="47"/>
      <c r="AM29" s="47"/>
      <c r="AN29" s="125"/>
      <c r="AO29" s="108">
        <f>PROP_InOut!$F$8*'PROP_Table (2)'!I29*'PROP_Table (2)'!E29</f>
        <v>190831.93208473534</v>
      </c>
      <c r="AP29" s="87">
        <f t="shared" si="28"/>
        <v>0.51483921010209566</v>
      </c>
      <c r="AQ29" s="87">
        <f t="shared" si="29"/>
        <v>1.4904959699086513E-2</v>
      </c>
      <c r="AR29" s="5">
        <f>0.5*PROP_InOut!$J$8*I29^2*E29*AP29*(C29-C28)</f>
        <v>0.52464021358735158</v>
      </c>
      <c r="AS29" s="5">
        <f>0.5*PROP_InOut!$J$8*I29^2*E29*AQ29*(C29-C28)</f>
        <v>1.5188705690246312E-2</v>
      </c>
      <c r="AT29" s="105">
        <f t="shared" si="0"/>
        <v>0.50895279780321123</v>
      </c>
      <c r="AU29" s="105">
        <f t="shared" si="1"/>
        <v>2.9609078092829078E-2</v>
      </c>
      <c r="AV29" s="91">
        <f t="shared" si="2"/>
        <v>12.402621628799777</v>
      </c>
      <c r="AW29" s="84">
        <f>PROP_InOut!$G$4/2*((PROP_InOut!$E$8-'PROP_Table (2)'!C29)/('PROP_Table (2)'!C29*SIN('PROP_Table (2)'!K29)))</f>
        <v>1.9482862290858782</v>
      </c>
      <c r="AX29" s="84">
        <f t="shared" si="10"/>
        <v>0.90896017234015425</v>
      </c>
      <c r="AY29" s="84">
        <f>PROP_InOut!$G$4/2*((C29-PROP_InOut!$J$12/2)/(C29*SIN('PROP_Table (2)'!K29)))</f>
        <v>3.8276090528175093</v>
      </c>
      <c r="AZ29" s="84">
        <f t="shared" si="11"/>
        <v>0.98614505148470633</v>
      </c>
      <c r="BA29" s="84">
        <f t="shared" si="12"/>
        <v>0.89636657594992897</v>
      </c>
      <c r="BB29" s="22">
        <f>0.5*PROP_InOut!$J$8*T29^2*E29*AP29*(C29-C28)</f>
        <v>0.53179961307802914</v>
      </c>
      <c r="BC29" s="22">
        <f>0.5*PROP_InOut!$J$8*T29^2*E29*AQ29*(C29-C28)</f>
        <v>1.5395975375197168E-2</v>
      </c>
      <c r="BD29" s="103">
        <f t="shared" si="13"/>
        <v>0.45620827668700098</v>
      </c>
      <c r="BE29" s="103">
        <f t="shared" si="3"/>
        <v>2.6540587947103254E-2</v>
      </c>
      <c r="BF29" s="84">
        <f t="shared" si="30"/>
        <v>11.117295482209787</v>
      </c>
    </row>
    <row r="30" spans="1:59" s="92" customFormat="1" ht="15.75" thickBot="1" x14ac:dyDescent="0.3">
      <c r="A30" s="162"/>
      <c r="B30" s="102">
        <v>27</v>
      </c>
      <c r="C30" s="83">
        <v>0.19815809999999998</v>
      </c>
      <c r="D30" s="103">
        <f>C30/PROP_InOut!$E$8</f>
        <v>0.70922727272727271</v>
      </c>
      <c r="E30" s="84">
        <v>3.29184E-2</v>
      </c>
      <c r="F30" s="104">
        <f>E30*PROP_InOut!$G$8</f>
        <v>2.1551182704000001E-4</v>
      </c>
      <c r="G30" s="92">
        <f>PROP_InOut!$C$4</f>
        <v>19.55</v>
      </c>
      <c r="H30" s="105">
        <f>PROP_InOut!$C$8*'PROP_Table (2)'!C30</f>
        <v>83.004270827908215</v>
      </c>
      <c r="I30" s="106">
        <f t="shared" si="4"/>
        <v>85.275503373904129</v>
      </c>
      <c r="J30" s="107">
        <f>I30/PROP_InOut!$D$8</f>
        <v>0.24712510093067969</v>
      </c>
      <c r="K30" s="105">
        <f t="shared" si="5"/>
        <v>0.23131421034166563</v>
      </c>
      <c r="L30" s="106">
        <f t="shared" si="6"/>
        <v>13.253327993978822</v>
      </c>
      <c r="M30" s="86">
        <f t="shared" si="15"/>
        <v>2.5956608342665208E-2</v>
      </c>
      <c r="N30" s="86">
        <f t="shared" si="16"/>
        <v>1.4872041085087788</v>
      </c>
      <c r="O30" s="105">
        <f t="shared" si="7"/>
        <v>0.24008574657508799</v>
      </c>
      <c r="P30" s="83">
        <v>13.7559</v>
      </c>
      <c r="Q30" s="105">
        <f t="shared" si="31"/>
        <v>-1.7185072109242867E-2</v>
      </c>
      <c r="R30" s="107">
        <f t="shared" si="9"/>
        <v>-0.98463210248759991</v>
      </c>
      <c r="S30" s="121">
        <f t="shared" si="17"/>
        <v>2.2279271752686696</v>
      </c>
      <c r="T30" s="121">
        <f t="shared" si="18"/>
        <v>85.813676576703728</v>
      </c>
      <c r="U30" s="116">
        <v>2.2279271726759031</v>
      </c>
      <c r="V30" s="116">
        <v>1.4872041085087788</v>
      </c>
      <c r="W30" s="117">
        <f t="shared" si="19"/>
        <v>-0.98463210248759991</v>
      </c>
      <c r="X30" s="116">
        <f t="shared" si="20"/>
        <v>85.813676576703728</v>
      </c>
      <c r="Y30" s="122">
        <v>0.51924999999999999</v>
      </c>
      <c r="Z30" s="121">
        <v>1.5129999999999999E-2</v>
      </c>
      <c r="AA30" s="116">
        <f t="shared" si="21"/>
        <v>-2.1505798031284939E-7</v>
      </c>
      <c r="AB30" s="116">
        <f t="shared" si="22"/>
        <v>82.94537557591525</v>
      </c>
      <c r="AC30" s="116">
        <f t="shared" si="23"/>
        <v>2.2279271752686696</v>
      </c>
      <c r="AD30" s="132">
        <f t="shared" si="24"/>
        <v>2.5927664459857169E-9</v>
      </c>
      <c r="AE30" s="116">
        <f t="shared" si="25"/>
        <v>2.5956547860437162E-2</v>
      </c>
      <c r="AF30" s="116">
        <f t="shared" si="26"/>
        <v>1.4872006431323763</v>
      </c>
      <c r="AG30" s="137">
        <f t="shared" si="27"/>
        <v>0.24712510093067969</v>
      </c>
      <c r="AH30" s="47"/>
      <c r="AI30" s="47"/>
      <c r="AJ30" s="47"/>
      <c r="AK30" s="47"/>
      <c r="AL30" s="47"/>
      <c r="AM30" s="47"/>
      <c r="AN30" s="125">
        <v>1.4872041085087788</v>
      </c>
      <c r="AO30" s="108">
        <f>PROP_InOut!$F$8*'PROP_Table (2)'!I30*'PROP_Table (2)'!E30</f>
        <v>187593.12438210583</v>
      </c>
      <c r="AP30" s="87">
        <f t="shared" si="28"/>
        <v>0.51924999999999999</v>
      </c>
      <c r="AQ30" s="87">
        <f t="shared" si="29"/>
        <v>1.5129999999999999E-2</v>
      </c>
      <c r="AR30" s="5">
        <f>0.5*PROP_InOut!$J$8*I30^2*E30*AP30*(C30-C29)</f>
        <v>0.53858486822398655</v>
      </c>
      <c r="AS30" s="5">
        <f>0.5*PROP_InOut!$J$8*I30^2*E30*AQ30*(C30-C29)</f>
        <v>1.5693382871890066E-2</v>
      </c>
      <c r="AT30" s="105">
        <f t="shared" si="0"/>
        <v>0.52341036525047646</v>
      </c>
      <c r="AU30" s="105">
        <f t="shared" si="1"/>
        <v>3.0544663530004103E-2</v>
      </c>
      <c r="AV30" s="91">
        <f t="shared" si="2"/>
        <v>12.794518740297731</v>
      </c>
      <c r="AW30" s="84">
        <f>PROP_InOut!$G$4/2*((PROP_InOut!$E$8-'PROP_Table (2)'!C30)/('PROP_Table (2)'!C30*SIN('PROP_Table (2)'!K30)))</f>
        <v>1.7883222178004814</v>
      </c>
      <c r="AX30" s="84">
        <f t="shared" si="10"/>
        <v>0.89302871020288099</v>
      </c>
      <c r="AY30" s="84">
        <f>PROP_InOut!$G$4/2*((C30-PROP_InOut!$J$12/2)/(C30*SIN('PROP_Table (2)'!K30)))</f>
        <v>3.9761305148938937</v>
      </c>
      <c r="AZ30" s="84">
        <f t="shared" si="11"/>
        <v>0.98805753290912124</v>
      </c>
      <c r="BA30" s="84">
        <f t="shared" si="12"/>
        <v>0.88236374422007313</v>
      </c>
      <c r="BB30" s="22">
        <f>0.5*PROP_InOut!$J$8*T30^2*E30*AP30*(C30-C29)</f>
        <v>0.54540433123427912</v>
      </c>
      <c r="BC30" s="22">
        <f>0.5*PROP_InOut!$J$8*T30^2*E30*AQ30*(C30-C29)</f>
        <v>1.5892089613046979E-2</v>
      </c>
      <c r="BD30" s="103">
        <f t="shared" si="13"/>
        <v>0.46183832964600646</v>
      </c>
      <c r="BE30" s="103">
        <f t="shared" si="3"/>
        <v>2.6951503678276735E-2</v>
      </c>
      <c r="BF30" s="84">
        <f t="shared" si="30"/>
        <v>11.289419461183</v>
      </c>
    </row>
    <row r="31" spans="1:59" s="92" customFormat="1" ht="15.75" thickBot="1" x14ac:dyDescent="0.3">
      <c r="A31" s="162"/>
      <c r="B31" s="102">
        <v>28</v>
      </c>
      <c r="C31" s="83">
        <v>0.20524724</v>
      </c>
      <c r="D31" s="103">
        <f>C31/PROP_InOut!$E$8</f>
        <v>0.73460000000000003</v>
      </c>
      <c r="E31" s="84">
        <v>3.1140399999999999E-2</v>
      </c>
      <c r="F31" s="104">
        <f>E31*PROP_InOut!$G$8</f>
        <v>2.0387152773999998E-4</v>
      </c>
      <c r="G31" s="92">
        <f>PROP_InOut!$C$4</f>
        <v>19.55</v>
      </c>
      <c r="H31" s="105">
        <f>PROP_InOut!$C$8*'PROP_Table (2)'!C31</f>
        <v>85.973762847144158</v>
      </c>
      <c r="I31" s="106">
        <f t="shared" si="4"/>
        <v>88.168534058908932</v>
      </c>
      <c r="J31" s="107">
        <f>I31/PROP_InOut!$D$8</f>
        <v>0.25550899163482005</v>
      </c>
      <c r="K31" s="105">
        <f t="shared" si="5"/>
        <v>0.22359282320301807</v>
      </c>
      <c r="L31" s="106">
        <f t="shared" si="6"/>
        <v>12.81092509894772</v>
      </c>
      <c r="M31" s="86">
        <f t="shared" si="15"/>
        <v>2.4669439866561289E-2</v>
      </c>
      <c r="N31" s="86">
        <f t="shared" si="16"/>
        <v>1.4134547873057386</v>
      </c>
      <c r="O31" s="105">
        <f t="shared" si="7"/>
        <v>0.23209213860095396</v>
      </c>
      <c r="P31" s="83">
        <v>13.2979</v>
      </c>
      <c r="Q31" s="105">
        <f t="shared" si="31"/>
        <v>-1.6170124468625407E-2</v>
      </c>
      <c r="R31" s="107">
        <f t="shared" si="9"/>
        <v>-0.92647988625345867</v>
      </c>
      <c r="S31" s="121">
        <f t="shared" si="17"/>
        <v>2.1890850892390339</v>
      </c>
      <c r="T31" s="121">
        <f t="shared" si="18"/>
        <v>88.678495937960207</v>
      </c>
      <c r="U31" s="116">
        <f>U30+(U32-U30)*((C31-C30)/(C32-C30))</f>
        <v>2.1844828261874789</v>
      </c>
      <c r="V31" s="116">
        <f>V30+(V32-V30)*((C31-C30)/(C32-C30))</f>
        <v>1.4134547873057386</v>
      </c>
      <c r="W31" s="117">
        <f t="shared" si="19"/>
        <v>-0.92647988625345867</v>
      </c>
      <c r="X31" s="116">
        <f t="shared" si="20"/>
        <v>88.678495937960207</v>
      </c>
      <c r="Y31" s="116">
        <f>Y30+(Y32-Y30)*((C31-C30)/(C32-C30))</f>
        <v>0.52091470177324017</v>
      </c>
      <c r="Z31" s="116">
        <f>Z30+(Z32-Z30)*((C31-C30)/(C32-C30))</f>
        <v>1.5544925667204012E-2</v>
      </c>
      <c r="AA31" s="116">
        <f t="shared" si="21"/>
        <v>-0.41756929764130746</v>
      </c>
      <c r="AB31" s="116">
        <f t="shared" si="22"/>
        <v>90.731297399488867</v>
      </c>
      <c r="AC31" s="116">
        <f t="shared" si="23"/>
        <v>2.1890850892390339</v>
      </c>
      <c r="AD31" s="132">
        <f t="shared" si="24"/>
        <v>4.6022630515549778E-3</v>
      </c>
      <c r="AE31" s="116">
        <f t="shared" si="25"/>
        <v>2.4680623713558992E-2</v>
      </c>
      <c r="AF31" s="116">
        <f t="shared" si="26"/>
        <v>1.4140955745374271</v>
      </c>
      <c r="AG31" s="137">
        <f t="shared" si="27"/>
        <v>0.25550899163482005</v>
      </c>
      <c r="AH31" s="47"/>
      <c r="AI31" s="47"/>
      <c r="AJ31" s="47"/>
      <c r="AK31" s="47"/>
      <c r="AL31" s="47"/>
      <c r="AM31" s="47"/>
      <c r="AN31" s="125"/>
      <c r="AO31" s="108">
        <f>PROP_InOut!$F$8*'PROP_Table (2)'!I31*'PROP_Table (2)'!E31</f>
        <v>183481.25991800273</v>
      </c>
      <c r="AP31" s="87">
        <f t="shared" si="28"/>
        <v>0.52091470177324017</v>
      </c>
      <c r="AQ31" s="87">
        <f t="shared" si="29"/>
        <v>1.5544925667204012E-2</v>
      </c>
      <c r="AR31" s="5">
        <f>0.5*PROP_InOut!$J$8*I31^2*E31*AP31*(C31-C30)</f>
        <v>0.54620139487095709</v>
      </c>
      <c r="AS31" s="5">
        <f>0.5*PROP_InOut!$J$8*I31^2*E31*AQ31*(C31-C30)</f>
        <v>1.6299520926726027E-2</v>
      </c>
      <c r="AT31" s="105">
        <f t="shared" si="0"/>
        <v>0.53154615338499445</v>
      </c>
      <c r="AU31" s="105">
        <f t="shared" si="1"/>
        <v>3.1146817298784081E-2</v>
      </c>
      <c r="AV31" s="91">
        <f t="shared" si="2"/>
        <v>13.046748321141809</v>
      </c>
      <c r="AW31" s="84">
        <f>PROP_InOut!$G$4/2*((PROP_InOut!$E$8-'PROP_Table (2)'!C31)/('PROP_Table (2)'!C31*SIN('PROP_Table (2)'!K31)))</f>
        <v>1.6293592587391663</v>
      </c>
      <c r="AX31" s="84">
        <f t="shared" si="10"/>
        <v>0.8743736736614397</v>
      </c>
      <c r="AY31" s="84">
        <f>PROP_InOut!$G$4/2*((C31-PROP_InOut!$J$12/2)/(C31*SIN('PROP_Table (2)'!K31)))</f>
        <v>4.1248004855921376</v>
      </c>
      <c r="AZ31" s="84">
        <f t="shared" si="11"/>
        <v>0.9897074981670595</v>
      </c>
      <c r="BA31" s="84">
        <f t="shared" si="12"/>
        <v>0.86537418102260444</v>
      </c>
      <c r="BB31" s="22">
        <f>0.5*PROP_InOut!$J$8*T31^2*E31*AP31*(C31-C30)</f>
        <v>0.55253806425126906</v>
      </c>
      <c r="BC31" s="22">
        <f>0.5*PROP_InOut!$J$8*T31^2*E31*AQ31*(C31-C30)</f>
        <v>1.6488617249327948E-2</v>
      </c>
      <c r="BD31" s="103">
        <f t="shared" si="13"/>
        <v>0.45998631716125526</v>
      </c>
      <c r="BE31" s="103">
        <f t="shared" si="3"/>
        <v>2.6953651511395962E-2</v>
      </c>
      <c r="BF31" s="84">
        <f t="shared" si="30"/>
        <v>11.290319143416133</v>
      </c>
    </row>
    <row r="32" spans="1:59" s="92" customFormat="1" ht="15.75" thickBot="1" x14ac:dyDescent="0.3">
      <c r="A32" s="162"/>
      <c r="B32" s="102">
        <v>29</v>
      </c>
      <c r="C32" s="83">
        <v>0.21233891999999999</v>
      </c>
      <c r="D32" s="103">
        <f>C32/PROP_InOut!$E$8</f>
        <v>0.7599818181818182</v>
      </c>
      <c r="E32" s="84">
        <v>2.9339540000000001E-2</v>
      </c>
      <c r="F32" s="104">
        <f>E32*PROP_InOut!$G$8</f>
        <v>1.9208156744900001E-4</v>
      </c>
      <c r="G32" s="92">
        <f>PROP_InOut!$C$4</f>
        <v>19.55</v>
      </c>
      <c r="H32" s="105">
        <f>PROP_InOut!$C$8*'PROP_Table (2)'!C32</f>
        <v>88.944318819092103</v>
      </c>
      <c r="I32" s="106">
        <f t="shared" si="4"/>
        <v>91.067526320814835</v>
      </c>
      <c r="J32" s="107">
        <f>I32/PROP_InOut!$D$8</f>
        <v>0.26391015875756951</v>
      </c>
      <c r="K32" s="105">
        <f t="shared" si="5"/>
        <v>0.21635994539331713</v>
      </c>
      <c r="L32" s="106">
        <f t="shared" si="6"/>
        <v>12.39651172671803</v>
      </c>
      <c r="M32" s="86">
        <f t="shared" si="15"/>
        <v>2.3381810205048526E-2</v>
      </c>
      <c r="N32" s="86">
        <f t="shared" si="16"/>
        <v>1.3396790421251985</v>
      </c>
      <c r="O32" s="105">
        <f t="shared" si="7"/>
        <v>0.22460293078064628</v>
      </c>
      <c r="P32" s="83">
        <v>12.8688</v>
      </c>
      <c r="Q32" s="105">
        <f t="shared" si="31"/>
        <v>-1.513882481771938E-2</v>
      </c>
      <c r="R32" s="107">
        <f t="shared" si="9"/>
        <v>-0.8673907688432283</v>
      </c>
      <c r="S32" s="121">
        <f t="shared" si="17"/>
        <v>2.1410229157034188</v>
      </c>
      <c r="T32" s="121">
        <f t="shared" si="18"/>
        <v>91.551036724007147</v>
      </c>
      <c r="U32" s="116">
        <v>2.1410229138278662</v>
      </c>
      <c r="V32" s="116">
        <v>1.3396790421251985</v>
      </c>
      <c r="W32" s="117">
        <f t="shared" si="19"/>
        <v>-0.8673907688432283</v>
      </c>
      <c r="X32" s="116">
        <f t="shared" si="20"/>
        <v>91.551036724007147</v>
      </c>
      <c r="Y32" s="122">
        <v>0.52258000000000004</v>
      </c>
      <c r="Z32" s="121">
        <v>1.5959999999999998E-2</v>
      </c>
      <c r="AA32" s="116">
        <f t="shared" si="21"/>
        <v>-1.8659289935385459E-7</v>
      </c>
      <c r="AB32" s="116">
        <f t="shared" si="22"/>
        <v>99.486902008690848</v>
      </c>
      <c r="AC32" s="116">
        <f t="shared" si="23"/>
        <v>2.1410229157034188</v>
      </c>
      <c r="AD32" s="132">
        <f t="shared" si="24"/>
        <v>1.8755526021152491E-9</v>
      </c>
      <c r="AE32" s="116">
        <f t="shared" si="25"/>
        <v>2.3381851309482619E-2</v>
      </c>
      <c r="AF32" s="116">
        <f t="shared" si="26"/>
        <v>1.3396813972357913</v>
      </c>
      <c r="AG32" s="137">
        <f t="shared" si="27"/>
        <v>0.26391015875756951</v>
      </c>
      <c r="AH32" s="47"/>
      <c r="AI32" s="47"/>
      <c r="AJ32" s="47"/>
      <c r="AK32" s="47"/>
      <c r="AL32" s="47"/>
      <c r="AM32" s="47"/>
      <c r="AN32" s="125">
        <v>1.3396790421251985</v>
      </c>
      <c r="AO32" s="108">
        <f>PROP_InOut!$F$8*'PROP_Table (2)'!I32*'PROP_Table (2)'!E32</f>
        <v>178554.47834173869</v>
      </c>
      <c r="AP32" s="87">
        <f t="shared" si="28"/>
        <v>0.52258000000000004</v>
      </c>
      <c r="AQ32" s="87">
        <f t="shared" si="29"/>
        <v>1.5959999999999998E-2</v>
      </c>
      <c r="AR32" s="5">
        <f>0.5*PROP_InOut!$J$8*I32^2*E32*AP32*(C32-C31)</f>
        <v>0.55096435869343197</v>
      </c>
      <c r="AS32" s="5">
        <f>0.5*PROP_InOut!$J$8*I32^2*E32*AQ32*(C32-C31)</f>
        <v>1.6826880410171025E-2</v>
      </c>
      <c r="AT32" s="105">
        <f t="shared" si="0"/>
        <v>0.53686659006782766</v>
      </c>
      <c r="AU32" s="105">
        <f t="shared" si="1"/>
        <v>3.1583296194078549E-2</v>
      </c>
      <c r="AV32" s="91">
        <f t="shared" si="2"/>
        <v>13.229580173262352</v>
      </c>
      <c r="AW32" s="84">
        <f>PROP_InOut!$G$4/2*((PROP_InOut!$E$8-'PROP_Table (2)'!C32)/('PROP_Table (2)'!C32*SIN('PROP_Table (2)'!K32)))</f>
        <v>1.471152578952257</v>
      </c>
      <c r="AX32" s="84">
        <f t="shared" si="10"/>
        <v>0.85247675021519642</v>
      </c>
      <c r="AY32" s="84">
        <f>PROP_InOut!$G$4/2*((C32-PROP_InOut!$J$12/2)/(C32*SIN('PROP_Table (2)'!K32)))</f>
        <v>4.2737088288947893</v>
      </c>
      <c r="AZ32" s="84">
        <f t="shared" si="11"/>
        <v>0.99113158500097365</v>
      </c>
      <c r="BA32" s="84">
        <f t="shared" si="12"/>
        <v>0.84491663261726668</v>
      </c>
      <c r="BB32" s="22">
        <f>0.5*PROP_InOut!$J$8*T32^2*E32*AP32*(C32-C31)</f>
        <v>0.55683042772970492</v>
      </c>
      <c r="BC32" s="22">
        <f>0.5*PROP_InOut!$J$8*T32^2*E32*AQ32*(C32-C31)</f>
        <v>1.7006034724953288E-2</v>
      </c>
      <c r="BD32" s="103">
        <f t="shared" si="13"/>
        <v>0.45360751144482347</v>
      </c>
      <c r="BE32" s="103">
        <f t="shared" si="3"/>
        <v>2.6685252267254583E-2</v>
      </c>
      <c r="BF32" s="84">
        <f t="shared" si="30"/>
        <v>11.177892330932982</v>
      </c>
    </row>
    <row r="33" spans="1:58" s="92" customFormat="1" ht="15.75" thickBot="1" x14ac:dyDescent="0.3">
      <c r="A33" s="162"/>
      <c r="B33" s="102">
        <v>30</v>
      </c>
      <c r="C33" s="83">
        <v>0.21942805999999998</v>
      </c>
      <c r="D33" s="103">
        <f>C33/PROP_InOut!$E$8</f>
        <v>0.78535454545454542</v>
      </c>
      <c r="E33" s="84">
        <v>2.7533600000000002E-2</v>
      </c>
      <c r="F33" s="104">
        <f>E33*PROP_InOut!$G$8</f>
        <v>1.8025834916000002E-4</v>
      </c>
      <c r="G33" s="92">
        <f>PROP_InOut!$C$4</f>
        <v>19.55</v>
      </c>
      <c r="H33" s="105">
        <f>PROP_InOut!$C$8*'PROP_Table (2)'!C33</f>
        <v>91.913810838328047</v>
      </c>
      <c r="I33" s="106">
        <f t="shared" si="4"/>
        <v>93.969947977126978</v>
      </c>
      <c r="J33" s="107">
        <f>I33/PROP_InOut!$D$8</f>
        <v>0.27232126413228169</v>
      </c>
      <c r="K33" s="105">
        <f t="shared" si="5"/>
        <v>0.20957604084044751</v>
      </c>
      <c r="L33" s="106">
        <f t="shared" si="6"/>
        <v>12.007822627219017</v>
      </c>
      <c r="M33" s="86">
        <f t="shared" si="15"/>
        <v>2.2090793055834772E-2</v>
      </c>
      <c r="N33" s="86">
        <f t="shared" si="16"/>
        <v>1.2657092081962391</v>
      </c>
      <c r="O33" s="105">
        <f t="shared" si="7"/>
        <v>0.21757623521211711</v>
      </c>
      <c r="P33" s="83">
        <v>12.466200000000001</v>
      </c>
      <c r="Q33" s="105">
        <f t="shared" si="31"/>
        <v>-1.4090598684165173E-2</v>
      </c>
      <c r="R33" s="107">
        <f t="shared" si="9"/>
        <v>-0.80733183541525566</v>
      </c>
      <c r="S33" s="121">
        <f t="shared" si="17"/>
        <v>2.0862317345021255</v>
      </c>
      <c r="T33" s="121">
        <f t="shared" si="18"/>
        <v>94.425201863463116</v>
      </c>
      <c r="U33" s="116">
        <f>U32+(U34-U32)*((C33-C32)/(C34-C32))</f>
        <v>2.0826171355157053</v>
      </c>
      <c r="V33" s="116">
        <f>V32+(V34-V32)*((C33-C32)/(C34-C32))</f>
        <v>1.2657092081962391</v>
      </c>
      <c r="W33" s="117">
        <f t="shared" si="19"/>
        <v>-0.80733183541525566</v>
      </c>
      <c r="X33" s="116">
        <f t="shared" si="20"/>
        <v>94.425201863463116</v>
      </c>
      <c r="Y33" s="116">
        <f>Y32+(Y34-Y32)*((C33-C32)/(C34-C32))</f>
        <v>0.52472461579795804</v>
      </c>
      <c r="Z33" s="116">
        <f>Z32+(Z34-Z32)*((C33-C32)/(C34-C32))</f>
        <v>1.6469908651262757E-2</v>
      </c>
      <c r="AA33" s="116">
        <f t="shared" si="21"/>
        <v>-0.39533521295862784</v>
      </c>
      <c r="AB33" s="116">
        <f t="shared" si="22"/>
        <v>109.37180429803482</v>
      </c>
      <c r="AC33" s="116">
        <f t="shared" si="23"/>
        <v>2.0862317345021255</v>
      </c>
      <c r="AD33" s="132">
        <f t="shared" si="24"/>
        <v>3.6145989864202477E-3</v>
      </c>
      <c r="AE33" s="116">
        <f t="shared" si="25"/>
        <v>2.2090420049023691E-2</v>
      </c>
      <c r="AF33" s="116">
        <f t="shared" si="26"/>
        <v>1.2656878364802346</v>
      </c>
      <c r="AG33" s="137">
        <f t="shared" si="27"/>
        <v>0.27232126413228169</v>
      </c>
      <c r="AH33" s="47"/>
      <c r="AI33" s="47"/>
      <c r="AJ33" s="47"/>
      <c r="AK33" s="47"/>
      <c r="AL33" s="47"/>
      <c r="AM33" s="47"/>
      <c r="AN33" s="125"/>
      <c r="AO33" s="108">
        <f>PROP_InOut!$F$8*'PROP_Table (2)'!I33*'PROP_Table (2)'!E33</f>
        <v>172904.33905451084</v>
      </c>
      <c r="AP33" s="87">
        <f t="shared" si="28"/>
        <v>0.52472461579795804</v>
      </c>
      <c r="AQ33" s="87">
        <f t="shared" si="29"/>
        <v>1.6469908651262757E-2</v>
      </c>
      <c r="AR33" s="5">
        <f>0.5*PROP_InOut!$J$8*I33^2*E33*AP33*(C33-C32)</f>
        <v>0.55259528278534775</v>
      </c>
      <c r="AS33" s="5">
        <f>0.5*PROP_InOut!$J$8*I33^2*E33*AQ33*(C33-C32)</f>
        <v>1.7344705307474555E-2</v>
      </c>
      <c r="AT33" s="105">
        <f t="shared" si="0"/>
        <v>0.53903556950650366</v>
      </c>
      <c r="AU33" s="105">
        <f t="shared" si="1"/>
        <v>3.1850770427816033E-2</v>
      </c>
      <c r="AV33" s="91">
        <f t="shared" si="2"/>
        <v>13.341619518293586</v>
      </c>
      <c r="AW33" s="84">
        <f>PROP_InOut!$G$4/2*((PROP_InOut!$E$8-'PROP_Table (2)'!C33)/('PROP_Table (2)'!C33*SIN('PROP_Table (2)'!K33)))</f>
        <v>1.3137059262499915</v>
      </c>
      <c r="AX33" s="84">
        <f t="shared" si="10"/>
        <v>0.82673133943833754</v>
      </c>
      <c r="AY33" s="84">
        <f>PROP_InOut!$G$4/2*((C33-PROP_InOut!$J$12/2)/(C33*SIN('PROP_Table (2)'!K33)))</f>
        <v>4.4227339109603809</v>
      </c>
      <c r="AZ33" s="84">
        <f t="shared" si="11"/>
        <v>0.99235950287707475</v>
      </c>
      <c r="BA33" s="84">
        <f t="shared" si="12"/>
        <v>0.8204147010179268</v>
      </c>
      <c r="BB33" s="22">
        <f>0.5*PROP_InOut!$J$8*T33^2*E33*AP33*(C33-C32)</f>
        <v>0.55796254212211893</v>
      </c>
      <c r="BC33" s="22">
        <f>0.5*PROP_InOut!$J$8*T33^2*E33*AQ33*(C33-C32)</f>
        <v>1.7513171333886957E-2</v>
      </c>
      <c r="BD33" s="103">
        <f t="shared" si="13"/>
        <v>0.44223270559470612</v>
      </c>
      <c r="BE33" s="103">
        <f t="shared" si="3"/>
        <v>2.6130840297727314E-2</v>
      </c>
      <c r="BF33" s="84">
        <f t="shared" si="30"/>
        <v>10.945660788195768</v>
      </c>
    </row>
    <row r="34" spans="1:58" s="92" customFormat="1" ht="15.75" thickBot="1" x14ac:dyDescent="0.3">
      <c r="A34" s="162"/>
      <c r="B34" s="102">
        <v>31</v>
      </c>
      <c r="C34" s="83">
        <v>0.22651974000000002</v>
      </c>
      <c r="D34" s="103">
        <f>C34/PROP_InOut!$E$8</f>
        <v>0.81073636363636381</v>
      </c>
      <c r="E34" s="84">
        <v>2.5742899999999999E-2</v>
      </c>
      <c r="F34" s="104">
        <f>E34*PROP_InOut!$G$8</f>
        <v>1.6853490486499998E-4</v>
      </c>
      <c r="G34" s="92">
        <f>PROP_InOut!$C$4</f>
        <v>19.55</v>
      </c>
      <c r="H34" s="105">
        <f>PROP_InOut!$C$8*'PROP_Table (2)'!C34</f>
        <v>94.88436681027602</v>
      </c>
      <c r="I34" s="106">
        <f t="shared" si="4"/>
        <v>96.877477077941137</v>
      </c>
      <c r="J34" s="107">
        <f>I34/PROP_InOut!$D$8</f>
        <v>0.28074717068304228</v>
      </c>
      <c r="K34" s="105">
        <f t="shared" si="5"/>
        <v>0.20319670243768262</v>
      </c>
      <c r="L34" s="106">
        <f t="shared" si="6"/>
        <v>11.642313460654862</v>
      </c>
      <c r="M34" s="86">
        <f t="shared" si="15"/>
        <v>2.0799313342253684E-2</v>
      </c>
      <c r="N34" s="86">
        <f t="shared" si="16"/>
        <v>1.1917128712812783</v>
      </c>
      <c r="O34" s="105">
        <f t="shared" si="7"/>
        <v>0.21096841866406657</v>
      </c>
      <c r="P34" s="83">
        <v>12.0876</v>
      </c>
      <c r="Q34" s="105">
        <f t="shared" si="31"/>
        <v>-1.3027597115869739E-2</v>
      </c>
      <c r="R34" s="107">
        <f t="shared" si="9"/>
        <v>-0.74642633193613972</v>
      </c>
      <c r="S34" s="121">
        <f t="shared" si="17"/>
        <v>2.0241904321603439</v>
      </c>
      <c r="T34" s="121">
        <f t="shared" si="18"/>
        <v>97.306159916670012</v>
      </c>
      <c r="U34" s="116">
        <v>2.0241904307333498</v>
      </c>
      <c r="V34" s="116">
        <v>1.1917128712812783</v>
      </c>
      <c r="W34" s="117">
        <f t="shared" si="19"/>
        <v>-0.74642633193613972</v>
      </c>
      <c r="X34" s="116">
        <f t="shared" si="20"/>
        <v>97.306159916670012</v>
      </c>
      <c r="Y34" s="122">
        <v>0.52686999999999995</v>
      </c>
      <c r="Z34" s="121">
        <v>1.6979999999999999E-2</v>
      </c>
      <c r="AA34" s="116">
        <f t="shared" si="21"/>
        <v>-1.7197655211020901E-7</v>
      </c>
      <c r="AB34" s="116">
        <f t="shared" si="22"/>
        <v>120.51666903901271</v>
      </c>
      <c r="AC34" s="116">
        <f t="shared" si="23"/>
        <v>2.0241904321603439</v>
      </c>
      <c r="AD34" s="132">
        <f t="shared" si="24"/>
        <v>1.4269940784572555E-9</v>
      </c>
      <c r="AE34" s="116">
        <f t="shared" si="25"/>
        <v>2.0799284755465778E-2</v>
      </c>
      <c r="AF34" s="116">
        <f t="shared" si="26"/>
        <v>1.1917112333789817</v>
      </c>
      <c r="AG34" s="137">
        <f t="shared" si="27"/>
        <v>0.28074717068304228</v>
      </c>
      <c r="AH34" s="47"/>
      <c r="AI34" s="47"/>
      <c r="AJ34" s="47"/>
      <c r="AK34" s="47"/>
      <c r="AL34" s="47"/>
      <c r="AM34" s="47"/>
      <c r="AN34" s="125">
        <v>1.1917128712812783</v>
      </c>
      <c r="AO34" s="108">
        <f>PROP_InOut!$F$8*'PROP_Table (2)'!I34*'PROP_Table (2)'!E34</f>
        <v>166661.08187007115</v>
      </c>
      <c r="AP34" s="87">
        <f t="shared" si="28"/>
        <v>0.52686999999999995</v>
      </c>
      <c r="AQ34" s="87">
        <f t="shared" si="29"/>
        <v>1.6979999999999999E-2</v>
      </c>
      <c r="AR34" s="5">
        <f>0.5*PROP_InOut!$J$8*I34^2*E34*AP34*(C34-C33)</f>
        <v>0.55156528136539662</v>
      </c>
      <c r="AS34" s="5">
        <f>0.5*PROP_InOut!$J$8*I34^2*E34*AQ34*(C34-C33)</f>
        <v>1.7775881104607275E-2</v>
      </c>
      <c r="AT34" s="105">
        <f t="shared" si="0"/>
        <v>0.53857226308648642</v>
      </c>
      <c r="AU34" s="105">
        <f t="shared" si="1"/>
        <v>3.1959684078889682E-2</v>
      </c>
      <c r="AV34" s="91">
        <f t="shared" si="2"/>
        <v>13.387241161772069</v>
      </c>
      <c r="AW34" s="84">
        <f>PROP_InOut!$G$4/2*((PROP_InOut!$E$8-'PROP_Table (2)'!C34)/('PROP_Table (2)'!C34*SIN('PROP_Table (2)'!K34)))</f>
        <v>1.1568141329552493</v>
      </c>
      <c r="AX34" s="84">
        <f t="shared" si="10"/>
        <v>0.79633536683823913</v>
      </c>
      <c r="AY34" s="84">
        <f>PROP_InOut!$G$4/2*((C34-PROP_InOut!$J$12/2)/(C34*SIN('PROP_Table (2)'!K34)))</f>
        <v>4.5719690510442845</v>
      </c>
      <c r="AZ34" s="84">
        <f t="shared" si="11"/>
        <v>0.99341877213015184</v>
      </c>
      <c r="BA34" s="84">
        <f t="shared" si="12"/>
        <v>0.79109450232825751</v>
      </c>
      <c r="BB34" s="22">
        <f>0.5*PROP_InOut!$J$8*T34^2*E34*AP34*(C34-C33)</f>
        <v>0.55645743412882931</v>
      </c>
      <c r="BC34" s="22">
        <f>0.5*PROP_InOut!$J$8*T34^2*E34*AQ34*(C34-C33)</f>
        <v>1.7933545716225106E-2</v>
      </c>
      <c r="BD34" s="103">
        <f t="shared" si="13"/>
        <v>0.42606155643420734</v>
      </c>
      <c r="BE34" s="103">
        <f t="shared" si="3"/>
        <v>2.5283130370957568E-2</v>
      </c>
      <c r="BF34" s="84">
        <f t="shared" si="30"/>
        <v>10.590572884420439</v>
      </c>
    </row>
    <row r="35" spans="1:58" s="92" customFormat="1" ht="15.75" thickBot="1" x14ac:dyDescent="0.3">
      <c r="A35" s="162"/>
      <c r="B35" s="102">
        <v>32</v>
      </c>
      <c r="C35" s="83">
        <v>0.23360887999999999</v>
      </c>
      <c r="D35" s="103">
        <f>C35/PROP_InOut!$E$8</f>
        <v>0.83610909090909091</v>
      </c>
      <c r="E35" s="84">
        <v>2.3982679999999999E-2</v>
      </c>
      <c r="F35" s="104">
        <f>E35*PROP_InOut!$G$8</f>
        <v>1.5701100855799999E-4</v>
      </c>
      <c r="G35" s="92">
        <f>PROP_InOut!$C$4</f>
        <v>19.55</v>
      </c>
      <c r="H35" s="105">
        <f>PROP_InOut!$C$8*'PROP_Table (2)'!C35</f>
        <v>97.85385882951195</v>
      </c>
      <c r="I35" s="106">
        <f t="shared" si="4"/>
        <v>99.787675530729018</v>
      </c>
      <c r="J35" s="107">
        <f>I35/PROP_InOut!$D$8</f>
        <v>0.28918081291227826</v>
      </c>
      <c r="K35" s="105">
        <f t="shared" si="5"/>
        <v>0.19719144253502235</v>
      </c>
      <c r="L35" s="106">
        <f t="shared" si="6"/>
        <v>11.298237413353284</v>
      </c>
      <c r="M35" s="86">
        <f t="shared" si="15"/>
        <v>1.9506943300779067E-2</v>
      </c>
      <c r="N35" s="86">
        <f t="shared" si="16"/>
        <v>1.1176655223356358</v>
      </c>
      <c r="O35" s="105">
        <f t="shared" si="7"/>
        <v>0.2047463198807068</v>
      </c>
      <c r="P35" s="83">
        <v>11.7311</v>
      </c>
      <c r="Q35" s="105">
        <f t="shared" si="31"/>
        <v>-1.1952065955094645E-2</v>
      </c>
      <c r="R35" s="107">
        <f t="shared" si="9"/>
        <v>-0.68480293568892048</v>
      </c>
      <c r="S35" s="121">
        <f t="shared" si="17"/>
        <v>1.9532362446259677</v>
      </c>
      <c r="T35" s="121">
        <f t="shared" si="18"/>
        <v>100.1881617905066</v>
      </c>
      <c r="U35" s="116">
        <f>U34+(U36-U34)*((C35-C34)/(C36-C34))</f>
        <v>1.9509319596772963</v>
      </c>
      <c r="V35" s="116">
        <f>V34+(V36-V34)*((C35-C34)/(C36-C34))</f>
        <v>1.1176655223356358</v>
      </c>
      <c r="W35" s="117">
        <f t="shared" si="19"/>
        <v>-0.68480293568892048</v>
      </c>
      <c r="X35" s="116">
        <f t="shared" si="20"/>
        <v>100.1881617905066</v>
      </c>
      <c r="Y35" s="116">
        <f>Y34+(Y36-Y34)*((C35-C34)/(C36-C34))</f>
        <v>0.52826974923876047</v>
      </c>
      <c r="Z35" s="116">
        <f>Z34+(Z36-Z34)*((C35-C34)/(C36-C34))</f>
        <v>1.7604888053018089E-2</v>
      </c>
      <c r="AA35" s="116">
        <f t="shared" si="21"/>
        <v>-0.30669227831862145</v>
      </c>
      <c r="AB35" s="116">
        <f t="shared" si="22"/>
        <v>133.09650722470704</v>
      </c>
      <c r="AC35" s="116">
        <f t="shared" si="23"/>
        <v>1.9532362446259677</v>
      </c>
      <c r="AD35" s="132">
        <f t="shared" si="24"/>
        <v>2.304284948671409E-3</v>
      </c>
      <c r="AE35" s="116">
        <f t="shared" si="25"/>
        <v>1.9493209608339657E-2</v>
      </c>
      <c r="AF35" s="116">
        <f t="shared" si="26"/>
        <v>1.1168786397217267</v>
      </c>
      <c r="AG35" s="137">
        <f t="shared" si="27"/>
        <v>0.28918081291227826</v>
      </c>
      <c r="AH35" s="47"/>
      <c r="AI35" s="47"/>
      <c r="AJ35" s="47"/>
      <c r="AK35" s="47"/>
      <c r="AL35" s="47"/>
      <c r="AM35" s="47"/>
      <c r="AN35" s="125"/>
      <c r="AO35" s="108">
        <f>PROP_InOut!$F$8*'PROP_Table (2)'!I35*'PROP_Table (2)'!E35</f>
        <v>159929.48022236984</v>
      </c>
      <c r="AP35" s="87">
        <f t="shared" si="28"/>
        <v>0.52826974923876047</v>
      </c>
      <c r="AQ35" s="87">
        <f t="shared" si="29"/>
        <v>1.7604888053018089E-2</v>
      </c>
      <c r="AR35" s="5">
        <f>0.5*PROP_InOut!$J$8*I35^2*E35*AP35*(C35-C34)</f>
        <v>0.54643943111973003</v>
      </c>
      <c r="AS35" s="5">
        <f>0.5*PROP_InOut!$J$8*I35^2*E35*AQ35*(C35-C34)</f>
        <v>1.821040297401132E-2</v>
      </c>
      <c r="AT35" s="105">
        <f t="shared" si="0"/>
        <v>0.53400496901561378</v>
      </c>
      <c r="AU35" s="105">
        <f t="shared" si="1"/>
        <v>3.1855015691491989E-2</v>
      </c>
      <c r="AV35" s="91">
        <f t="shared" si="2"/>
        <v>13.343397770183843</v>
      </c>
      <c r="AW35" s="84">
        <f>PROP_InOut!$G$4/2*((PROP_InOut!$E$8-'PROP_Table (2)'!C35)/('PROP_Table (2)'!C35*SIN('PROP_Table (2)'!K35)))</f>
        <v>1.0005114502590091</v>
      </c>
      <c r="AX35" s="84">
        <f t="shared" si="10"/>
        <v>0.7602965961131446</v>
      </c>
      <c r="AY35" s="84">
        <f>PROP_InOut!$G$4/2*((C35-PROP_InOut!$J$12/2)/(C35*SIN('PROP_Table (2)'!K35)))</f>
        <v>4.7212952128042174</v>
      </c>
      <c r="AZ35" s="84">
        <f t="shared" si="11"/>
        <v>0.99433169249184084</v>
      </c>
      <c r="BA35" s="84">
        <f t="shared" si="12"/>
        <v>0.75598700120896856</v>
      </c>
      <c r="BB35" s="22">
        <f>0.5*PROP_InOut!$J$8*T35^2*E35*AP35*(C35-C34)</f>
        <v>0.55083437528998658</v>
      </c>
      <c r="BC35" s="22">
        <f>0.5*PROP_InOut!$J$8*T35^2*E35*AQ35*(C35-C34)</f>
        <v>1.8356866973186219E-2</v>
      </c>
      <c r="BD35" s="103">
        <f t="shared" si="13"/>
        <v>0.40370081515680206</v>
      </c>
      <c r="BE35" s="103">
        <f t="shared" si="3"/>
        <v>2.4081977786075667E-2</v>
      </c>
      <c r="BF35" s="84">
        <f t="shared" si="30"/>
        <v>10.087435266219721</v>
      </c>
    </row>
    <row r="36" spans="1:58" s="92" customFormat="1" ht="15.75" thickBot="1" x14ac:dyDescent="0.3">
      <c r="A36" s="162"/>
      <c r="B36" s="102">
        <v>33</v>
      </c>
      <c r="C36" s="83">
        <v>0.24070055999999998</v>
      </c>
      <c r="D36" s="103">
        <f>C36/PROP_InOut!$E$8</f>
        <v>0.86149090909090908</v>
      </c>
      <c r="E36" s="84">
        <v>2.2270720000000001E-2</v>
      </c>
      <c r="F36" s="104">
        <f>E36*PROP_InOut!$G$8</f>
        <v>1.45803063232E-4</v>
      </c>
      <c r="G36" s="92">
        <f>PROP_InOut!$C$4</f>
        <v>19.55</v>
      </c>
      <c r="H36" s="105">
        <f>PROP_InOut!$C$8*'PROP_Table (2)'!C36</f>
        <v>100.82441480145989</v>
      </c>
      <c r="I36" s="106">
        <f t="shared" si="4"/>
        <v>102.70231311931025</v>
      </c>
      <c r="J36" s="107">
        <f>I36/PROP_InOut!$D$8</f>
        <v>0.29762731958484878</v>
      </c>
      <c r="K36" s="105">
        <f t="shared" si="5"/>
        <v>0.19152474940833814</v>
      </c>
      <c r="L36" s="106">
        <f t="shared" si="6"/>
        <v>10.973559813398486</v>
      </c>
      <c r="M36" s="86">
        <f t="shared" si="15"/>
        <v>1.8214110210203239E-2</v>
      </c>
      <c r="N36" s="86">
        <f t="shared" si="16"/>
        <v>1.0435916426307863</v>
      </c>
      <c r="O36" s="105">
        <f t="shared" si="7"/>
        <v>0.19887503227699788</v>
      </c>
      <c r="P36" s="83">
        <v>11.3947</v>
      </c>
      <c r="Q36" s="105">
        <f t="shared" si="31"/>
        <v>-1.086382734154351E-2</v>
      </c>
      <c r="R36" s="107">
        <f t="shared" si="9"/>
        <v>-0.62245145602927221</v>
      </c>
      <c r="S36" s="121">
        <f t="shared" si="17"/>
        <v>1.8776472415432832</v>
      </c>
      <c r="T36" s="121">
        <f t="shared" si="18"/>
        <v>103.07621785029123</v>
      </c>
      <c r="U36" s="116">
        <v>1.877647240512659</v>
      </c>
      <c r="V36" s="116">
        <v>1.0435916426307863</v>
      </c>
      <c r="W36" s="117">
        <f t="shared" si="19"/>
        <v>-0.62245145602927221</v>
      </c>
      <c r="X36" s="116">
        <f t="shared" si="20"/>
        <v>103.07621785029123</v>
      </c>
      <c r="Y36" s="122">
        <v>0.52966999999999997</v>
      </c>
      <c r="Z36" s="121">
        <v>1.823E-2</v>
      </c>
      <c r="AA36" s="116">
        <f t="shared" si="21"/>
        <v>-1.5180185641838762E-7</v>
      </c>
      <c r="AB36" s="116">
        <f t="shared" si="22"/>
        <v>147.29117919610673</v>
      </c>
      <c r="AC36" s="116">
        <f t="shared" si="23"/>
        <v>1.8776472415432832</v>
      </c>
      <c r="AD36" s="132">
        <f t="shared" si="24"/>
        <v>1.0306242526070264E-9</v>
      </c>
      <c r="AE36" s="116">
        <f t="shared" si="25"/>
        <v>1.8214090870531351E-2</v>
      </c>
      <c r="AF36" s="116">
        <f t="shared" si="26"/>
        <v>1.04359053454921</v>
      </c>
      <c r="AG36" s="137">
        <f t="shared" si="27"/>
        <v>0.29762731958484878</v>
      </c>
      <c r="AH36" s="47"/>
      <c r="AI36" s="47"/>
      <c r="AJ36" s="47"/>
      <c r="AK36" s="47"/>
      <c r="AL36" s="47"/>
      <c r="AM36" s="47"/>
      <c r="AN36" s="125">
        <v>1.0435916426307863</v>
      </c>
      <c r="AO36" s="108">
        <f>PROP_InOut!$F$8*'PROP_Table (2)'!I36*'PROP_Table (2)'!E36</f>
        <v>152851.03708245157</v>
      </c>
      <c r="AP36" s="87">
        <f t="shared" si="28"/>
        <v>0.52966999999999997</v>
      </c>
      <c r="AQ36" s="87">
        <f t="shared" si="29"/>
        <v>1.823E-2</v>
      </c>
      <c r="AR36" s="5">
        <f>0.5*PROP_InOut!$J$8*I36^2*E36*AP36*(C36-C35)</f>
        <v>0.53912618340278773</v>
      </c>
      <c r="AS36" s="5">
        <f>0.5*PROP_InOut!$J$8*I36^2*E36*AQ36*(C36-C35)</f>
        <v>1.8555459670045162E-2</v>
      </c>
      <c r="AT36" s="105">
        <f t="shared" si="0"/>
        <v>0.52726641122115547</v>
      </c>
      <c r="AU36" s="105">
        <f t="shared" si="1"/>
        <v>3.1615659590982538E-2</v>
      </c>
      <c r="AV36" s="91">
        <f t="shared" si="2"/>
        <v>13.243136521256858</v>
      </c>
      <c r="AW36" s="84">
        <f>PROP_InOut!$G$4/2*((PROP_InOut!$E$8-'PROP_Table (2)'!C36)/('PROP_Table (2)'!C36*SIN('PROP_Table (2)'!K36)))</f>
        <v>0.84461938220024579</v>
      </c>
      <c r="AX36" s="84">
        <f t="shared" si="10"/>
        <v>0.71722390882666198</v>
      </c>
      <c r="AY36" s="84">
        <f>PROP_InOut!$G$4/2*((C36-PROP_InOut!$J$12/2)/(C36*SIN('PROP_Table (2)'!K36)))</f>
        <v>4.8708084403808343</v>
      </c>
      <c r="AZ36" s="84">
        <f t="shared" si="11"/>
        <v>0.9951188837615732</v>
      </c>
      <c r="BA36" s="84">
        <f t="shared" si="12"/>
        <v>0.71372305555870019</v>
      </c>
      <c r="BB36" s="22">
        <f>0.5*PROP_InOut!$J$8*T36^2*E36*AP36*(C36-C35)</f>
        <v>0.5430588850218242</v>
      </c>
      <c r="BC36" s="22">
        <f>0.5*PROP_InOut!$J$8*T36^2*E36*AQ36*(C36-C35)</f>
        <v>1.8690814042607386E-2</v>
      </c>
      <c r="BD36" s="103">
        <f t="shared" si="13"/>
        <v>0.37632219411023321</v>
      </c>
      <c r="BE36" s="103">
        <f t="shared" si="3"/>
        <v>2.2564825166779781E-2</v>
      </c>
      <c r="BF36" s="84">
        <f t="shared" si="30"/>
        <v>9.4519318631324598</v>
      </c>
    </row>
    <row r="37" spans="1:58" s="92" customFormat="1" ht="15.75" thickBot="1" x14ac:dyDescent="0.3">
      <c r="A37" s="162"/>
      <c r="B37" s="102">
        <v>34</v>
      </c>
      <c r="C37" s="83">
        <v>0.24778969999999997</v>
      </c>
      <c r="D37" s="103">
        <f>C37/PROP_InOut!$E$8</f>
        <v>0.8868636363636363</v>
      </c>
      <c r="E37" s="84">
        <v>2.0622259999999996E-2</v>
      </c>
      <c r="F37" s="104">
        <f>E37*PROP_InOut!$G$8</f>
        <v>1.3501084288099996E-4</v>
      </c>
      <c r="G37" s="92">
        <f>PROP_InOut!$C$4</f>
        <v>19.55</v>
      </c>
      <c r="H37" s="105">
        <f>PROP_InOut!$C$8*'PROP_Table (2)'!C37</f>
        <v>103.79390682069584</v>
      </c>
      <c r="I37" s="106">
        <f t="shared" si="4"/>
        <v>105.61902098156037</v>
      </c>
      <c r="J37" s="107">
        <f>I37/PROP_InOut!$D$8</f>
        <v>0.30607982583020554</v>
      </c>
      <c r="K37" s="105">
        <f t="shared" si="5"/>
        <v>0.18617284146425211</v>
      </c>
      <c r="L37" s="106">
        <f t="shared" si="6"/>
        <v>10.666918075859819</v>
      </c>
      <c r="M37" s="86">
        <f t="shared" si="15"/>
        <v>1.6955559228384542E-2</v>
      </c>
      <c r="N37" s="86">
        <f t="shared" si="16"/>
        <v>0.97148198307052902</v>
      </c>
      <c r="O37" s="105">
        <f t="shared" si="7"/>
        <v>0.1933266305849079</v>
      </c>
      <c r="P37" s="83">
        <v>11.0768</v>
      </c>
      <c r="Q37" s="105">
        <f t="shared" si="31"/>
        <v>-9.8017701077287456E-3</v>
      </c>
      <c r="R37" s="107">
        <f t="shared" si="9"/>
        <v>-0.56160005893034737</v>
      </c>
      <c r="S37" s="121">
        <f t="shared" si="17"/>
        <v>1.7937524805140934</v>
      </c>
      <c r="T37" s="121">
        <f t="shared" si="18"/>
        <v>105.96561019826065</v>
      </c>
      <c r="U37" s="116">
        <f>U36+(U38-U36)*((C37-C36)/(C38-C36))</f>
        <v>1.793276496040427</v>
      </c>
      <c r="V37" s="116">
        <f>V36+(V38-V36)*((C37-C36)/(C38-C36))</f>
        <v>0.97148198307052902</v>
      </c>
      <c r="W37" s="117">
        <f t="shared" si="19"/>
        <v>-0.56160005893034737</v>
      </c>
      <c r="X37" s="116">
        <f t="shared" si="20"/>
        <v>105.96561019826065</v>
      </c>
      <c r="Y37" s="116">
        <f>Y36+(Y38-Y36)*((C37-C36)/(C38-C36))</f>
        <v>0.52950003044957905</v>
      </c>
      <c r="Z37" s="116">
        <f>Z36+(Z38-Z36)*((C37-C36)/(C38-C36))</f>
        <v>1.8979865663621708E-2</v>
      </c>
      <c r="AA37" s="116">
        <f t="shared" si="21"/>
        <v>-7.7710461237700201E-2</v>
      </c>
      <c r="AB37" s="116">
        <f t="shared" si="22"/>
        <v>163.26259686393124</v>
      </c>
      <c r="AC37" s="116">
        <f t="shared" si="23"/>
        <v>1.7937524805140934</v>
      </c>
      <c r="AD37" s="132">
        <f t="shared" si="24"/>
        <v>4.7598447366636876E-4</v>
      </c>
      <c r="AE37" s="116">
        <f t="shared" si="25"/>
        <v>1.692606851817547E-2</v>
      </c>
      <c r="AF37" s="116">
        <f t="shared" si="26"/>
        <v>0.96979228984070576</v>
      </c>
      <c r="AG37" s="137">
        <f t="shared" si="27"/>
        <v>0.30607982583020554</v>
      </c>
      <c r="AH37" s="47"/>
      <c r="AI37" s="47"/>
      <c r="AJ37" s="47"/>
      <c r="AK37" s="47"/>
      <c r="AL37" s="47"/>
      <c r="AM37" s="47"/>
      <c r="AN37" s="125"/>
      <c r="AO37" s="108">
        <f>PROP_InOut!$F$8*'PROP_Table (2)'!I37*'PROP_Table (2)'!E37</f>
        <v>145556.73402620162</v>
      </c>
      <c r="AP37" s="87">
        <f t="shared" si="28"/>
        <v>0.52950003044957905</v>
      </c>
      <c r="AQ37" s="87">
        <f t="shared" si="29"/>
        <v>1.8979865663621708E-2</v>
      </c>
      <c r="AR37" s="5">
        <f>0.5*PROP_InOut!$J$8*I37^2*E37*AP37*(C37-C36)</f>
        <v>0.52762004411155239</v>
      </c>
      <c r="AS37" s="5">
        <f>0.5*PROP_InOut!$J$8*I37^2*E37*AQ37*(C37-C36)</f>
        <v>1.8912477776760028E-2</v>
      </c>
      <c r="AT37" s="105">
        <f t="shared" si="0"/>
        <v>0.5163290833832751</v>
      </c>
      <c r="AU37" s="105">
        <f t="shared" si="1"/>
        <v>3.1168036503927181E-2</v>
      </c>
      <c r="AV37" s="91">
        <f t="shared" si="2"/>
        <v>13.055636601007485</v>
      </c>
      <c r="AW37" s="84">
        <f>PROP_InOut!$G$4/2*((PROP_InOut!$E$8-'PROP_Table (2)'!C37)/('PROP_Table (2)'!C37*SIN('PROP_Table (2)'!K37)))</f>
        <v>0.68919281869615912</v>
      </c>
      <c r="AX37" s="84">
        <f t="shared" si="10"/>
        <v>0.66520938895204773</v>
      </c>
      <c r="AY37" s="84">
        <f>PROP_InOut!$G$4/2*((C37-PROP_InOut!$J$12/2)/(C37*SIN('PROP_Table (2)'!K37)))</f>
        <v>5.0203917218883305</v>
      </c>
      <c r="AZ37" s="84">
        <f t="shared" si="11"/>
        <v>0.99579704387839219</v>
      </c>
      <c r="BA37" s="84">
        <f t="shared" si="12"/>
        <v>0.66241354307860068</v>
      </c>
      <c r="BB37" s="22">
        <f>0.5*PROP_InOut!$J$8*T37^2*E37*AP37*(C37-C36)</f>
        <v>0.53108850000450059</v>
      </c>
      <c r="BC37" s="22">
        <f>0.5*PROP_InOut!$J$8*T37^2*E37*AQ37*(C37-C36)</f>
        <v>1.9036804166037969E-2</v>
      </c>
      <c r="BD37" s="103">
        <f t="shared" si="13"/>
        <v>0.34202337751844147</v>
      </c>
      <c r="BE37" s="103">
        <f t="shared" si="3"/>
        <v>2.0646129491369566E-2</v>
      </c>
      <c r="BF37" s="84">
        <f t="shared" si="30"/>
        <v>8.6482304980200269</v>
      </c>
    </row>
    <row r="38" spans="1:58" s="92" customFormat="1" ht="15.75" thickBot="1" x14ac:dyDescent="0.3">
      <c r="A38" s="162"/>
      <c r="B38" s="102">
        <v>35</v>
      </c>
      <c r="C38" s="83">
        <v>0.25488137999999999</v>
      </c>
      <c r="D38" s="103">
        <f>C38/PROP_InOut!$E$8</f>
        <v>0.91224545454545458</v>
      </c>
      <c r="E38" s="84">
        <v>1.9055079999999999E-2</v>
      </c>
      <c r="F38" s="104">
        <f>E38*PROP_InOut!$G$8</f>
        <v>1.2475075049799998E-4</v>
      </c>
      <c r="G38" s="92">
        <f>PROP_InOut!$C$4</f>
        <v>19.55</v>
      </c>
      <c r="H38" s="105">
        <f>PROP_InOut!$C$8*'PROP_Table (2)'!C38</f>
        <v>106.7644627926438</v>
      </c>
      <c r="I38" s="106">
        <f t="shared" si="4"/>
        <v>108.53963799184987</v>
      </c>
      <c r="J38" s="107">
        <f>I38/PROP_InOut!$D$8</f>
        <v>0.31454366063494416</v>
      </c>
      <c r="K38" s="105">
        <f t="shared" si="5"/>
        <v>0.1811069503267507</v>
      </c>
      <c r="L38" s="106">
        <f t="shared" si="6"/>
        <v>10.37666389420826</v>
      </c>
      <c r="M38" s="86">
        <f t="shared" si="15"/>
        <v>1.5696557314648314E-2</v>
      </c>
      <c r="N38" s="86">
        <f t="shared" si="16"/>
        <v>0.89934648701454933</v>
      </c>
      <c r="O38" s="105">
        <f t="shared" si="7"/>
        <v>0.18807668019490895</v>
      </c>
      <c r="P38" s="83">
        <v>10.776</v>
      </c>
      <c r="Q38" s="105">
        <f t="shared" si="31"/>
        <v>-8.726827446490058E-3</v>
      </c>
      <c r="R38" s="107">
        <f t="shared" si="9"/>
        <v>-0.50001038122280961</v>
      </c>
      <c r="S38" s="121">
        <f t="shared" si="17"/>
        <v>1.7088755227214003</v>
      </c>
      <c r="T38" s="121">
        <f t="shared" si="18"/>
        <v>108.86041660705425</v>
      </c>
      <c r="U38" s="116">
        <v>1.708875521992963</v>
      </c>
      <c r="V38" s="116">
        <v>0.89934648701454933</v>
      </c>
      <c r="W38" s="117">
        <f t="shared" si="19"/>
        <v>-0.50001038122280961</v>
      </c>
      <c r="X38" s="116">
        <f t="shared" si="20"/>
        <v>108.86041660705425</v>
      </c>
      <c r="Y38" s="121">
        <v>0.52932999999999997</v>
      </c>
      <c r="Z38" s="121">
        <v>1.9730000000000001E-2</v>
      </c>
      <c r="AA38" s="116">
        <f t="shared" si="21"/>
        <v>-1.3198234682931798E-7</v>
      </c>
      <c r="AB38" s="116">
        <f t="shared" si="22"/>
        <v>181.18555209431184</v>
      </c>
      <c r="AC38" s="116">
        <f t="shared" si="23"/>
        <v>1.7088755227214005</v>
      </c>
      <c r="AD38" s="132">
        <f t="shared" si="24"/>
        <v>7.2843753251561338E-10</v>
      </c>
      <c r="AE38" s="116">
        <f t="shared" si="25"/>
        <v>1.5696570232812075E-2</v>
      </c>
      <c r="AF38" s="116">
        <f t="shared" si="26"/>
        <v>0.89934722717081195</v>
      </c>
      <c r="AG38" s="137">
        <f t="shared" si="27"/>
        <v>0.31454366063494416</v>
      </c>
      <c r="AH38" s="47"/>
      <c r="AI38" s="47"/>
      <c r="AJ38" s="47"/>
      <c r="AK38" s="47"/>
      <c r="AL38" s="47"/>
      <c r="AM38" s="47"/>
      <c r="AN38" s="125">
        <v>0.89934648701454933</v>
      </c>
      <c r="AO38" s="108">
        <f>PROP_InOut!$F$8*'PROP_Table (2)'!I38*'PROP_Table (2)'!E38</f>
        <v>138214.3233798125</v>
      </c>
      <c r="AP38" s="87">
        <f t="shared" si="28"/>
        <v>0.52932999999999997</v>
      </c>
      <c r="AQ38" s="87">
        <f t="shared" si="29"/>
        <v>1.9730000000000001E-2</v>
      </c>
      <c r="AR38" s="5">
        <f>0.5*PROP_InOut!$J$8*I38^2*E38*AP38*(C38-C37)</f>
        <v>0.51487803300206914</v>
      </c>
      <c r="AS38" s="5">
        <f>0.5*PROP_InOut!$J$8*I38^2*E38*AQ38*(C38-C37)</f>
        <v>1.9191324109970764E-2</v>
      </c>
      <c r="AT38" s="105">
        <f t="shared" si="0"/>
        <v>0.50415335430909669</v>
      </c>
      <c r="AU38" s="105">
        <f t="shared" si="1"/>
        <v>3.0638066379764142E-2</v>
      </c>
      <c r="AV38" s="91">
        <f t="shared" si="2"/>
        <v>12.833643234515129</v>
      </c>
      <c r="AW38" s="84">
        <f>PROP_InOut!$G$4/2*((PROP_InOut!$E$8-'PROP_Table (2)'!C38)/('PROP_Table (2)'!C38*SIN('PROP_Table (2)'!K38)))</f>
        <v>0.53407164379262595</v>
      </c>
      <c r="AX38" s="84">
        <f t="shared" si="10"/>
        <v>0.60123614396326142</v>
      </c>
      <c r="AY38" s="84">
        <f>PROP_InOut!$G$4/2*((C38-PROP_InOut!$J$12/2)/(C38*SIN('PROP_Table (2)'!K38)))</f>
        <v>5.170143260902262</v>
      </c>
      <c r="AZ38" s="84">
        <f t="shared" si="11"/>
        <v>0.99638159002098092</v>
      </c>
      <c r="BA38" s="84">
        <f t="shared" si="12"/>
        <v>0.59906062510019775</v>
      </c>
      <c r="BB38" s="22">
        <f>0.5*PROP_InOut!$J$8*T38^2*E38*AP38*(C38-C37)</f>
        <v>0.5179258766397099</v>
      </c>
      <c r="BC38" s="22">
        <f>0.5*PROP_InOut!$J$8*T38^2*E38*AQ38*(C38-C37)</f>
        <v>1.9304928014851751E-2</v>
      </c>
      <c r="BD38" s="103">
        <f t="shared" si="13"/>
        <v>0.30201842357876896</v>
      </c>
      <c r="BE38" s="103">
        <f t="shared" si="3"/>
        <v>1.8354059197322858E-2</v>
      </c>
      <c r="BF38" s="84">
        <f t="shared" si="30"/>
        <v>7.6881303383815576</v>
      </c>
    </row>
    <row r="39" spans="1:58" s="92" customFormat="1" ht="15.75" thickBot="1" x14ac:dyDescent="0.3">
      <c r="A39" s="162"/>
      <c r="B39" s="102">
        <v>36</v>
      </c>
      <c r="C39" s="83">
        <v>0.26197051999999998</v>
      </c>
      <c r="D39" s="103">
        <f>C39/PROP_InOut!$E$8</f>
        <v>0.9376181818181818</v>
      </c>
      <c r="E39" s="84">
        <v>1.7586959999999999E-2</v>
      </c>
      <c r="F39" s="104">
        <f>E39*PROP_InOut!$G$8</f>
        <v>1.1513918907599998E-4</v>
      </c>
      <c r="G39" s="92">
        <f>PROP_InOut!$C$4</f>
        <v>19.55</v>
      </c>
      <c r="H39" s="105">
        <f>PROP_InOut!$C$8*'PROP_Table (2)'!C39</f>
        <v>109.73395481187973</v>
      </c>
      <c r="I39" s="106">
        <f t="shared" si="4"/>
        <v>111.46184700899074</v>
      </c>
      <c r="J39" s="107">
        <f>I39/PROP_InOut!$D$8</f>
        <v>0.32301210901378391</v>
      </c>
      <c r="K39" s="105">
        <f t="shared" si="5"/>
        <v>0.17630833444835275</v>
      </c>
      <c r="L39" s="106">
        <f t="shared" si="6"/>
        <v>10.101723456871596</v>
      </c>
      <c r="M39" s="86">
        <f t="shared" si="15"/>
        <v>1.4506546161502177E-2</v>
      </c>
      <c r="N39" s="86">
        <f t="shared" si="16"/>
        <v>0.83116387036577943</v>
      </c>
      <c r="O39" s="105">
        <f t="shared" si="7"/>
        <v>0.18310074649747313</v>
      </c>
      <c r="P39" s="83">
        <v>10.4909</v>
      </c>
      <c r="Q39" s="105">
        <f t="shared" si="31"/>
        <v>-7.7141341123818218E-3</v>
      </c>
      <c r="R39" s="107">
        <f t="shared" si="9"/>
        <v>-0.44198732723737588</v>
      </c>
      <c r="S39" s="121">
        <f t="shared" si="17"/>
        <v>1.618304814712725</v>
      </c>
      <c r="T39" s="121">
        <f t="shared" si="18"/>
        <v>111.75697395459008</v>
      </c>
      <c r="U39" s="116">
        <f t="shared" ref="U39" si="32">U38+(U40-U38)*((C39-C38)/(C40-C38))</f>
        <v>1.6179094109755201</v>
      </c>
      <c r="V39" s="116">
        <f t="shared" ref="V39" si="33">V38+(V40-V38)*((C39-C38)/(C40-C38))</f>
        <v>0.83116387036577943</v>
      </c>
      <c r="W39" s="117">
        <f t="shared" si="19"/>
        <v>-0.44198732723737588</v>
      </c>
      <c r="X39" s="116">
        <f t="shared" si="20"/>
        <v>111.75697395459008</v>
      </c>
      <c r="Y39" s="116">
        <f t="shared" ref="Y39" si="34">Y38+(Y40-Y38)*((C39-C38)/(C40-C38))</f>
        <v>0.52685778554778551</v>
      </c>
      <c r="Z39" s="116">
        <f t="shared" ref="Z39" si="35">Z38+(Z40-Z38)*((C39-C38)/(C40-C38))</f>
        <v>2.0620797920028688E-2</v>
      </c>
      <c r="AA39" s="116">
        <f t="shared" si="21"/>
        <v>-7.9512284565964819E-2</v>
      </c>
      <c r="AB39" s="116">
        <f t="shared" si="22"/>
        <v>201.0913835262219</v>
      </c>
      <c r="AC39" s="116">
        <f t="shared" si="23"/>
        <v>1.618304814712725</v>
      </c>
      <c r="AD39" s="132">
        <f t="shared" si="24"/>
        <v>3.9540373720492461E-4</v>
      </c>
      <c r="AE39" s="116">
        <f t="shared" si="25"/>
        <v>1.4479559165021756E-2</v>
      </c>
      <c r="AF39" s="116">
        <f t="shared" si="26"/>
        <v>0.82961762936571692</v>
      </c>
      <c r="AG39" s="137">
        <f t="shared" si="27"/>
        <v>0.32301210901378391</v>
      </c>
      <c r="AH39" s="47"/>
      <c r="AI39" s="47"/>
      <c r="AJ39" s="47"/>
      <c r="AK39" s="47"/>
      <c r="AL39" s="47"/>
      <c r="AM39" s="47"/>
      <c r="AN39" s="125"/>
      <c r="AO39" s="108">
        <f>PROP_InOut!$F$8*'PROP_Table (2)'!I39*'PROP_Table (2)'!E39</f>
        <v>130999.88609429503</v>
      </c>
      <c r="AP39" s="87">
        <f t="shared" si="28"/>
        <v>0.52685778554778551</v>
      </c>
      <c r="AQ39" s="87">
        <f t="shared" si="29"/>
        <v>2.0620797920028688E-2</v>
      </c>
      <c r="AR39" s="5">
        <f>0.5*PROP_InOut!$J$8*I39^2*E39*AP39*(C39-C38)</f>
        <v>0.49862197211407927</v>
      </c>
      <c r="AS39" s="5">
        <f>0.5*PROP_InOut!$J$8*I39^2*E39*AQ39*(C39-C38)</f>
        <v>1.9515670466481214E-2</v>
      </c>
      <c r="AT39" s="105">
        <f t="shared" si="0"/>
        <v>0.48844703354896396</v>
      </c>
      <c r="AU39" s="105">
        <f t="shared" si="1"/>
        <v>2.9951794367033685E-2</v>
      </c>
      <c r="AV39" s="91">
        <f t="shared" si="2"/>
        <v>12.546178286040689</v>
      </c>
      <c r="AW39" s="84">
        <f>PROP_InOut!$G$4/2*((PROP_InOut!$E$8-'PROP_Table (2)'!C39)/('PROP_Table (2)'!C39*SIN('PROP_Table (2)'!K39)))</f>
        <v>0.37932501339461039</v>
      </c>
      <c r="AX39" s="84">
        <f t="shared" si="10"/>
        <v>0.52019554527427658</v>
      </c>
      <c r="AY39" s="84">
        <f>PROP_InOut!$G$4/2*((C39-PROP_InOut!$J$12/2)/(C39*SIN('PROP_Table (2)'!K39)))</f>
        <v>5.3199476302929929</v>
      </c>
      <c r="AZ39" s="84">
        <f t="shared" si="11"/>
        <v>0.99688500068077368</v>
      </c>
      <c r="BA39" s="84">
        <f t="shared" si="12"/>
        <v>0.51857513650488263</v>
      </c>
      <c r="BB39" s="22">
        <f>0.5*PROP_InOut!$J$8*T39^2*E39*AP39*(C39-C38)</f>
        <v>0.50126595484556036</v>
      </c>
      <c r="BC39" s="22">
        <f>0.5*PROP_InOut!$J$8*T39^2*E39*AQ39*(C39-C38)</f>
        <v>1.9619153863909285E-2</v>
      </c>
      <c r="BD39" s="103">
        <f t="shared" si="13"/>
        <v>0.25329648709805896</v>
      </c>
      <c r="BE39" s="103">
        <f t="shared" si="3"/>
        <v>1.5532255852450667E-2</v>
      </c>
      <c r="BF39" s="84">
        <f t="shared" si="30"/>
        <v>6.5061361172981451</v>
      </c>
    </row>
    <row r="40" spans="1:58" s="92" customFormat="1" ht="15.75" thickBot="1" x14ac:dyDescent="0.3">
      <c r="A40" s="162"/>
      <c r="B40" s="102">
        <v>37</v>
      </c>
      <c r="C40" s="83">
        <v>0.26904696</v>
      </c>
      <c r="D40" s="103">
        <f>C40/PROP_InOut!$E$8</f>
        <v>0.96294545454545466</v>
      </c>
      <c r="E40" s="84">
        <v>1.6184879999999999E-2</v>
      </c>
      <c r="F40" s="104">
        <f>E40*PROP_InOut!$G$8</f>
        <v>1.0595998162799999E-4</v>
      </c>
      <c r="G40" s="92">
        <f>PROP_InOut!$C$4</f>
        <v>19.55</v>
      </c>
      <c r="H40" s="105">
        <f>PROP_InOut!$C$8*'PROP_Table (2)'!C40</f>
        <v>112.6981270675556</v>
      </c>
      <c r="I40" s="106">
        <f t="shared" si="4"/>
        <v>114.38124996927996</v>
      </c>
      <c r="J40" s="107">
        <f>I40/PROP_InOut!$D$8</f>
        <v>0.33147242554871481</v>
      </c>
      <c r="K40" s="105">
        <f t="shared" si="5"/>
        <v>0.1717629500014192</v>
      </c>
      <c r="L40" s="106">
        <f t="shared" si="6"/>
        <v>9.8412921117978964</v>
      </c>
      <c r="M40" s="86">
        <f t="shared" si="15"/>
        <v>1.3318666880719253E-2</v>
      </c>
      <c r="N40" s="86">
        <f t="shared" si="16"/>
        <v>0.76310340100588214</v>
      </c>
      <c r="O40" s="105">
        <f t="shared" si="7"/>
        <v>0.17838835751708843</v>
      </c>
      <c r="P40" s="83">
        <v>10.2209</v>
      </c>
      <c r="Q40" s="105">
        <f t="shared" si="31"/>
        <v>-6.6932593650500015E-3</v>
      </c>
      <c r="R40" s="107">
        <f t="shared" si="9"/>
        <v>-0.38349551280377825</v>
      </c>
      <c r="S40" s="121">
        <f t="shared" si="17"/>
        <v>1.5271062662094355</v>
      </c>
      <c r="T40" s="121">
        <f t="shared" si="18"/>
        <v>114.65213584128013</v>
      </c>
      <c r="U40" s="116">
        <v>1.5271062632526262</v>
      </c>
      <c r="V40" s="116">
        <v>0.76310340100588214</v>
      </c>
      <c r="W40" s="117">
        <f t="shared" si="19"/>
        <v>-0.38349551280377825</v>
      </c>
      <c r="X40" s="116">
        <f t="shared" si="20"/>
        <v>114.65213584128013</v>
      </c>
      <c r="Y40" s="122">
        <v>0.52439000000000002</v>
      </c>
      <c r="Z40" s="121">
        <v>2.1510000000000001E-2</v>
      </c>
      <c r="AA40" s="116">
        <f t="shared" si="21"/>
        <v>-6.6124857767135836E-7</v>
      </c>
      <c r="AB40" s="116">
        <f t="shared" si="22"/>
        <v>223.63586303137996</v>
      </c>
      <c r="AC40" s="116">
        <f t="shared" si="23"/>
        <v>1.5271062662094355</v>
      </c>
      <c r="AD40" s="132">
        <f t="shared" si="24"/>
        <v>2.9568092418941205E-9</v>
      </c>
      <c r="AE40" s="116">
        <f t="shared" si="25"/>
        <v>1.3318687501528835E-2</v>
      </c>
      <c r="AF40" s="116">
        <f t="shared" si="26"/>
        <v>0.76310458249124147</v>
      </c>
      <c r="AG40" s="137">
        <f t="shared" si="27"/>
        <v>0.33147242554871481</v>
      </c>
      <c r="AL40" s="47"/>
      <c r="AM40" s="47"/>
      <c r="AN40" s="92">
        <v>0.76310340100588214</v>
      </c>
      <c r="AO40" s="108">
        <f>PROP_InOut!$F$8*'PROP_Table (2)'!I40*'PROP_Table (2)'!E40</f>
        <v>123713.82333415175</v>
      </c>
      <c r="AP40" s="87">
        <f t="shared" si="28"/>
        <v>0.52439000000000002</v>
      </c>
      <c r="AQ40" s="87">
        <f t="shared" si="29"/>
        <v>2.1510000000000001E-2</v>
      </c>
      <c r="AR40" s="5">
        <f>0.5*PROP_InOut!$J$8*I40^2*E40*AP40*(C40-C39)</f>
        <v>0.48009767235381612</v>
      </c>
      <c r="AS40" s="5">
        <f>0.5*PROP_InOut!$J$8*I40^2*E40*AQ40*(C40-C39)</f>
        <v>1.969316907708115E-2</v>
      </c>
      <c r="AT40" s="105">
        <f t="shared" si="0"/>
        <v>0.47049475370515775</v>
      </c>
      <c r="AU40" s="105">
        <f t="shared" si="1"/>
        <v>2.9115836338872096E-2</v>
      </c>
      <c r="AV40" s="91">
        <f t="shared" si="2"/>
        <v>12.19601300604311</v>
      </c>
      <c r="AW40" s="84">
        <f>PROP_InOut!$G$4/2*((PROP_InOut!$E$8-'PROP_Table (2)'!C40)/('PROP_Table (2)'!C40*SIN('PROP_Table (2)'!K40)))</f>
        <v>0.22513752072725032</v>
      </c>
      <c r="AX40" s="84">
        <f t="shared" si="10"/>
        <v>0.41135339552047601</v>
      </c>
      <c r="AY40" s="84">
        <f>PROP_InOut!$G$4/2*((C40-PROP_InOut!$J$12/2)/(C40*SIN('PROP_Table (2)'!K40)))</f>
        <v>5.4695823975699902</v>
      </c>
      <c r="AZ40" s="84">
        <f t="shared" si="11"/>
        <v>0.99731791860141072</v>
      </c>
      <c r="BA40" s="84">
        <f t="shared" si="12"/>
        <v>0.41025011223010399</v>
      </c>
      <c r="BB40" s="22">
        <f>0.5*PROP_InOut!$J$8*T40^2*E40*AP40*(C40-C39)</f>
        <v>0.4823743684994764</v>
      </c>
      <c r="BC40" s="22">
        <f>0.5*PROP_InOut!$J$8*T40^2*E40*AQ40*(C40-C39)</f>
        <v>1.9786557078555533E-2</v>
      </c>
      <c r="BD40" s="103">
        <f t="shared" si="13"/>
        <v>0.1930205255112161</v>
      </c>
      <c r="BE40" s="103">
        <f t="shared" si="3"/>
        <v>1.1944775125695618E-2</v>
      </c>
      <c r="BF40" s="84">
        <f t="shared" si="30"/>
        <v>5.0034157044889938</v>
      </c>
    </row>
    <row r="41" spans="1:58" s="92" customFormat="1" ht="15.75" thickBot="1" x14ac:dyDescent="0.3">
      <c r="A41" s="162"/>
      <c r="B41" s="102">
        <v>38</v>
      </c>
      <c r="C41" s="83">
        <v>0.27584399999999998</v>
      </c>
      <c r="D41" s="103">
        <f>C41/PROP_InOut!$E$8</f>
        <v>0.9872727272727273</v>
      </c>
      <c r="E41" s="84">
        <v>1.132586E-2</v>
      </c>
      <c r="F41" s="104">
        <f>E41*PROP_InOut!$G$8</f>
        <v>7.4148706541000005E-5</v>
      </c>
      <c r="G41" s="92">
        <f>PROP_InOut!$C$4</f>
        <v>19.55</v>
      </c>
      <c r="H41" s="105">
        <f>PROP_InOut!$C$8*'PROP_Table (2)'!C41</f>
        <v>115.54526452490973</v>
      </c>
      <c r="I41" s="106">
        <f t="shared" si="4"/>
        <v>117.18750212429379</v>
      </c>
      <c r="J41" s="107">
        <f>I41/PROP_InOut!$D$8</f>
        <v>0.33960483543909076</v>
      </c>
      <c r="K41" s="105">
        <f t="shared" si="5"/>
        <v>0.16761034799568256</v>
      </c>
      <c r="L41" s="106">
        <f t="shared" si="6"/>
        <v>9.6033655428716269</v>
      </c>
      <c r="M41" s="86">
        <f t="shared" si="15"/>
        <v>8.6287551405976638E-3</v>
      </c>
      <c r="N41" s="86">
        <f t="shared" si="16"/>
        <v>0.49439125200805939</v>
      </c>
      <c r="O41" s="105">
        <f t="shared" si="7"/>
        <v>0.17408088492316642</v>
      </c>
      <c r="P41" s="83">
        <v>9.9741</v>
      </c>
      <c r="Q41" s="105">
        <f t="shared" si="31"/>
        <v>-2.1582182131137922E-3</v>
      </c>
      <c r="R41" s="107">
        <f t="shared" si="9"/>
        <v>-0.12365679487968634</v>
      </c>
      <c r="S41" s="121">
        <f t="shared" si="17"/>
        <v>1.0127023994426476</v>
      </c>
      <c r="T41" s="121">
        <f t="shared" si="18"/>
        <v>117.36069565270401</v>
      </c>
      <c r="U41" s="116">
        <v>1.0127023991316455</v>
      </c>
      <c r="V41" s="116">
        <v>0.49439125200805939</v>
      </c>
      <c r="W41" s="117">
        <f t="shared" si="19"/>
        <v>-0.12365679487968634</v>
      </c>
      <c r="X41" s="116">
        <f t="shared" si="20"/>
        <v>117.36069565270401</v>
      </c>
      <c r="Y41" s="122">
        <v>0.47493999999999997</v>
      </c>
      <c r="Z41" s="121">
        <v>2.7810000000000001E-2</v>
      </c>
      <c r="AA41" s="116">
        <f t="shared" si="21"/>
        <v>-9.9777594186889473E-8</v>
      </c>
      <c r="AB41" s="116">
        <f t="shared" si="22"/>
        <v>320.82607778472413</v>
      </c>
      <c r="AC41" s="116">
        <f t="shared" si="23"/>
        <v>1.0127023994426476</v>
      </c>
      <c r="AD41" s="132">
        <f t="shared" si="24"/>
        <v>3.1100211295154168E-10</v>
      </c>
      <c r="AE41" s="116">
        <f t="shared" si="25"/>
        <v>8.6287599092028534E-3</v>
      </c>
      <c r="AF41" s="116">
        <f t="shared" si="26"/>
        <v>0.49439152522901092</v>
      </c>
      <c r="AG41" s="137">
        <f t="shared" si="27"/>
        <v>0.33960483543909076</v>
      </c>
      <c r="AH41" s="47"/>
      <c r="AI41" s="47"/>
      <c r="AJ41" s="47"/>
      <c r="AK41" s="47"/>
      <c r="AL41" s="47"/>
      <c r="AM41" s="47"/>
      <c r="AN41" s="125">
        <v>0.49439125200805939</v>
      </c>
      <c r="AO41" s="108">
        <f>PROP_InOut!$F$8*'PROP_Table (2)'!I41*'PROP_Table (2)'!E41</f>
        <v>88696.481690925662</v>
      </c>
      <c r="AP41" s="87">
        <f t="shared" si="28"/>
        <v>0.47493999999999997</v>
      </c>
      <c r="AQ41" s="87">
        <f t="shared" si="29"/>
        <v>2.7810000000000001E-2</v>
      </c>
      <c r="AR41" s="5">
        <f>0.5*PROP_InOut!$J$8*I41^2*E41*AP41*(C41-C40)</f>
        <v>0.3067846087071624</v>
      </c>
      <c r="AS41" s="5">
        <f>0.5*PROP_InOut!$J$8*I41^2*E41*AQ41*(C41-C40)</f>
        <v>1.7963700610911248E-2</v>
      </c>
      <c r="AT41" s="105">
        <f t="shared" si="0"/>
        <v>0.29976708795436541</v>
      </c>
      <c r="AU41" s="105">
        <f t="shared" si="1"/>
        <v>1.9773836061529538E-2</v>
      </c>
      <c r="AV41" s="91">
        <f t="shared" si="2"/>
        <v>8.2828450805586833</v>
      </c>
      <c r="AW41" s="84">
        <f>PROP_InOut!$G$4/2*((PROP_InOut!$E$8-'PROP_Table (2)'!C41)/('PROP_Table (2)'!C41*SIN('PROP_Table (2)'!K41)))</f>
        <v>7.7273884771074552E-2</v>
      </c>
      <c r="AX41" s="84">
        <f t="shared" si="10"/>
        <v>0.24706110912959584</v>
      </c>
      <c r="AY41" s="84">
        <f>PROP_InOut!$G$4/2*((C41-PROP_InOut!$J$12/2)/(C41*SIN('PROP_Table (2)'!K41)))</f>
        <v>5.6133957722987669</v>
      </c>
      <c r="AZ41" s="84">
        <f t="shared" si="11"/>
        <v>0.99767718683973627</v>
      </c>
      <c r="BA41" s="84">
        <f t="shared" si="12"/>
        <v>0.24648723233392025</v>
      </c>
      <c r="BB41" s="22">
        <f>0.5*PROP_InOut!$J$8*T41^2*E41*AP41*(C41-C40)</f>
        <v>0.30769208384011154</v>
      </c>
      <c r="BC41" s="22">
        <f>0.5*PROP_InOut!$J$8*T41^2*E41*AQ41*(C41-C40)</f>
        <v>1.8016837603894182E-2</v>
      </c>
      <c r="BD41" s="103">
        <f t="shared" si="13"/>
        <v>7.3888759854670374E-2</v>
      </c>
      <c r="BE41" s="103">
        <f t="shared" si="3"/>
        <v>4.8739981234310822E-3</v>
      </c>
      <c r="BF41" s="84">
        <f t="shared" si="30"/>
        <v>2.0416155597575365</v>
      </c>
    </row>
    <row r="42" spans="1:58" x14ac:dyDescent="0.25">
      <c r="A42" s="162"/>
      <c r="B42" s="1">
        <v>39</v>
      </c>
      <c r="C42" s="83">
        <v>0.27939999999999998</v>
      </c>
      <c r="D42" s="103">
        <f>C42/PROP_InOut!$E$8</f>
        <v>1</v>
      </c>
      <c r="E42" s="84">
        <v>5.0000000000000001E-3</v>
      </c>
      <c r="F42" s="104">
        <f>E42*PROP_InOut!$G$8</f>
        <v>3.2734249999999999E-5</v>
      </c>
      <c r="G42" s="92">
        <f>PROP_InOut!$C$4</f>
        <v>19.55</v>
      </c>
      <c r="H42" s="105">
        <f>PROP_InOut!$C$8*'PROP_Table (2)'!C42</f>
        <v>117.03479832173176</v>
      </c>
      <c r="I42" s="106">
        <f t="shared" ref="I42" si="36">SQRT(G42^2+H42^2)</f>
        <v>118.65642215324219</v>
      </c>
      <c r="J42" s="107">
        <f>I42/PROP_InOut!$D$8</f>
        <v>0.34386170870340105</v>
      </c>
      <c r="K42" s="105">
        <f t="shared" ref="K42" si="37">ATAN(G42/H42)</f>
        <v>0.16551611549786627</v>
      </c>
      <c r="L42" s="106">
        <f t="shared" ref="L42" si="38">DEGREES(K42)</f>
        <v>9.483374859427613</v>
      </c>
      <c r="M42" s="86">
        <f t="shared" ref="M42" si="39">RADIANS(N42)</f>
        <v>0</v>
      </c>
      <c r="N42" s="86">
        <f t="shared" ref="N42" si="40">V42</f>
        <v>0</v>
      </c>
      <c r="O42" s="105">
        <f t="shared" ref="O42" si="41">RADIANS(P42)</f>
        <v>0.16580627893946132</v>
      </c>
      <c r="P42" s="83">
        <v>9.5</v>
      </c>
      <c r="Q42" s="105">
        <f t="shared" ref="Q42" si="42">RADIANS(R42)</f>
        <v>2.9016344159504701E-4</v>
      </c>
      <c r="R42" s="107">
        <f t="shared" ref="R42" si="43">P42-L42-N42</f>
        <v>1.6625140572386954E-2</v>
      </c>
      <c r="S42" s="121">
        <f t="shared" ref="S42" si="44">TAN(AE42)*X42</f>
        <v>0</v>
      </c>
      <c r="T42" s="121">
        <f t="shared" ref="T42" si="45">X42</f>
        <v>118.65642215324219</v>
      </c>
      <c r="U42" s="116"/>
      <c r="V42" s="116"/>
      <c r="W42" s="117">
        <f t="shared" ref="W42" si="46">P42-L42-V42</f>
        <v>1.6625140572386954E-2</v>
      </c>
      <c r="X42" s="116">
        <f t="shared" ref="X42" si="47">SQRT((U42+G42)^2+H42^2)</f>
        <v>118.65642215324219</v>
      </c>
      <c r="Y42" s="122"/>
      <c r="Z42" s="121"/>
      <c r="AA42" s="116">
        <f t="shared" ref="AA42" si="48">((8*PI()*C42*U42)/(E42*2))-((X42)/(G42+U42))*(Y42*H42-Z42*(U42+G42))</f>
        <v>0</v>
      </c>
      <c r="AB42" s="116">
        <f t="shared" ref="AB42" si="49">((8*PI()*C42)/(E42*2))-Y42*H42*((1/X42)-(X42/((G42+U42)^2)))+Z42*((U42+G42)/X42)</f>
        <v>702.20878993039048</v>
      </c>
      <c r="AC42" s="116">
        <f t="shared" ref="AC42" si="50">U42-(AA42/AB42)</f>
        <v>0</v>
      </c>
      <c r="AD42" s="132">
        <f t="shared" ref="AD42" si="51">AC42-U42</f>
        <v>0</v>
      </c>
      <c r="AE42" s="116">
        <f t="shared" ref="AE42" si="52">ATAN(AC42/X42)</f>
        <v>0</v>
      </c>
      <c r="AF42" s="116">
        <f t="shared" ref="AF42" si="53">DEGREES(AE42)</f>
        <v>0</v>
      </c>
      <c r="AG42" s="137">
        <f t="shared" si="27"/>
        <v>0.34386170870340105</v>
      </c>
      <c r="AH42" s="47"/>
      <c r="AI42" s="47"/>
      <c r="AJ42" s="47"/>
      <c r="AK42" s="47"/>
      <c r="AL42" s="47"/>
      <c r="AM42" s="47"/>
      <c r="AN42" s="125"/>
      <c r="AO42" s="108">
        <f>PROP_InOut!$F$8*'PROP_Table (2)'!I42*'PROP_Table (2)'!E42</f>
        <v>39647.440870820392</v>
      </c>
      <c r="AP42" s="87">
        <f t="shared" ref="AP42" si="54">Y42</f>
        <v>0</v>
      </c>
      <c r="AQ42" s="87">
        <f t="shared" ref="AQ42" si="55">Z42</f>
        <v>0</v>
      </c>
      <c r="AR42" s="5">
        <f>0.5*PROP_InOut!$J$8*I42^2*E42*AP42*(C42-C41)</f>
        <v>0</v>
      </c>
      <c r="AS42" s="5">
        <f>0.5*PROP_InOut!$J$8*I42^2*E42*AQ42*(C42-C41)</f>
        <v>0</v>
      </c>
      <c r="AT42" s="105">
        <f t="shared" ref="AT42" si="56">(BB42*COS(K42+M42)-BC42*SIN(K42+M42))</f>
        <v>0</v>
      </c>
      <c r="AU42" s="105">
        <f t="shared" ref="AU42" si="57">(C42*(BB42*SIN(K42+M42)+BC42*COS(K42+M42)))</f>
        <v>0</v>
      </c>
      <c r="AV42" s="91">
        <f t="shared" ref="AV42" si="58">(H42*(BB42*SIN(K42+M42)+BC42*COS(K42+M42)))</f>
        <v>0</v>
      </c>
      <c r="AW42" s="84">
        <f>PROP_InOut!$G$4/2*((PROP_InOut!$E$8-'PROP_Table (2)'!C42)/('PROP_Table (2)'!C42*SIN('PROP_Table (2)'!K42)))</f>
        <v>0</v>
      </c>
      <c r="AX42" s="84">
        <f t="shared" ref="AX42" si="59">2/PI()*ACOS(EXP(-AW42))</f>
        <v>0</v>
      </c>
      <c r="AY42" s="84">
        <f>PROP_InOut!$G$4/2*((C42-PROP_InOut!$J$12/2)/(C42*SIN('PROP_Table (2)'!K42)))</f>
        <v>5.6886664143219114</v>
      </c>
      <c r="AZ42" s="84">
        <f t="shared" ref="AZ42" si="60">2/PI()*ACOS(EXP(-AY42))</f>
        <v>0.99784560903649189</v>
      </c>
      <c r="BA42" s="84">
        <f t="shared" ref="BA42" si="61">AZ42*AX42</f>
        <v>0</v>
      </c>
      <c r="BB42" s="22">
        <f>0.5*PROP_InOut!$J$8*T42^2*E42*AP42*(C42-C41)</f>
        <v>0</v>
      </c>
      <c r="BC42" s="22">
        <f>0.5*PROP_InOut!$J$8*T42^2*E42*AQ42*(C42-C41)</f>
        <v>0</v>
      </c>
      <c r="BD42" s="103">
        <f t="shared" ref="BD42" si="62">BA42*(BB42*COS(K42+M42)-BC42*SIN(K42+M42))</f>
        <v>0</v>
      </c>
      <c r="BE42" s="103">
        <f t="shared" ref="BE42" si="63">BA42*(C42*(BB42*SIN(K42+M42)+BC42*COS(K42+M42)))</f>
        <v>0</v>
      </c>
      <c r="BF42" s="84">
        <f t="shared" si="30"/>
        <v>0</v>
      </c>
    </row>
    <row r="43" spans="1:58" x14ac:dyDescent="0.25">
      <c r="C43" s="5"/>
      <c r="D43" s="22"/>
      <c r="E43" s="22"/>
      <c r="F43" s="23"/>
      <c r="H43" s="5"/>
      <c r="I43" s="24"/>
      <c r="J43" s="64"/>
      <c r="K43" s="5"/>
      <c r="L43" s="24"/>
      <c r="O43" s="5"/>
      <c r="P43" s="24"/>
      <c r="Q43" s="5"/>
      <c r="R43" s="64"/>
      <c r="V43" s="133"/>
      <c r="AO43" s="63"/>
      <c r="AP43" s="5"/>
      <c r="AQ43" s="5"/>
      <c r="AR43" s="5"/>
      <c r="AS43" s="5"/>
      <c r="AT43" s="5"/>
      <c r="AU43" s="5"/>
      <c r="AV43" s="52"/>
      <c r="AW43" s="47"/>
      <c r="AX43" s="47"/>
      <c r="AY43" s="47"/>
      <c r="AZ43" s="47"/>
      <c r="BA43" s="47"/>
    </row>
    <row r="44" spans="1:58" x14ac:dyDescent="0.25">
      <c r="W44" s="134">
        <f>W24</f>
        <v>-1.2198531896700866</v>
      </c>
    </row>
  </sheetData>
  <mergeCells count="15">
    <mergeCell ref="A4:A23"/>
    <mergeCell ref="A24:A42"/>
    <mergeCell ref="K2:L2"/>
    <mergeCell ref="M2:N2"/>
    <mergeCell ref="O2:P2"/>
    <mergeCell ref="AH9:AM9"/>
    <mergeCell ref="AO2:AO3"/>
    <mergeCell ref="AP2:AP3"/>
    <mergeCell ref="AQ2:AQ3"/>
    <mergeCell ref="B1:B2"/>
    <mergeCell ref="C1:F1"/>
    <mergeCell ref="G1:J1"/>
    <mergeCell ref="K1:R1"/>
    <mergeCell ref="AG2:AN2"/>
    <mergeCell ref="Q2:R2"/>
  </mergeCells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K c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v x B F 5 a w A A A D 2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s z D T M z c y 1 T O w 0 Y e J 2 f h m 5 i H k j Y D u B c k i C d o 4 l + a U l B a l 2 q X m 6 Y Y G 2 + j D u D b 6 U C / Y A Q A A A P / / A w B Q S w M E F A A C A A g A A A A h A J M H M b u 3 A Q A A F g g A A B M A A A B G b 3 J t d W x h c y 9 T Z W N 0 a W 9 u M S 5 t 7 J T f i h M x F M b v C 3 2 H w + x N C 9 N i W 2 t h Z S 7 q z C 7 e + G f p C A s d k e z k b B v M 5 A x J p r a U P o z s h Q / g I / T F T J 2 W R c w o q I i i u Z n M 7 w s 5 O X x f Y j C 3 g h T M 6 u / g c b v V b p k l 0 8 j h L F j f 9 n L J 9 N t N T 8 j e 4 M H n E U A E E m 2 7 B W 7 M q N I 5 O h K b V T + h v C p Q 2 c 6 l k N i P S V n 3 Y z p B f J 6 9 M q h N V i L X l C X 0 T k l i 3 G S + 7 f u 5 W Q X d c J 6 g F I W w q K M g D E K I S V a F M t E k h A u V E x d q E Q 2 G 4 2 E I V x V Z n N m N x O h + 2 n 9 O C l 9 3 w / q U Z 0 G 8 Z G r h W k o 3 J R 4 a S N m N W 5 R q p s w t 6 a L e / S C a T t 1 S u N 0 G N R 2 4 6 t Y p Y H F t d y G c + L C B j x r 4 w w Y + b u C P G v j k C 7 7 r t l t C e d v 8 v p X Q G X b / W T t V V d y g 9 h n 6 l T J q V P 4 8 U 3 / a z x c K E y 1 W m I 1 7 k A j j F M v 2 H / Z 3 B B z h G R q r G a d s B F O 1 f y + F Q U h x / 1 G L n M F L T W U l j V v q i 8 L / i / 3 b M v B L 7 v X f l Q N X s 3 A a h 6 f I u G v i P g t H 5 c h P K Y D 5 k U + l n O X M n d F E V l c / G C 1 P / U P O p r J c M t / b I X 2 Q e 2 H p o 4 U H p l S + u b b a o z w h 6 1 G + F b B P A A A A / / 8 D A F B L A Q I t A B Q A B g A I A A A A I Q A q 3 a p A 0 g A A A D c B A A A T A A A A A A A A A A A A A A A A A A A A A A B b Q 2 9 u d G V u d F 9 U e X B l c 1 0 u e G 1 s U E s B A i 0 A F A A C A A g A A A A h A L 8 Q R e W s A A A A 9 g A A A B I A A A A A A A A A A A A A A A A A C w M A A E N v b m Z p Z y 9 Q Y W N r Y W d l L n h t b F B L A Q I t A B Q A A g A I A A A A I Q C T B z G 7 t w E A A B Y I A A A T A A A A A A A A A A A A A A A A A O c D A A B G b 3 J t d W x h c y 9 T Z W N 0 a W 9 u M S 5 t U E s F B g A A A A A D A A M A w g A A A M 8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T K w A A A A A A A H E r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e G Y t Y 2 x h c m t 5 L W l s L T E w M D A w M D A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T Q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A t M T A t M j Z U M T U 6 M D M 6 M j c u M z g 5 N D Y x N F o i L z 4 8 R W 5 0 c n k g V H l w Z T 0 i R m l s b E N v b H V t b l R 5 c G V z I i B W Y W x 1 Z T 0 i c 0 J n W U d C Z 1 l H Q m c 9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4 Z i 1 j b G F y a 3 k t a W w t M T A w M D A w M C 9 D a G F u Z 2 V k I F R 5 c G U u e 0 N v b H V t b j E s M H 0 m c X V v d D s s J n F 1 b 3 Q 7 U 2 V j d G l v b j E v e G Y t Y 2 x h c m t 5 L W l s L T E w M D A w M D A v Q 2 h h b m d l Z C B U e X B l L n t D b 2 x 1 b W 4 y L D F 9 J n F 1 b 3 Q 7 L C Z x d W 9 0 O 1 N l Y 3 R p b 2 4 x L 3 h m L W N s Y X J r e S 1 p b C 0 x M D A w M D A w L 0 N o Y W 5 n Z W Q g V H l w Z S 5 7 Q 2 9 s d W 1 u M y w y f S Z x d W 9 0 O y w m c X V v d D t T Z W N 0 a W 9 u M S 9 4 Z i 1 j b G F y a 3 k t a W w t M T A w M D A w M C 9 D a G F u Z 2 V k I F R 5 c G U u e 0 N v b H V t b j Q s M 3 0 m c X V v d D s s J n F 1 b 3 Q 7 U 2 V j d G l v b j E v e G Y t Y 2 x h c m t 5 L W l s L T E w M D A w M D A v Q 2 h h b m d l Z C B U e X B l L n t D b 2 x 1 b W 4 1 L D R 9 J n F 1 b 3 Q 7 L C Z x d W 9 0 O 1 N l Y 3 R p b 2 4 x L 3 h m L W N s Y X J r e S 1 p b C 0 x M D A w M D A w L 0 N o Y W 5 n Z W Q g V H l w Z S 5 7 Q 2 9 s d W 1 u N i w 1 f S Z x d W 9 0 O y w m c X V v d D t T Z W N 0 a W 9 u M S 9 4 Z i 1 j b G F y a 3 k t a W w t M T A w M D A w M C 9 D a G F u Z 2 V k I F R 5 c G U u e 0 N v b H V t b j c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e G Y t Y 2 x h c m t 5 L W l s L T E w M D A w M D A v Q 2 h h b m d l Z C B U e X B l L n t D b 2 x 1 b W 4 x L D B 9 J n F 1 b 3 Q 7 L C Z x d W 9 0 O 1 N l Y 3 R p b 2 4 x L 3 h m L W N s Y X J r e S 1 p b C 0 x M D A w M D A w L 0 N o Y W 5 n Z W Q g V H l w Z S 5 7 Q 2 9 s d W 1 u M i w x f S Z x d W 9 0 O y w m c X V v d D t T Z W N 0 a W 9 u M S 9 4 Z i 1 j b G F y a 3 k t a W w t M T A w M D A w M C 9 D a G F u Z 2 V k I F R 5 c G U u e 0 N v b H V t b j M s M n 0 m c X V v d D s s J n F 1 b 3 Q 7 U 2 V j d G l v b j E v e G Y t Y 2 x h c m t 5 L W l s L T E w M D A w M D A v Q 2 h h b m d l Z C B U e X B l L n t D b 2 x 1 b W 4 0 L D N 9 J n F 1 b 3 Q 7 L C Z x d W 9 0 O 1 N l Y 3 R p b 2 4 x L 3 h m L W N s Y X J r e S 1 p b C 0 x M D A w M D A w L 0 N o Y W 5 n Z W Q g V H l w Z S 5 7 Q 2 9 s d W 1 u N S w 0 f S Z x d W 9 0 O y w m c X V v d D t T Z W N 0 a W 9 u M S 9 4 Z i 1 j b G F y a 3 k t a W w t M T A w M D A w M C 9 D a G F u Z 2 V k I F R 5 c G U u e 0 N v b H V t b j Y s N X 0 m c X V v d D s s J n F 1 b 3 Q 7 U 2 V j d G l v b j E v e G Y t Y 2 x h c m t 5 L W l s L T E w M D A w M D A v Q 2 h h b m d l Z C B U e X B l L n t D b 2 x 1 b W 4 3 L D Z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4 Z i 1 j b G F y a 3 k t a W w t M T A w M D A w M C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x N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T A i L z 4 8 R W 5 0 c n k g V H l w Z T 0 i R m l s b E x h c 3 R V c G R h d G V k I i B W Y W x 1 Z T 0 i Z D I w M j A t M T A t M j Z U M T U 6 M T Q 6 M T U u N j g y N D A 1 M 1 o i L z 4 8 R W 5 0 c n k g V H l w Z T 0 i R m l s b E N v b H V t b l R 5 c G V z I i B W Y W x 1 Z T 0 i c 0 J R V U Z C Z 1 l H Q m c 9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4 Z i 1 j b G F y a 3 k t a W w t M T A w M D A w M C A o M i k v Q 2 h h b m d l Z C B U e X B l L n t D b 2 x 1 b W 4 x L D B 9 J n F 1 b 3 Q 7 L C Z x d W 9 0 O 1 N l Y 3 R p b 2 4 x L 3 h m L W N s Y X J r e S 1 p b C 0 x M D A w M D A w I C g y K S 9 D a G F u Z 2 V k I F R 5 c G U u e 0 N v b H V t b j I s M X 0 m c X V v d D s s J n F 1 b 3 Q 7 U 2 V j d G l v b j E v e G Y t Y 2 x h c m t 5 L W l s L T E w M D A w M D A g K D I p L 0 N o Y W 5 n Z W Q g V H l w Z S 5 7 Q 2 9 s d W 1 u M y w y f S Z x d W 9 0 O y w m c X V v d D t T Z W N 0 a W 9 u M S 9 4 Z i 1 j b G F y a 3 k t a W w t M T A w M D A w M C A o M i k v Q 2 h h b m d l Z C B U e X B l L n t D b 2 x 1 b W 4 0 L D N 9 J n F 1 b 3 Q 7 L C Z x d W 9 0 O 1 N l Y 3 R p b 2 4 x L 3 h m L W N s Y X J r e S 1 p b C 0 x M D A w M D A w I C g y K S 9 D a G F u Z 2 V k I F R 5 c G U u e 0 N v b H V t b j U s N H 0 m c X V v d D s s J n F 1 b 3 Q 7 U 2 V j d G l v b j E v e G Y t Y 2 x h c m t 5 L W l s L T E w M D A w M D A g K D I p L 0 N o Y W 5 n Z W Q g V H l w Z S 5 7 Q 2 9 s d W 1 u N i w 1 f S Z x d W 9 0 O y w m c X V v d D t T Z W N 0 a W 9 u M S 9 4 Z i 1 j b G F y a 3 k t a W w t M T A w M D A w M C A o M i k v Q 2 h h b m d l Z C B U e X B l L n t D b 2 x 1 b W 4 3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3 h m L W N s Y X J r e S 1 p b C 0 x M D A w M D A w I C g y K S 9 D a G F u Z 2 V k I F R 5 c G U u e 0 N v b H V t b j E s M H 0 m c X V v d D s s J n F 1 b 3 Q 7 U 2 V j d G l v b j E v e G Y t Y 2 x h c m t 5 L W l s L T E w M D A w M D A g K D I p L 0 N o Y W 5 n Z W Q g V H l w Z S 5 7 Q 2 9 s d W 1 u M i w x f S Z x d W 9 0 O y w m c X V v d D t T Z W N 0 a W 9 u M S 9 4 Z i 1 j b G F y a 3 k t a W w t M T A w M D A w M C A o M i k v Q 2 h h b m d l Z C B U e X B l L n t D b 2 x 1 b W 4 z L D J 9 J n F 1 b 3 Q 7 L C Z x d W 9 0 O 1 N l Y 3 R p b 2 4 x L 3 h m L W N s Y X J r e S 1 p b C 0 x M D A w M D A w I C g y K S 9 D a G F u Z 2 V k I F R 5 c G U u e 0 N v b H V t b j Q s M 3 0 m c X V v d D s s J n F 1 b 3 Q 7 U 2 V j d G l v b j E v e G Y t Y 2 x h c m t 5 L W l s L T E w M D A w M D A g K D I p L 0 N o Y W 5 n Z W Q g V H l w Z S 5 7 Q 2 9 s d W 1 u N S w 0 f S Z x d W 9 0 O y w m c X V v d D t T Z W N 0 a W 9 u M S 9 4 Z i 1 j b G F y a 3 k t a W w t M T A w M D A w M C A o M i k v Q 2 h h b m d l Z C B U e X B l L n t D b 2 x 1 b W 4 2 L D V 9 J n F 1 b 3 Q 7 L C Z x d W 9 0 O 1 N l Y 3 R p b 2 4 x L 3 h m L W N s Y X J r e S 1 p b C 0 x M D A w M D A w I C g y K S 9 D a G F u Z 2 V k I F R 5 c G U u e 0 N v b H V t b j c s N n 0 m c X V v d D t d L C Z x d W 9 0 O 1 J l b G F 0 a W 9 u c 2 h p c E l u Z m 8 m c X V v d D s 6 W 1 1 9 I i 8 + P E V u d H J 5 I F R 5 c G U 9 I l J l c 3 V s d F R 5 c G U i I F Z h b H V l P S J z V G F i b G U i L z 4 8 R W 5 0 c n k g V H l w Z T 0 i T m F 2 a W d h d G l v b l N 0 Z X B O Y W 1 l I i B W Y W x 1 Z T 0 i c 0 5 h d m l n Y X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3 h m L W N s Y X J r e S 1 p b C 0 x M D A w M D A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T I 0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A t M T E t M T h U M j I 6 N T E 6 N D c u O T Y z M j I x M l o i L z 4 8 R W 5 0 c n k g V H l w Z T 0 i R m l s b E N v b H V t b l R 5 c G V z I i B W Y W x 1 Z T 0 i c 0 J n W U d C Z 1 l H Q m c 9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4 Z i 1 j b G F y a 3 k t a W w t M T A w M D A w L 0 F 1 d G 9 S Z W 1 v d m V k Q 2 9 s d W 1 u c z E u e 0 N v b H V t b j E s M H 0 m c X V v d D s s J n F 1 b 3 Q 7 U 2 V j d G l v b j E v e G Y t Y 2 x h c m t 5 L W l s L T E w M D A w M C 9 B d X R v U m V t b 3 Z l Z E N v b H V t b n M x L n t D b 2 x 1 b W 4 y L D F 9 J n F 1 b 3 Q 7 L C Z x d W 9 0 O 1 N l Y 3 R p b 2 4 x L 3 h m L W N s Y X J r e S 1 p b C 0 x M D A w M D A v Q X V 0 b 1 J l b W 9 2 Z W R D b 2 x 1 b W 5 z M S 5 7 Q 2 9 s d W 1 u M y w y f S Z x d W 9 0 O y w m c X V v d D t T Z W N 0 a W 9 u M S 9 4 Z i 1 j b G F y a 3 k t a W w t M T A w M D A w L 0 F 1 d G 9 S Z W 1 v d m V k Q 2 9 s d W 1 u c z E u e 0 N v b H V t b j Q s M 3 0 m c X V v d D s s J n F 1 b 3 Q 7 U 2 V j d G l v b j E v e G Y t Y 2 x h c m t 5 L W l s L T E w M D A w M C 9 B d X R v U m V t b 3 Z l Z E N v b H V t b n M x L n t D b 2 x 1 b W 4 1 L D R 9 J n F 1 b 3 Q 7 L C Z x d W 9 0 O 1 N l Y 3 R p b 2 4 x L 3 h m L W N s Y X J r e S 1 p b C 0 x M D A w M D A v Q X V 0 b 1 J l b W 9 2 Z W R D b 2 x 1 b W 5 z M S 5 7 Q 2 9 s d W 1 u N i w 1 f S Z x d W 9 0 O y w m c X V v d D t T Z W N 0 a W 9 u M S 9 4 Z i 1 j b G F y a 3 k t a W w t M T A w M D A w L 0 F 1 d G 9 S Z W 1 v d m V k Q 2 9 s d W 1 u c z E u e 0 N v b H V t b j c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e G Y t Y 2 x h c m t 5 L W l s L T E w M D A w M C 9 B d X R v U m V t b 3 Z l Z E N v b H V t b n M x L n t D b 2 x 1 b W 4 x L D B 9 J n F 1 b 3 Q 7 L C Z x d W 9 0 O 1 N l Y 3 R p b 2 4 x L 3 h m L W N s Y X J r e S 1 p b C 0 x M D A w M D A v Q X V 0 b 1 J l b W 9 2 Z W R D b 2 x 1 b W 5 z M S 5 7 Q 2 9 s d W 1 u M i w x f S Z x d W 9 0 O y w m c X V v d D t T Z W N 0 a W 9 u M S 9 4 Z i 1 j b G F y a 3 k t a W w t M T A w M D A w L 0 F 1 d G 9 S Z W 1 v d m V k Q 2 9 s d W 1 u c z E u e 0 N v b H V t b j M s M n 0 m c X V v d D s s J n F 1 b 3 Q 7 U 2 V j d G l v b j E v e G Y t Y 2 x h c m t 5 L W l s L T E w M D A w M C 9 B d X R v U m V t b 3 Z l Z E N v b H V t b n M x L n t D b 2 x 1 b W 4 0 L D N 9 J n F 1 b 3 Q 7 L C Z x d W 9 0 O 1 N l Y 3 R p b 2 4 x L 3 h m L W N s Y X J r e S 1 p b C 0 x M D A w M D A v Q X V 0 b 1 J l b W 9 2 Z W R D b 2 x 1 b W 5 z M S 5 7 Q 2 9 s d W 1 u N S w 0 f S Z x d W 9 0 O y w m c X V v d D t T Z W N 0 a W 9 u M S 9 4 Z i 1 j b G F y a 3 k t a W w t M T A w M D A w L 0 F 1 d G 9 S Z W 1 v d m V k Q 2 9 s d W 1 u c z E u e 0 N v b H V t b j Y s N X 0 m c X V v d D s s J n F 1 b 3 Q 7 U 2 V j d G l v b j E v e G Y t Y 2 x h c m t 5 L W l s L T E w M D A w M C 9 B d X R v U m V t b 3 Z l Z E N v b H V t b n M x L n t D b 2 x 1 b W 4 3 L D Z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4 Z i 1 j b G F y a 3 k t a W w t M T A w M D A w J T I w K D I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E x M y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w L T E x L T E 4 V D I y O j U 2 O j E y L j Y x N T I 5 M j R a I i 8 + P E V u d H J 5 I F R 5 c G U 9 I k Z p b G x D b 2 x 1 b W 5 U e X B l c y I g V m F s d W U 9 I n N C U V V G Q l F V R k J R P T 0 i L z 4 8 R W 5 0 c n k g V H l w Z T 0 i R m l s b E N v b H V t b k 5 h b W V z I i B W Y W x 1 Z T 0 i c 1 s m c X V v d D t B b H B o Y S Z x d W 9 0 O y w m c X V v d D t D b C Z x d W 9 0 O y w m c X V v d D t D Z C Z x d W 9 0 O y w m c X V v d D t D Z H A m c X V v d D s s J n F 1 b 3 Q 7 Q 2 0 m c X V v d D s s J n F 1 b 3 Q 7 V G 9 w X 1 h 0 c i Z x d W 9 0 O y w m c X V v d D t C b 3 R f W H R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G Y t Y 2 x h c m t 5 L W l s L T E w M D A w M C A o M i k v Q X V 0 b 1 J l b W 9 2 Z W R D b 2 x 1 b W 5 z M S 5 7 Q W x w a G E s M H 0 m c X V v d D s s J n F 1 b 3 Q 7 U 2 V j d G l v b j E v e G Y t Y 2 x h c m t 5 L W l s L T E w M D A w M C A o M i k v Q X V 0 b 1 J l b W 9 2 Z W R D b 2 x 1 b W 5 z M S 5 7 Q 2 w s M X 0 m c X V v d D s s J n F 1 b 3 Q 7 U 2 V j d G l v b j E v e G Y t Y 2 x h c m t 5 L W l s L T E w M D A w M C A o M i k v Q X V 0 b 1 J l b W 9 2 Z W R D b 2 x 1 b W 5 z M S 5 7 Q 2 Q s M n 0 m c X V v d D s s J n F 1 b 3 Q 7 U 2 V j d G l v b j E v e G Y t Y 2 x h c m t 5 L W l s L T E w M D A w M C A o M i k v Q X V 0 b 1 J l b W 9 2 Z W R D b 2 x 1 b W 5 z M S 5 7 Q 2 R w L D N 9 J n F 1 b 3 Q 7 L C Z x d W 9 0 O 1 N l Y 3 R p b 2 4 x L 3 h m L W N s Y X J r e S 1 p b C 0 x M D A w M D A g K D I p L 0 F 1 d G 9 S Z W 1 v d m V k Q 2 9 s d W 1 u c z E u e 0 N t L D R 9 J n F 1 b 3 Q 7 L C Z x d W 9 0 O 1 N l Y 3 R p b 2 4 x L 3 h m L W N s Y X J r e S 1 p b C 0 x M D A w M D A g K D I p L 0 F 1 d G 9 S Z W 1 v d m V k Q 2 9 s d W 1 u c z E u e 1 R v c F 9 Y d H I s N X 0 m c X V v d D s s J n F 1 b 3 Q 7 U 2 V j d G l v b j E v e G Y t Y 2 x h c m t 5 L W l s L T E w M D A w M C A o M i k v Q X V 0 b 1 J l b W 9 2 Z W R D b 2 x 1 b W 5 z M S 5 7 Q m 9 0 X 1 h 0 c i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4 Z i 1 j b G F y a 3 k t a W w t M T A w M D A w I C g y K S 9 B d X R v U m V t b 3 Z l Z E N v b H V t b n M x L n t B b H B o Y S w w f S Z x d W 9 0 O y w m c X V v d D t T Z W N 0 a W 9 u M S 9 4 Z i 1 j b G F y a 3 k t a W w t M T A w M D A w I C g y K S 9 B d X R v U m V t b 3 Z l Z E N v b H V t b n M x L n t D b C w x f S Z x d W 9 0 O y w m c X V v d D t T Z W N 0 a W 9 u M S 9 4 Z i 1 j b G F y a 3 k t a W w t M T A w M D A w I C g y K S 9 B d X R v U m V t b 3 Z l Z E N v b H V t b n M x L n t D Z C w y f S Z x d W 9 0 O y w m c X V v d D t T Z W N 0 a W 9 u M S 9 4 Z i 1 j b G F y a 3 k t a W w t M T A w M D A w I C g y K S 9 B d X R v U m V t b 3 Z l Z E N v b H V t b n M x L n t D Z H A s M 3 0 m c X V v d D s s J n F 1 b 3 Q 7 U 2 V j d G l v b j E v e G Y t Y 2 x h c m t 5 L W l s L T E w M D A w M C A o M i k v Q X V 0 b 1 J l b W 9 2 Z W R D b 2 x 1 b W 5 z M S 5 7 Q 2 0 s N H 0 m c X V v d D s s J n F 1 b 3 Q 7 U 2 V j d G l v b j E v e G Y t Y 2 x h c m t 5 L W l s L T E w M D A w M C A o M i k v Q X V 0 b 1 J l b W 9 2 Z W R D b 2 x 1 b W 5 z M S 5 7 V G 9 w X 1 h 0 c i w 1 f S Z x d W 9 0 O y w m c X V v d D t T Z W N 0 a W 9 u M S 9 4 Z i 1 j b G F y a 3 k t a W w t M T A w M D A w I C g y K S 9 B d X R v U m V t b 3 Z l Z E N v b H V t b n M x L n t C b 3 R f W H R y L D Z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4 Z i 1 j b G F y a 3 k t a W w t M T A w M D A w M C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h m L W N s Y X J r e S 1 p b C 0 x M D A w M D A w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4 Z i 1 j b G F y a 3 k t a W w t M T A w M D A w M C U y M C g y K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h m L W N s Y X J r e S 1 p b C 0 x M D A w M D A w J T I w K D I p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4 Z i 1 j b G F y a 3 k t a W w t M T A w M D A w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e G Y t Y 2 x h c m t 5 L W l s L T E w M D A w M C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e G Y t Y 2 x h c m t 5 L W l s L T E w M D A w M C U y M C g y K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h m L W N s Y X J r e S 1 p b C 0 x M D A w M D A l M j A o M i k v U H J v b W 9 0 Z W Q l M j B I Z W F k Z X J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4 Z i 1 j b G F y a 3 k t a W w t M T A w M D A w J T I w K D I p L 0 N o Y W 5 n Z W Q l M j B U e X B l P C 9 J d G V t U G F 0 a D 4 8 L 0 l 0 Z W 1 M b 2 N h d G l v b j 4 8 U 3 R h Y m x l R W 5 0 c m l l c y 8 + P C 9 J d G V t P j x J d G V t P j x J d G V t T G 9 j Y X R p b 2 4 + P E l 0 Z W 1 U e X B l P k F s b E Z v c m 1 1 b G F z P C 9 J d G V t V H l w Z T 4 8 S X R l b V B h d G g + P C 9 J d G V t U G F 0 a D 4 8 L 0 l 0 Z W 1 M b 2 N h d G l v b j 4 8 U 3 R h Y m x l R W 5 0 c m l l c z 4 8 R W 5 0 c n k g V H l w Z T 0 i U X V l c n l H c m 9 1 c H M i I F Z h b H V l P S J z Q U F B Q U F B P T 0 i L z 4 8 R W 5 0 c n k g V H l w Z T 0 i U m V s Y X R p b 2 5 z a G l w c y I g V m F s d W U 9 I n N B Q U F B Q U E 9 P S I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R Z q i n a 1 / V S o C J q o d R r n D a A A A A A A I A A A A A A B B m A A A A A Q A A I A A A A K f x s k J O W K A G V 5 W 2 r x L h / c 3 6 n L o L M 5 + K e F w v / R I B V F L C A A A A A A 6 A A A A A A g A A I A A A A B M B T M O 1 K e N 4 D k 5 w 6 K X A j V q T t 5 t n j 4 H v + i e K i / a 7 7 X f C U A A A A N E a 2 S g c p F R E C i 7 q G E 9 X j j q j l q K u n t 0 w C Q C v O 1 u P t n p p x H o c J P R D m 4 Q c J T f d B 5 K c o e P n R i 3 D O 9 1 r V / z I A r I O R K Z 7 6 x T e Q K a 6 J f U Z t 7 s o I s h 5 Q A A A A J z A f c V N 0 2 G 0 a o 0 U c D y Q y t n k C A S y o r y i 6 K A S O M n i K W m G 9 K 3 m u M d G v n O w 2 e N x R s e J 0 V r 1 e h G N q + l u m f m n U B z 8 c x U = < / D a t a M a s h u p > 
</file>

<file path=customXml/itemProps1.xml><?xml version="1.0" encoding="utf-8"?>
<ds:datastoreItem xmlns:ds="http://schemas.openxmlformats.org/officeDocument/2006/customXml" ds:itemID="{51CB1247-D78F-42D2-9ACF-913FF2B7A6A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PROP_InOut</vt:lpstr>
      <vt:lpstr>Conversor</vt:lpstr>
      <vt:lpstr>PROP_Table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Mendes</dc:creator>
  <cp:lastModifiedBy>Pedro</cp:lastModifiedBy>
  <dcterms:created xsi:type="dcterms:W3CDTF">2020-10-23T11:07:10Z</dcterms:created>
  <dcterms:modified xsi:type="dcterms:W3CDTF">2022-02-19T20:51:10Z</dcterms:modified>
</cp:coreProperties>
</file>