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LIENTES DANIEL\DICIEMBRE 2025\Mario Edú Polanco Flores\"/>
    </mc:Choice>
  </mc:AlternateContent>
  <workbookProtection workbookAlgorithmName="SHA-512" workbookHashValue="vuKlshcoACEo2utorOn/f24ONg8PlSqi8g2xb0IMWgJTeqHaInztisx8iqFYarrUpdJ9ehjnckHa1HGNpWCzhQ==" workbookSaltValue="fil+OP651H3LQGGuEAoKjQ==" workbookSpinCount="100000" lockStructure="1"/>
  <bookViews>
    <workbookView xWindow="0" yWindow="0" windowWidth="24000" windowHeight="9630" firstSheet="2" activeTab="8"/>
  </bookViews>
  <sheets>
    <sheet name="FORMULARIO" sheetId="2" state="hidden" r:id="rId1"/>
    <sheet name="Hoja1" sheetId="13" state="hidden" r:id="rId2"/>
    <sheet name="Detalle vehiculo" sheetId="9" r:id="rId3"/>
    <sheet name="Detalle cliente vehiculo" sheetId="11" r:id="rId4"/>
    <sheet name="Detalle hipotecario" sheetId="15" state="hidden" r:id="rId5"/>
    <sheet name="Detalle cliente hipotecario" sheetId="14" state="hidden" r:id="rId6"/>
    <sheet name="Cálculo RGPI" sheetId="17" state="hidden" r:id="rId7"/>
    <sheet name="Emision de Cheques" sheetId="10" r:id="rId8"/>
    <sheet name=" Cotizador cliente" sheetId="19" r:id="rId9"/>
    <sheet name="Cotizador interno" sheetId="21" r:id="rId10"/>
    <sheet name="Costo seguro" sheetId="20" state="hidden" r:id="rId11"/>
    <sheet name="Costo seguro (2)" sheetId="23" state="hidden" r:id="rId12"/>
    <sheet name="Cuotas niveladas" sheetId="12" state="hidden" r:id="rId13"/>
    <sheet name="Detalle Cuota especial" sheetId="16" state="hidden" r:id="rId14"/>
    <sheet name="Analisis de pago" sheetId="7" state="hidden" r:id="rId15"/>
    <sheet name="Datos - analisis de pago" sheetId="8" state="hidden" r:id="rId16"/>
    <sheet name="Datos - analisis garantia" sheetId="3" state="hidden" r:id="rId17"/>
    <sheet name="Analisis garantia" sheetId="5" state="hidden" r:id="rId18"/>
  </sheets>
  <definedNames>
    <definedName name="_xlnm._FilterDatabase" localSheetId="10" hidden="1">'Costo seguro'!$B$1:$G$782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9" l="1"/>
  <c r="B42" i="9" l="1"/>
  <c r="C20" i="19" l="1"/>
  <c r="C16" i="19" s="1"/>
  <c r="C10" i="21"/>
  <c r="C19" i="21" s="1"/>
  <c r="C9" i="21" l="1"/>
  <c r="D11" i="19"/>
  <c r="C12" i="19"/>
  <c r="D12" i="19" s="1"/>
  <c r="C11" i="21" l="1"/>
  <c r="D11" i="21" s="1"/>
  <c r="E134" i="21" l="1"/>
  <c r="E135" i="21"/>
  <c r="N8" i="23" l="1"/>
  <c r="M8" i="23" s="1"/>
  <c r="N12" i="23"/>
  <c r="M12" i="23" s="1"/>
  <c r="N14" i="23"/>
  <c r="M14" i="23" s="1"/>
  <c r="N20" i="23"/>
  <c r="M20" i="23" s="1"/>
  <c r="N23" i="23"/>
  <c r="M23" i="23" s="1"/>
  <c r="N24" i="23"/>
  <c r="M24" i="23" s="1"/>
  <c r="N25" i="23"/>
  <c r="M25" i="23" s="1"/>
  <c r="N26" i="23"/>
  <c r="N27" i="23"/>
  <c r="N28" i="23"/>
  <c r="N29" i="23"/>
  <c r="M29" i="23" s="1"/>
  <c r="N30" i="23"/>
  <c r="M30" i="23" s="1"/>
  <c r="N31" i="23"/>
  <c r="M31" i="23" s="1"/>
  <c r="N32" i="23"/>
  <c r="M32" i="23" s="1"/>
  <c r="N33" i="23"/>
  <c r="M33" i="23" s="1"/>
  <c r="N34" i="23"/>
  <c r="N35" i="23"/>
  <c r="N36" i="23"/>
  <c r="N37" i="23"/>
  <c r="M37" i="23" s="1"/>
  <c r="N38" i="23"/>
  <c r="N39" i="23"/>
  <c r="M39" i="23" s="1"/>
  <c r="N40" i="23"/>
  <c r="M40" i="23" s="1"/>
  <c r="N41" i="23"/>
  <c r="M41" i="23" s="1"/>
  <c r="N46" i="23"/>
  <c r="M46" i="23" s="1"/>
  <c r="N47" i="23"/>
  <c r="M47" i="23" s="1"/>
  <c r="N48" i="23"/>
  <c r="M48" i="23" s="1"/>
  <c r="N62" i="23"/>
  <c r="M62" i="23" s="1"/>
  <c r="N64" i="23"/>
  <c r="M64" i="23" s="1"/>
  <c r="N71" i="23"/>
  <c r="M71" i="23" s="1"/>
  <c r="N78" i="23"/>
  <c r="M78" i="23" s="1"/>
  <c r="N79" i="23"/>
  <c r="M79" i="23" s="1"/>
  <c r="N95" i="23"/>
  <c r="M95" i="23" s="1"/>
  <c r="N102" i="23"/>
  <c r="M102" i="23" s="1"/>
  <c r="L43" i="23"/>
  <c r="L44" i="23"/>
  <c r="N44" i="23" s="1"/>
  <c r="M44" i="23" s="1"/>
  <c r="L45" i="23"/>
  <c r="L46" i="23"/>
  <c r="L47" i="23"/>
  <c r="L48" i="23"/>
  <c r="K48" i="23" s="1"/>
  <c r="L49" i="23"/>
  <c r="K49" i="23" s="1"/>
  <c r="L50" i="23"/>
  <c r="N50" i="23" s="1"/>
  <c r="M50" i="23" s="1"/>
  <c r="L51" i="23"/>
  <c r="L52" i="23"/>
  <c r="N52" i="23" s="1"/>
  <c r="L53" i="23"/>
  <c r="L54" i="23"/>
  <c r="N54" i="23" s="1"/>
  <c r="M54" i="23" s="1"/>
  <c r="L55" i="23"/>
  <c r="K55" i="23" s="1"/>
  <c r="L56" i="23"/>
  <c r="K56" i="23" s="1"/>
  <c r="L57" i="23"/>
  <c r="N57" i="23" s="1"/>
  <c r="M57" i="23" s="1"/>
  <c r="L58" i="23"/>
  <c r="K58" i="23" s="1"/>
  <c r="L59" i="23"/>
  <c r="L60" i="23"/>
  <c r="N60" i="23" s="1"/>
  <c r="L61" i="23"/>
  <c r="L62" i="23"/>
  <c r="L63" i="23"/>
  <c r="N63" i="23" s="1"/>
  <c r="M63" i="23" s="1"/>
  <c r="L64" i="23"/>
  <c r="K64" i="23" s="1"/>
  <c r="L65" i="23"/>
  <c r="N65" i="23" s="1"/>
  <c r="M65" i="23" s="1"/>
  <c r="L66" i="23"/>
  <c r="N66" i="23" s="1"/>
  <c r="M66" i="23" s="1"/>
  <c r="L67" i="23"/>
  <c r="L68" i="23"/>
  <c r="N68" i="23" s="1"/>
  <c r="M68" i="23" s="1"/>
  <c r="L69" i="23"/>
  <c r="L70" i="23"/>
  <c r="N70" i="23" s="1"/>
  <c r="M70" i="23" s="1"/>
  <c r="L71" i="23"/>
  <c r="L72" i="23"/>
  <c r="K72" i="23" s="1"/>
  <c r="L73" i="23"/>
  <c r="K73" i="23" s="1"/>
  <c r="L74" i="23"/>
  <c r="N74" i="23" s="1"/>
  <c r="M74" i="23" s="1"/>
  <c r="L75" i="23"/>
  <c r="L76" i="23"/>
  <c r="N76" i="23" s="1"/>
  <c r="L77" i="23"/>
  <c r="L78" i="23"/>
  <c r="L79" i="23"/>
  <c r="K79" i="23" s="1"/>
  <c r="L80" i="23"/>
  <c r="K80" i="23" s="1"/>
  <c r="L81" i="23"/>
  <c r="K81" i="23" s="1"/>
  <c r="L82" i="23"/>
  <c r="N82" i="23" s="1"/>
  <c r="M82" i="23" s="1"/>
  <c r="L83" i="23"/>
  <c r="L84" i="23"/>
  <c r="N84" i="23" s="1"/>
  <c r="L85" i="23"/>
  <c r="L86" i="23"/>
  <c r="N86" i="23" s="1"/>
  <c r="M86" i="23" s="1"/>
  <c r="L87" i="23"/>
  <c r="K87" i="23" s="1"/>
  <c r="L88" i="23"/>
  <c r="K88" i="23" s="1"/>
  <c r="L89" i="23"/>
  <c r="K89" i="23" s="1"/>
  <c r="L90" i="23"/>
  <c r="N90" i="23" s="1"/>
  <c r="M90" i="23" s="1"/>
  <c r="L91" i="23"/>
  <c r="L92" i="23"/>
  <c r="N92" i="23" s="1"/>
  <c r="M92" i="23" s="1"/>
  <c r="L93" i="23"/>
  <c r="L94" i="23"/>
  <c r="N94" i="23" s="1"/>
  <c r="M94" i="23" s="1"/>
  <c r="L95" i="23"/>
  <c r="L96" i="23"/>
  <c r="K96" i="23" s="1"/>
  <c r="L97" i="23"/>
  <c r="N97" i="23" s="1"/>
  <c r="M97" i="23" s="1"/>
  <c r="L98" i="23"/>
  <c r="K98" i="23" s="1"/>
  <c r="L99" i="23"/>
  <c r="L100" i="23"/>
  <c r="N100" i="23" s="1"/>
  <c r="L101" i="23"/>
  <c r="L102" i="23"/>
  <c r="K102" i="23" s="1"/>
  <c r="L103" i="23"/>
  <c r="K103" i="23" s="1"/>
  <c r="L42" i="23"/>
  <c r="N42" i="23" s="1"/>
  <c r="M42" i="23" s="1"/>
  <c r="K24" i="23"/>
  <c r="K28" i="23"/>
  <c r="K32" i="23"/>
  <c r="K36" i="23"/>
  <c r="K40" i="23"/>
  <c r="L12" i="23"/>
  <c r="K12" i="23" s="1"/>
  <c r="L13" i="23"/>
  <c r="N13" i="23" s="1"/>
  <c r="M13" i="23" s="1"/>
  <c r="L14" i="23"/>
  <c r="L15" i="23"/>
  <c r="K15" i="23" s="1"/>
  <c r="L16" i="23"/>
  <c r="N16" i="23" s="1"/>
  <c r="M16" i="23" s="1"/>
  <c r="L17" i="23"/>
  <c r="N17" i="23" s="1"/>
  <c r="M17" i="23" s="1"/>
  <c r="L18" i="23"/>
  <c r="K18" i="23" s="1"/>
  <c r="L19" i="23"/>
  <c r="N19" i="23" s="1"/>
  <c r="L20" i="23"/>
  <c r="L21" i="23"/>
  <c r="N21" i="23" s="1"/>
  <c r="M21" i="23" s="1"/>
  <c r="L22" i="23"/>
  <c r="N22" i="23" s="1"/>
  <c r="M22" i="23" s="1"/>
  <c r="L11" i="23"/>
  <c r="L3" i="23"/>
  <c r="L4" i="23"/>
  <c r="N4" i="23" s="1"/>
  <c r="M4" i="23" s="1"/>
  <c r="L5" i="23"/>
  <c r="L6" i="23"/>
  <c r="K6" i="23" s="1"/>
  <c r="L7" i="23"/>
  <c r="K7" i="23" s="1"/>
  <c r="L8" i="23"/>
  <c r="K8" i="23" s="1"/>
  <c r="L9" i="23"/>
  <c r="K9" i="23" s="1"/>
  <c r="L10" i="23"/>
  <c r="K10" i="23" s="1"/>
  <c r="L2" i="23"/>
  <c r="E103" i="23"/>
  <c r="E102" i="23"/>
  <c r="E101" i="23"/>
  <c r="M100" i="23"/>
  <c r="K100" i="23"/>
  <c r="E100" i="23"/>
  <c r="E99" i="23"/>
  <c r="E98" i="23"/>
  <c r="E97" i="23"/>
  <c r="E96" i="23"/>
  <c r="K95" i="23"/>
  <c r="E95" i="23"/>
  <c r="K94" i="23"/>
  <c r="E94" i="23"/>
  <c r="E93" i="23"/>
  <c r="E92" i="23"/>
  <c r="E91" i="23"/>
  <c r="E90" i="23"/>
  <c r="E89" i="23"/>
  <c r="E88" i="23"/>
  <c r="E87" i="23"/>
  <c r="K86" i="23"/>
  <c r="E86" i="23"/>
  <c r="E85" i="23"/>
  <c r="M84" i="23"/>
  <c r="E84" i="23"/>
  <c r="E83" i="23"/>
  <c r="E82" i="23"/>
  <c r="E81" i="23"/>
  <c r="E80" i="23"/>
  <c r="E79" i="23"/>
  <c r="K78" i="23"/>
  <c r="E78" i="23"/>
  <c r="E77" i="23"/>
  <c r="M76" i="23"/>
  <c r="K76" i="23"/>
  <c r="E76" i="23"/>
  <c r="E75" i="23"/>
  <c r="K74" i="23"/>
  <c r="E74" i="23"/>
  <c r="E73" i="23"/>
  <c r="E72" i="23"/>
  <c r="K71" i="23"/>
  <c r="E71" i="23"/>
  <c r="K70" i="23"/>
  <c r="E70" i="23"/>
  <c r="E69" i="23"/>
  <c r="E68" i="23"/>
  <c r="E67" i="23"/>
  <c r="E66" i="23"/>
  <c r="E65" i="23"/>
  <c r="E64" i="23"/>
  <c r="K63" i="23"/>
  <c r="E63" i="23"/>
  <c r="K62" i="23"/>
  <c r="E62" i="23"/>
  <c r="E61" i="23"/>
  <c r="M60" i="23"/>
  <c r="K60" i="23"/>
  <c r="E60" i="23"/>
  <c r="E59" i="23"/>
  <c r="E58" i="23"/>
  <c r="K57" i="23"/>
  <c r="E57" i="23"/>
  <c r="E56" i="23"/>
  <c r="E55" i="23"/>
  <c r="K54" i="23"/>
  <c r="E54" i="23"/>
  <c r="E53" i="23"/>
  <c r="M52" i="23"/>
  <c r="E52" i="23"/>
  <c r="E51" i="23"/>
  <c r="E50" i="23"/>
  <c r="E49" i="23"/>
  <c r="E48" i="23"/>
  <c r="K47" i="23"/>
  <c r="E47" i="23"/>
  <c r="K46" i="23"/>
  <c r="E46" i="23"/>
  <c r="E45" i="23"/>
  <c r="E44" i="23"/>
  <c r="E43" i="23"/>
  <c r="K42" i="23"/>
  <c r="E42" i="23"/>
  <c r="K41" i="23"/>
  <c r="E41" i="23"/>
  <c r="E40" i="23"/>
  <c r="K39" i="23"/>
  <c r="E39" i="23"/>
  <c r="M38" i="23"/>
  <c r="K38" i="23"/>
  <c r="E38" i="23"/>
  <c r="K37" i="23"/>
  <c r="E37" i="23"/>
  <c r="M36" i="23"/>
  <c r="E36" i="23"/>
  <c r="M35" i="23"/>
  <c r="K35" i="23"/>
  <c r="E35" i="23"/>
  <c r="M34" i="23"/>
  <c r="K34" i="23"/>
  <c r="E34" i="23"/>
  <c r="K33" i="23"/>
  <c r="E33" i="23"/>
  <c r="E32" i="23"/>
  <c r="K31" i="23"/>
  <c r="E31" i="23"/>
  <c r="K30" i="23"/>
  <c r="E30" i="23"/>
  <c r="K29" i="23"/>
  <c r="E29" i="23"/>
  <c r="M28" i="23"/>
  <c r="E28" i="23"/>
  <c r="M27" i="23"/>
  <c r="K27" i="23"/>
  <c r="E27" i="23"/>
  <c r="M26" i="23"/>
  <c r="K26" i="23"/>
  <c r="E26" i="23"/>
  <c r="K25" i="23"/>
  <c r="E25" i="23"/>
  <c r="E24" i="23"/>
  <c r="K23" i="23"/>
  <c r="E23" i="23"/>
  <c r="K22" i="23"/>
  <c r="E22" i="23"/>
  <c r="K21" i="23"/>
  <c r="E21" i="23"/>
  <c r="K20" i="23"/>
  <c r="E20" i="23"/>
  <c r="M19" i="23"/>
  <c r="K19" i="23"/>
  <c r="E19" i="23"/>
  <c r="E18" i="23"/>
  <c r="E17" i="23"/>
  <c r="E16" i="23"/>
  <c r="E15" i="23"/>
  <c r="K14" i="23"/>
  <c r="E14" i="23"/>
  <c r="E13" i="23"/>
  <c r="E12" i="23"/>
  <c r="E11" i="23"/>
  <c r="E10" i="23"/>
  <c r="E9" i="23"/>
  <c r="E8" i="23"/>
  <c r="E7" i="23"/>
  <c r="E6" i="23"/>
  <c r="E5" i="23"/>
  <c r="E4" i="23"/>
  <c r="E3" i="23"/>
  <c r="E2" i="23"/>
  <c r="C14" i="21"/>
  <c r="C17" i="21"/>
  <c r="H27" i="9"/>
  <c r="H38" i="9"/>
  <c r="G7" i="21"/>
  <c r="C16" i="21" s="1"/>
  <c r="G5" i="21"/>
  <c r="E5" i="21"/>
  <c r="C5" i="21"/>
  <c r="B7" i="21"/>
  <c r="C15" i="21"/>
  <c r="N89" i="23" l="1"/>
  <c r="M89" i="23" s="1"/>
  <c r="K68" i="23"/>
  <c r="N88" i="23"/>
  <c r="M88" i="23" s="1"/>
  <c r="N56" i="23"/>
  <c r="M56" i="23" s="1"/>
  <c r="N87" i="23"/>
  <c r="M87" i="23" s="1"/>
  <c r="N55" i="23"/>
  <c r="M55" i="23" s="1"/>
  <c r="K13" i="23"/>
  <c r="N80" i="23"/>
  <c r="M80" i="23" s="1"/>
  <c r="K92" i="23"/>
  <c r="N103" i="23"/>
  <c r="M103" i="23" s="1"/>
  <c r="N72" i="23"/>
  <c r="M72" i="23" s="1"/>
  <c r="N96" i="23"/>
  <c r="M96" i="23" s="1"/>
  <c r="N9" i="23"/>
  <c r="M9" i="23" s="1"/>
  <c r="K44" i="23"/>
  <c r="N7" i="23"/>
  <c r="M7" i="23" s="1"/>
  <c r="N83" i="23"/>
  <c r="M83" i="23" s="1"/>
  <c r="K83" i="23"/>
  <c r="N67" i="23"/>
  <c r="M67" i="23" s="1"/>
  <c r="K67" i="23"/>
  <c r="N2" i="23"/>
  <c r="M2" i="23" s="1"/>
  <c r="K2" i="23"/>
  <c r="K16" i="23"/>
  <c r="K11" i="23"/>
  <c r="N11" i="23"/>
  <c r="M11" i="23" s="1"/>
  <c r="K97" i="23"/>
  <c r="N98" i="23"/>
  <c r="M98" i="23" s="1"/>
  <c r="N73" i="23"/>
  <c r="M73" i="23" s="1"/>
  <c r="N91" i="23"/>
  <c r="M91" i="23" s="1"/>
  <c r="K91" i="23"/>
  <c r="N58" i="23"/>
  <c r="M58" i="23" s="1"/>
  <c r="N10" i="23"/>
  <c r="M10" i="23" s="1"/>
  <c r="K50" i="23"/>
  <c r="K82" i="23"/>
  <c r="N18" i="23"/>
  <c r="M18" i="23" s="1"/>
  <c r="N99" i="23"/>
  <c r="M99" i="23" s="1"/>
  <c r="K99" i="23"/>
  <c r="N75" i="23"/>
  <c r="M75" i="23" s="1"/>
  <c r="K75" i="23"/>
  <c r="N59" i="23"/>
  <c r="M59" i="23" s="1"/>
  <c r="K59" i="23"/>
  <c r="K4" i="23"/>
  <c r="K3" i="23"/>
  <c r="N3" i="23"/>
  <c r="M3" i="23" s="1"/>
  <c r="N49" i="23"/>
  <c r="M49" i="23" s="1"/>
  <c r="K65" i="23"/>
  <c r="K90" i="23"/>
  <c r="K17" i="23"/>
  <c r="K52" i="23"/>
  <c r="K66" i="23"/>
  <c r="K84" i="23"/>
  <c r="N101" i="23"/>
  <c r="M101" i="23" s="1"/>
  <c r="K101" i="23"/>
  <c r="N93" i="23"/>
  <c r="M93" i="23" s="1"/>
  <c r="K93" i="23"/>
  <c r="N85" i="23"/>
  <c r="M85" i="23" s="1"/>
  <c r="K85" i="23"/>
  <c r="N77" i="23"/>
  <c r="M77" i="23" s="1"/>
  <c r="K77" i="23"/>
  <c r="N69" i="23"/>
  <c r="M69" i="23" s="1"/>
  <c r="K69" i="23"/>
  <c r="N61" i="23"/>
  <c r="M61" i="23" s="1"/>
  <c r="K61" i="23"/>
  <c r="N53" i="23"/>
  <c r="M53" i="23" s="1"/>
  <c r="K53" i="23"/>
  <c r="N45" i="23"/>
  <c r="M45" i="23" s="1"/>
  <c r="K45" i="23"/>
  <c r="N81" i="23"/>
  <c r="M81" i="23" s="1"/>
  <c r="K5" i="23"/>
  <c r="N5" i="23"/>
  <c r="M5" i="23" s="1"/>
  <c r="N51" i="23"/>
  <c r="M51" i="23" s="1"/>
  <c r="K51" i="23"/>
  <c r="N43" i="23"/>
  <c r="M43" i="23" s="1"/>
  <c r="K43" i="23"/>
  <c r="N15" i="23"/>
  <c r="M15" i="23" s="1"/>
  <c r="N6" i="23"/>
  <c r="M6" i="23" s="1"/>
  <c r="H26" i="9"/>
  <c r="H25" i="9"/>
  <c r="I39" i="9" l="1"/>
  <c r="B22" i="19" l="1"/>
  <c r="G22" i="19" s="1"/>
  <c r="H28" i="9" s="1"/>
  <c r="C12" i="21"/>
  <c r="D12" i="21" s="1"/>
  <c r="D22" i="19" l="1"/>
  <c r="C19" i="19" s="1"/>
  <c r="I11" i="9" s="1"/>
  <c r="C24" i="19" l="1"/>
  <c r="C22" i="21" s="1"/>
  <c r="F19" i="19"/>
  <c r="C18" i="21"/>
  <c r="F18" i="21" s="1"/>
  <c r="H20" i="9"/>
  <c r="C23" i="11" s="1"/>
  <c r="D22" i="21" l="1"/>
  <c r="E22" i="21" s="1"/>
  <c r="U52" i="16"/>
  <c r="U53" i="16"/>
  <c r="F22" i="21" l="1"/>
  <c r="C23" i="21" s="1"/>
  <c r="B23" i="21" s="1"/>
  <c r="J123" i="2"/>
  <c r="D23" i="21" l="1"/>
  <c r="E23" i="21" l="1"/>
  <c r="F23" i="21" s="1"/>
  <c r="C24" i="21" s="1"/>
  <c r="B24" i="21" s="1"/>
  <c r="C14" i="15"/>
  <c r="D24" i="21" l="1"/>
  <c r="G20" i="15"/>
  <c r="E24" i="21" l="1"/>
  <c r="F24" i="21" s="1"/>
  <c r="C25" i="21" s="1"/>
  <c r="C20" i="17"/>
  <c r="D16" i="17"/>
  <c r="C16" i="17"/>
  <c r="A18" i="17" s="1"/>
  <c r="C18" i="17" s="1"/>
  <c r="C8" i="17"/>
  <c r="D4" i="17"/>
  <c r="C4" i="17"/>
  <c r="A6" i="17" s="1"/>
  <c r="C6" i="17" s="1"/>
  <c r="T35" i="16"/>
  <c r="T34" i="16"/>
  <c r="S34" i="16"/>
  <c r="T33" i="16"/>
  <c r="S33" i="16"/>
  <c r="T32" i="16"/>
  <c r="S32" i="16"/>
  <c r="T31" i="16"/>
  <c r="S31" i="16"/>
  <c r="T30" i="16"/>
  <c r="S30" i="16"/>
  <c r="T29" i="16"/>
  <c r="S29" i="16"/>
  <c r="T28" i="16"/>
  <c r="S28" i="16"/>
  <c r="T27" i="16"/>
  <c r="S27" i="16"/>
  <c r="T26" i="16"/>
  <c r="S26" i="16"/>
  <c r="T25" i="16"/>
  <c r="S25" i="16"/>
  <c r="T24" i="16"/>
  <c r="S24" i="16"/>
  <c r="T23" i="16"/>
  <c r="S23" i="16"/>
  <c r="T22" i="16"/>
  <c r="S22" i="16"/>
  <c r="D18" i="16"/>
  <c r="S18" i="16" s="1"/>
  <c r="L8" i="16"/>
  <c r="C16" i="14"/>
  <c r="C16" i="15"/>
  <c r="E46" i="15"/>
  <c r="G42" i="15"/>
  <c r="D28" i="15"/>
  <c r="D27" i="15"/>
  <c r="D26" i="15"/>
  <c r="D25" i="21" l="1"/>
  <c r="E25" i="21" s="1"/>
  <c r="F25" i="21" s="1"/>
  <c r="C26" i="21" s="1"/>
  <c r="B25" i="21"/>
  <c r="C11" i="17"/>
  <c r="T18" i="16"/>
  <c r="U18" i="16"/>
  <c r="D19" i="16" s="1"/>
  <c r="C23" i="17"/>
  <c r="G18" i="16"/>
  <c r="E23" i="15"/>
  <c r="G24" i="15"/>
  <c r="F32" i="15"/>
  <c r="F47" i="15"/>
  <c r="F46" i="15"/>
  <c r="E24" i="15"/>
  <c r="F45" i="15"/>
  <c r="F31" i="15"/>
  <c r="B20" i="14" s="1"/>
  <c r="D26" i="21" l="1"/>
  <c r="E26" i="21" s="1"/>
  <c r="F26" i="21" s="1"/>
  <c r="C27" i="21" s="1"/>
  <c r="B26" i="21"/>
  <c r="C26" i="17"/>
  <c r="F36" i="15" s="1"/>
  <c r="T19" i="16"/>
  <c r="A19" i="16"/>
  <c r="C19" i="16"/>
  <c r="S19" i="16"/>
  <c r="U19" i="16"/>
  <c r="D20" i="16" s="1"/>
  <c r="U20" i="16" s="1"/>
  <c r="D21" i="16" s="1"/>
  <c r="B21" i="14"/>
  <c r="B22" i="14"/>
  <c r="G19" i="16"/>
  <c r="I19" i="16" s="1"/>
  <c r="M19" i="16" s="1"/>
  <c r="AA18" i="16"/>
  <c r="AE18" i="16" s="1"/>
  <c r="I18" i="16"/>
  <c r="AB18" i="16" s="1"/>
  <c r="G25" i="15"/>
  <c r="G26" i="15" s="1"/>
  <c r="F23" i="15"/>
  <c r="E26" i="15" s="1"/>
  <c r="F24" i="15"/>
  <c r="E27" i="15" s="1"/>
  <c r="F25" i="15"/>
  <c r="E28" i="15" s="1"/>
  <c r="G31" i="15"/>
  <c r="G44" i="15"/>
  <c r="T20" i="16" l="1"/>
  <c r="D27" i="21"/>
  <c r="E27" i="21" s="1"/>
  <c r="F27" i="21" s="1"/>
  <c r="C28" i="21" s="1"/>
  <c r="B27" i="21"/>
  <c r="C20" i="16"/>
  <c r="C21" i="16" s="1"/>
  <c r="S20" i="16"/>
  <c r="G20" i="16"/>
  <c r="I20" i="16" s="1"/>
  <c r="M20" i="16" s="1"/>
  <c r="A20" i="16"/>
  <c r="AA19" i="16"/>
  <c r="AE19" i="16" s="1"/>
  <c r="U21" i="16"/>
  <c r="D22" i="16" s="1"/>
  <c r="S21" i="16"/>
  <c r="T21" i="16"/>
  <c r="G21" i="16"/>
  <c r="A21" i="16"/>
  <c r="B19" i="14"/>
  <c r="E10" i="16"/>
  <c r="E13" i="16" s="1"/>
  <c r="B23" i="14"/>
  <c r="AD18" i="16"/>
  <c r="AC18" i="16"/>
  <c r="M18" i="16"/>
  <c r="X18" i="16" s="1"/>
  <c r="AC19" i="16"/>
  <c r="AB19" i="16"/>
  <c r="K19" i="16"/>
  <c r="K18" i="16"/>
  <c r="G56" i="15"/>
  <c r="F58" i="15" s="1"/>
  <c r="C23" i="14" l="1"/>
  <c r="C24" i="14" s="1"/>
  <c r="D28" i="21"/>
  <c r="E28" i="21" s="1"/>
  <c r="F28" i="21" s="1"/>
  <c r="C29" i="21" s="1"/>
  <c r="D29" i="21" s="1"/>
  <c r="E29" i="21" s="1"/>
  <c r="B28" i="21"/>
  <c r="AA20" i="16"/>
  <c r="AE20" i="16" s="1"/>
  <c r="AD19" i="16"/>
  <c r="X21" i="16"/>
  <c r="X30" i="16"/>
  <c r="X29" i="16"/>
  <c r="X28" i="16"/>
  <c r="X27" i="16"/>
  <c r="X26" i="16"/>
  <c r="X25" i="16"/>
  <c r="X24" i="16"/>
  <c r="X34" i="16"/>
  <c r="X33" i="16"/>
  <c r="X32" i="16"/>
  <c r="X31" i="16"/>
  <c r="X35" i="16"/>
  <c r="X20" i="16"/>
  <c r="X19" i="16"/>
  <c r="X22" i="16"/>
  <c r="X23" i="16"/>
  <c r="AA21" i="16"/>
  <c r="I21" i="16"/>
  <c r="AB21" i="16" s="1"/>
  <c r="U22" i="16"/>
  <c r="D23" i="16" s="1"/>
  <c r="C22" i="16"/>
  <c r="A22" i="16"/>
  <c r="G22" i="16"/>
  <c r="AD20" i="16"/>
  <c r="AB20" i="16"/>
  <c r="K20" i="16"/>
  <c r="AC20" i="16"/>
  <c r="B29" i="21" l="1"/>
  <c r="F29" i="21"/>
  <c r="C30" i="21" s="1"/>
  <c r="I22" i="16"/>
  <c r="M22" i="16" s="1"/>
  <c r="AA22" i="16"/>
  <c r="AD22" i="16" s="1"/>
  <c r="U23" i="16"/>
  <c r="D24" i="16" s="1"/>
  <c r="U24" i="16" s="1"/>
  <c r="D25" i="16" s="1"/>
  <c r="A23" i="16"/>
  <c r="G23" i="16"/>
  <c r="C23" i="16"/>
  <c r="M21" i="16"/>
  <c r="K21" i="16"/>
  <c r="AD21" i="16"/>
  <c r="AE21" i="16"/>
  <c r="AC21" i="16"/>
  <c r="AC22" i="16" l="1"/>
  <c r="D30" i="21"/>
  <c r="E30" i="21" s="1"/>
  <c r="B30" i="21"/>
  <c r="K22" i="16"/>
  <c r="U25" i="16"/>
  <c r="D26" i="16" s="1"/>
  <c r="G25" i="16"/>
  <c r="A25" i="16"/>
  <c r="AB22" i="16"/>
  <c r="C24" i="16"/>
  <c r="C25" i="16" s="1"/>
  <c r="G24" i="16"/>
  <c r="A24" i="16"/>
  <c r="I23" i="16"/>
  <c r="M23" i="16" s="1"/>
  <c r="AA23" i="16"/>
  <c r="AD23" i="16" s="1"/>
  <c r="AE22" i="16"/>
  <c r="F30" i="21" l="1"/>
  <c r="C31" i="21" s="1"/>
  <c r="AB23" i="16"/>
  <c r="K23" i="16"/>
  <c r="AC23" i="16"/>
  <c r="AA25" i="16"/>
  <c r="AE25" i="16" s="1"/>
  <c r="I25" i="16"/>
  <c r="M25" i="16" s="1"/>
  <c r="U26" i="16"/>
  <c r="D27" i="16" s="1"/>
  <c r="C26" i="16"/>
  <c r="G26" i="16"/>
  <c r="A26" i="16"/>
  <c r="AE23" i="16"/>
  <c r="I24" i="16"/>
  <c r="M24" i="16" s="1"/>
  <c r="AA24" i="16"/>
  <c r="AE24" i="16" s="1"/>
  <c r="AB25" i="16" l="1"/>
  <c r="AC25" i="16"/>
  <c r="B31" i="21"/>
  <c r="D31" i="21"/>
  <c r="E31" i="21" s="1"/>
  <c r="AC24" i="16"/>
  <c r="K25" i="16"/>
  <c r="K24" i="16"/>
  <c r="I26" i="16"/>
  <c r="M26" i="16" s="1"/>
  <c r="AA26" i="16"/>
  <c r="AD26" i="16" s="1"/>
  <c r="U27" i="16"/>
  <c r="D28" i="16" s="1"/>
  <c r="G27" i="16"/>
  <c r="A27" i="16"/>
  <c r="C27" i="16"/>
  <c r="AD25" i="16"/>
  <c r="AB24" i="16"/>
  <c r="AD24" i="16"/>
  <c r="F31" i="21" l="1"/>
  <c r="C32" i="21" s="1"/>
  <c r="AB26" i="16"/>
  <c r="AC26" i="16"/>
  <c r="K26" i="16"/>
  <c r="U28" i="16"/>
  <c r="D29" i="16" s="1"/>
  <c r="A28" i="16"/>
  <c r="G28" i="16"/>
  <c r="C28" i="16"/>
  <c r="I27" i="16"/>
  <c r="M27" i="16" s="1"/>
  <c r="AA27" i="16"/>
  <c r="AE27" i="16" s="1"/>
  <c r="AE26" i="16"/>
  <c r="B32" i="21" l="1"/>
  <c r="D32" i="21"/>
  <c r="E32" i="21" s="1"/>
  <c r="AD27" i="16"/>
  <c r="AC27" i="16"/>
  <c r="AB27" i="16"/>
  <c r="K27" i="16"/>
  <c r="AA28" i="16"/>
  <c r="AE28" i="16" s="1"/>
  <c r="I28" i="16"/>
  <c r="M28" i="16" s="1"/>
  <c r="U29" i="16"/>
  <c r="D30" i="16" s="1"/>
  <c r="A29" i="16"/>
  <c r="C29" i="16"/>
  <c r="G29" i="16"/>
  <c r="F32" i="21" l="1"/>
  <c r="C33" i="21" s="1"/>
  <c r="AD28" i="16"/>
  <c r="AC28" i="16"/>
  <c r="K28" i="16"/>
  <c r="AB28" i="16"/>
  <c r="U30" i="16"/>
  <c r="D31" i="16" s="1"/>
  <c r="G30" i="16"/>
  <c r="A30" i="16"/>
  <c r="C30" i="16"/>
  <c r="AA29" i="16"/>
  <c r="AD29" i="16" s="1"/>
  <c r="I29" i="16"/>
  <c r="M29" i="16" s="1"/>
  <c r="B33" i="21" l="1"/>
  <c r="D33" i="21"/>
  <c r="E33" i="21" s="1"/>
  <c r="AC29" i="16"/>
  <c r="AE29" i="16"/>
  <c r="K29" i="16"/>
  <c r="I30" i="16"/>
  <c r="M30" i="16" s="1"/>
  <c r="AA30" i="16"/>
  <c r="AE30" i="16" s="1"/>
  <c r="AB29" i="16"/>
  <c r="U31" i="16"/>
  <c r="D32" i="16" s="1"/>
  <c r="G31" i="16"/>
  <c r="A31" i="16"/>
  <c r="C31" i="16"/>
  <c r="C32" i="16" l="1"/>
  <c r="F33" i="21"/>
  <c r="C34" i="21" s="1"/>
  <c r="AB30" i="16"/>
  <c r="K30" i="16"/>
  <c r="AC30" i="16"/>
  <c r="AD30" i="16"/>
  <c r="AA31" i="16"/>
  <c r="AD31" i="16" s="1"/>
  <c r="I31" i="16"/>
  <c r="M31" i="16" s="1"/>
  <c r="U32" i="16"/>
  <c r="D33" i="16" s="1"/>
  <c r="G32" i="16"/>
  <c r="A32" i="16"/>
  <c r="D34" i="21" l="1"/>
  <c r="E34" i="21" s="1"/>
  <c r="B34" i="21"/>
  <c r="AB31" i="16"/>
  <c r="U33" i="16"/>
  <c r="D34" i="16" s="1"/>
  <c r="A33" i="16"/>
  <c r="C33" i="16"/>
  <c r="G33" i="16"/>
  <c r="K31" i="16"/>
  <c r="AE31" i="16"/>
  <c r="AC31" i="16"/>
  <c r="AA32" i="16"/>
  <c r="AD32" i="16" s="1"/>
  <c r="I32" i="16"/>
  <c r="M32" i="16" s="1"/>
  <c r="AE32" i="16" l="1"/>
  <c r="F34" i="21"/>
  <c r="C35" i="21" s="1"/>
  <c r="AB32" i="16"/>
  <c r="AC32" i="16"/>
  <c r="K32" i="16"/>
  <c r="G34" i="16"/>
  <c r="U34" i="16"/>
  <c r="D35" i="16" s="1"/>
  <c r="A34" i="16"/>
  <c r="C34" i="16"/>
  <c r="AA33" i="16"/>
  <c r="AE33" i="16" s="1"/>
  <c r="I33" i="16"/>
  <c r="M33" i="16" s="1"/>
  <c r="B35" i="21" l="1"/>
  <c r="D35" i="21"/>
  <c r="E35" i="21" s="1"/>
  <c r="AD33" i="16"/>
  <c r="K33" i="16"/>
  <c r="AB33" i="16"/>
  <c r="AC33" i="16"/>
  <c r="I34" i="16"/>
  <c r="M34" i="16" s="1"/>
  <c r="AA34" i="16"/>
  <c r="AE34" i="16" s="1"/>
  <c r="G35" i="16"/>
  <c r="U35" i="16"/>
  <c r="D36" i="16" s="1"/>
  <c r="C35" i="16"/>
  <c r="C36" i="16" s="1"/>
  <c r="A35" i="16"/>
  <c r="S35" i="16"/>
  <c r="F35" i="21" l="1"/>
  <c r="C36" i="21" s="1"/>
  <c r="AB34" i="16"/>
  <c r="G36" i="16"/>
  <c r="T36" i="16"/>
  <c r="U36" i="16"/>
  <c r="D37" i="16" s="1"/>
  <c r="S36" i="16"/>
  <c r="X36" i="16"/>
  <c r="A36" i="16"/>
  <c r="AD34" i="16"/>
  <c r="I35" i="16"/>
  <c r="M35" i="16" s="1"/>
  <c r="AA35" i="16"/>
  <c r="AD35" i="16" s="1"/>
  <c r="AC34" i="16"/>
  <c r="K34" i="16"/>
  <c r="D53" i="16"/>
  <c r="G53" i="16" s="1"/>
  <c r="I53" i="16" s="1"/>
  <c r="M53" i="16" s="1"/>
  <c r="B36" i="21" l="1"/>
  <c r="D36" i="21"/>
  <c r="E36" i="21" s="1"/>
  <c r="AC35" i="16"/>
  <c r="AB35" i="16"/>
  <c r="K35" i="16"/>
  <c r="I36" i="16"/>
  <c r="M36" i="16" s="1"/>
  <c r="AA36" i="16"/>
  <c r="AE36" i="16" s="1"/>
  <c r="AE35" i="16"/>
  <c r="G37" i="16"/>
  <c r="T37" i="16"/>
  <c r="A37" i="16"/>
  <c r="U37" i="16"/>
  <c r="D38" i="16" s="1"/>
  <c r="X37" i="16"/>
  <c r="C37" i="16"/>
  <c r="S37" i="16"/>
  <c r="C53" i="16"/>
  <c r="A53" i="16"/>
  <c r="S53" i="16"/>
  <c r="X53" i="16"/>
  <c r="T53" i="16"/>
  <c r="F36" i="21" l="1"/>
  <c r="C37" i="21" s="1"/>
  <c r="K36" i="16"/>
  <c r="I37" i="16"/>
  <c r="M37" i="16" s="1"/>
  <c r="AA37" i="16"/>
  <c r="AE37" i="16" s="1"/>
  <c r="AD36" i="16"/>
  <c r="G38" i="16"/>
  <c r="U38" i="16"/>
  <c r="D39" i="16" s="1"/>
  <c r="C38" i="16"/>
  <c r="T38" i="16"/>
  <c r="S38" i="16"/>
  <c r="X38" i="16"/>
  <c r="A38" i="16"/>
  <c r="AC36" i="16"/>
  <c r="AB36" i="16"/>
  <c r="AA53" i="16"/>
  <c r="AD53" i="16" s="1"/>
  <c r="B37" i="21" l="1"/>
  <c r="D37" i="21"/>
  <c r="E37" i="21" s="1"/>
  <c r="AD37" i="16"/>
  <c r="S39" i="16"/>
  <c r="A39" i="16"/>
  <c r="C39" i="16"/>
  <c r="G39" i="16"/>
  <c r="X39" i="16"/>
  <c r="U39" i="16"/>
  <c r="D40" i="16" s="1"/>
  <c r="T39" i="16"/>
  <c r="K37" i="16"/>
  <c r="I38" i="16"/>
  <c r="M38" i="16" s="1"/>
  <c r="AA38" i="16"/>
  <c r="AD38" i="16" s="1"/>
  <c r="AC37" i="16"/>
  <c r="AB37" i="16"/>
  <c r="K53" i="16"/>
  <c r="AC53" i="16"/>
  <c r="AB53" i="16"/>
  <c r="AE53" i="16"/>
  <c r="C17" i="11"/>
  <c r="AC38" i="16" l="1"/>
  <c r="F37" i="21"/>
  <c r="C38" i="21" s="1"/>
  <c r="K38" i="16"/>
  <c r="AE38" i="16"/>
  <c r="AB38" i="16"/>
  <c r="I39" i="16"/>
  <c r="M39" i="16" s="1"/>
  <c r="AA39" i="16"/>
  <c r="AD39" i="16" s="1"/>
  <c r="G40" i="16"/>
  <c r="C40" i="16"/>
  <c r="S40" i="16"/>
  <c r="X40" i="16"/>
  <c r="U40" i="16"/>
  <c r="D41" i="16" s="1"/>
  <c r="A40" i="16"/>
  <c r="T40" i="16"/>
  <c r="D38" i="21" l="1"/>
  <c r="E38" i="21" s="1"/>
  <c r="B38" i="21"/>
  <c r="K39" i="16"/>
  <c r="AC39" i="16"/>
  <c r="AB39" i="16"/>
  <c r="C41" i="16"/>
  <c r="A41" i="16"/>
  <c r="S41" i="16"/>
  <c r="X41" i="16"/>
  <c r="G41" i="16"/>
  <c r="T41" i="16"/>
  <c r="U41" i="16"/>
  <c r="D42" i="16" s="1"/>
  <c r="I40" i="16"/>
  <c r="M40" i="16" s="1"/>
  <c r="AA40" i="16"/>
  <c r="AD40" i="16" s="1"/>
  <c r="AE39" i="16"/>
  <c r="F38" i="21" l="1"/>
  <c r="C39" i="21" s="1"/>
  <c r="AB40" i="16"/>
  <c r="AC40" i="16"/>
  <c r="AE40" i="16"/>
  <c r="A42" i="16"/>
  <c r="X42" i="16"/>
  <c r="C42" i="16"/>
  <c r="U42" i="16"/>
  <c r="D43" i="16" s="1"/>
  <c r="S42" i="16"/>
  <c r="G42" i="16"/>
  <c r="T42" i="16"/>
  <c r="K40" i="16"/>
  <c r="I41" i="16"/>
  <c r="M41" i="16" s="1"/>
  <c r="AA41" i="16"/>
  <c r="AD41" i="16" s="1"/>
  <c r="C3" i="13"/>
  <c r="C4" i="13"/>
  <c r="AE41" i="16" l="1"/>
  <c r="B39" i="21"/>
  <c r="D39" i="21"/>
  <c r="E39" i="21" s="1"/>
  <c r="AB41" i="16"/>
  <c r="AC41" i="16"/>
  <c r="K41" i="16"/>
  <c r="I42" i="16"/>
  <c r="M42" i="16" s="1"/>
  <c r="AA42" i="16"/>
  <c r="AE42" i="16" s="1"/>
  <c r="U43" i="16"/>
  <c r="D44" i="16" s="1"/>
  <c r="C43" i="16"/>
  <c r="S43" i="16"/>
  <c r="X43" i="16"/>
  <c r="A43" i="16"/>
  <c r="G43" i="16"/>
  <c r="T43" i="16"/>
  <c r="T70" i="12"/>
  <c r="S70" i="12"/>
  <c r="R70" i="12"/>
  <c r="L70" i="12"/>
  <c r="C22" i="12"/>
  <c r="M12" i="12"/>
  <c r="F39" i="21" l="1"/>
  <c r="C40" i="21" s="1"/>
  <c r="AD42" i="16"/>
  <c r="I43" i="16"/>
  <c r="M43" i="16" s="1"/>
  <c r="AA43" i="16"/>
  <c r="AD43" i="16" s="1"/>
  <c r="AC42" i="16"/>
  <c r="AB42" i="16"/>
  <c r="U44" i="16"/>
  <c r="D45" i="16" s="1"/>
  <c r="T44" i="16"/>
  <c r="G44" i="16"/>
  <c r="X44" i="16"/>
  <c r="A44" i="16"/>
  <c r="C44" i="16"/>
  <c r="S44" i="16"/>
  <c r="K42" i="16"/>
  <c r="J16" i="12"/>
  <c r="L22" i="12" s="1"/>
  <c r="S22" i="12"/>
  <c r="R22" i="12"/>
  <c r="F22" i="12"/>
  <c r="F29" i="7"/>
  <c r="G28" i="7"/>
  <c r="B40" i="21" l="1"/>
  <c r="D40" i="21"/>
  <c r="E40" i="21" s="1"/>
  <c r="AE43" i="16"/>
  <c r="AB43" i="16"/>
  <c r="G45" i="16"/>
  <c r="U45" i="16"/>
  <c r="D46" i="16" s="1"/>
  <c r="X45" i="16"/>
  <c r="S45" i="16"/>
  <c r="C45" i="16"/>
  <c r="A45" i="16"/>
  <c r="T45" i="16"/>
  <c r="I44" i="16"/>
  <c r="M44" i="16" s="1"/>
  <c r="AA44" i="16"/>
  <c r="AD44" i="16" s="1"/>
  <c r="AC43" i="16"/>
  <c r="K43" i="16"/>
  <c r="L23" i="12"/>
  <c r="W22" i="12"/>
  <c r="L25" i="12"/>
  <c r="L24" i="12"/>
  <c r="L27" i="12"/>
  <c r="L26" i="12"/>
  <c r="H22" i="12"/>
  <c r="J22" i="12" s="1"/>
  <c r="G25" i="7"/>
  <c r="G23" i="7"/>
  <c r="G19" i="7"/>
  <c r="G11" i="7"/>
  <c r="G6" i="7"/>
  <c r="K44" i="16" l="1"/>
  <c r="F40" i="21"/>
  <c r="C41" i="21" s="1"/>
  <c r="AC44" i="16"/>
  <c r="AB44" i="16"/>
  <c r="AE44" i="16"/>
  <c r="A46" i="16"/>
  <c r="S46" i="16"/>
  <c r="C46" i="16"/>
  <c r="U46" i="16"/>
  <c r="D47" i="16" s="1"/>
  <c r="T46" i="16"/>
  <c r="X46" i="16"/>
  <c r="G46" i="16"/>
  <c r="I45" i="16"/>
  <c r="M45" i="16" s="1"/>
  <c r="AA45" i="16"/>
  <c r="AD45" i="16" s="1"/>
  <c r="O22" i="12"/>
  <c r="T22" i="12" s="1"/>
  <c r="C23" i="12" s="1"/>
  <c r="B23" i="12" s="1"/>
  <c r="G29" i="7"/>
  <c r="E29" i="7"/>
  <c r="C27" i="7"/>
  <c r="D27" i="7" s="1"/>
  <c r="C26" i="7"/>
  <c r="D26" i="7" s="1"/>
  <c r="C22" i="7"/>
  <c r="D22" i="7" s="1"/>
  <c r="B41" i="21" l="1"/>
  <c r="D41" i="21"/>
  <c r="E41" i="21" s="1"/>
  <c r="AE45" i="16"/>
  <c r="K45" i="16"/>
  <c r="AB45" i="16"/>
  <c r="I46" i="16"/>
  <c r="M46" i="16" s="1"/>
  <c r="AA46" i="16"/>
  <c r="AE46" i="16" s="1"/>
  <c r="AC45" i="16"/>
  <c r="G47" i="16"/>
  <c r="X47" i="16"/>
  <c r="T47" i="16"/>
  <c r="S47" i="16"/>
  <c r="U47" i="16"/>
  <c r="D48" i="16" s="1"/>
  <c r="A47" i="16"/>
  <c r="C47" i="16"/>
  <c r="S23" i="12"/>
  <c r="R23" i="12"/>
  <c r="F23" i="12"/>
  <c r="H23" i="12" s="1"/>
  <c r="J23" i="12" s="1"/>
  <c r="W23" i="12"/>
  <c r="C21" i="7"/>
  <c r="D21" i="7" s="1"/>
  <c r="F41" i="21" l="1"/>
  <c r="C42" i="21" s="1"/>
  <c r="AB46" i="16"/>
  <c r="AD46" i="16"/>
  <c r="K46" i="16"/>
  <c r="AC46" i="16"/>
  <c r="G48" i="16"/>
  <c r="U48" i="16"/>
  <c r="D49" i="16" s="1"/>
  <c r="S48" i="16"/>
  <c r="X48" i="16"/>
  <c r="A48" i="16"/>
  <c r="C48" i="16"/>
  <c r="T48" i="16"/>
  <c r="I47" i="16"/>
  <c r="M47" i="16" s="1"/>
  <c r="AA47" i="16"/>
  <c r="AE47" i="16" s="1"/>
  <c r="AD47" i="16"/>
  <c r="O23" i="12"/>
  <c r="T23" i="12" s="1"/>
  <c r="C24" i="12" s="1"/>
  <c r="B24" i="12" s="1"/>
  <c r="C18" i="7"/>
  <c r="D18" i="7" s="1"/>
  <c r="C17" i="7"/>
  <c r="D17" i="7" s="1"/>
  <c r="D42" i="21" l="1"/>
  <c r="E42" i="21" s="1"/>
  <c r="B42" i="21"/>
  <c r="AC47" i="16"/>
  <c r="AB47" i="16"/>
  <c r="K47" i="16"/>
  <c r="G49" i="16"/>
  <c r="U49" i="16"/>
  <c r="D50" i="16" s="1"/>
  <c r="C49" i="16"/>
  <c r="X49" i="16"/>
  <c r="T49" i="16"/>
  <c r="S49" i="16"/>
  <c r="A49" i="16"/>
  <c r="I48" i="16"/>
  <c r="M48" i="16" s="1"/>
  <c r="AA48" i="16"/>
  <c r="AD48" i="16" s="1"/>
  <c r="F24" i="12"/>
  <c r="H24" i="12" s="1"/>
  <c r="J24" i="12" s="1"/>
  <c r="R24" i="12"/>
  <c r="W24" i="12"/>
  <c r="S24" i="12"/>
  <c r="C15" i="7"/>
  <c r="D15" i="7" s="1"/>
  <c r="C10" i="7"/>
  <c r="D10" i="7" s="1"/>
  <c r="F42" i="21" l="1"/>
  <c r="C43" i="21" s="1"/>
  <c r="K48" i="16"/>
  <c r="AC48" i="16"/>
  <c r="AB48" i="16"/>
  <c r="AE48" i="16"/>
  <c r="G50" i="16"/>
  <c r="U50" i="16"/>
  <c r="D51" i="16" s="1"/>
  <c r="S50" i="16"/>
  <c r="A50" i="16"/>
  <c r="X50" i="16"/>
  <c r="C50" i="16"/>
  <c r="T50" i="16"/>
  <c r="I49" i="16"/>
  <c r="M49" i="16" s="1"/>
  <c r="AA49" i="16"/>
  <c r="AE49" i="16" s="1"/>
  <c r="O24" i="12"/>
  <c r="T24" i="12" s="1"/>
  <c r="C25" i="12" s="1"/>
  <c r="B25" i="12" s="1"/>
  <c r="J96" i="2"/>
  <c r="D43" i="21" l="1"/>
  <c r="E43" i="21" s="1"/>
  <c r="B43" i="21"/>
  <c r="AC49" i="16"/>
  <c r="K49" i="16"/>
  <c r="AD49" i="16"/>
  <c r="AB49" i="16"/>
  <c r="A51" i="16"/>
  <c r="T51" i="16"/>
  <c r="C51" i="16"/>
  <c r="S51" i="16"/>
  <c r="U51" i="16"/>
  <c r="D52" i="16" s="1"/>
  <c r="G51" i="16"/>
  <c r="X51" i="16"/>
  <c r="I50" i="16"/>
  <c r="M50" i="16" s="1"/>
  <c r="AA50" i="16"/>
  <c r="AE50" i="16" s="1"/>
  <c r="R25" i="12"/>
  <c r="F25" i="12"/>
  <c r="H25" i="12" s="1"/>
  <c r="J25" i="12" s="1"/>
  <c r="O25" i="12" s="1"/>
  <c r="T25" i="12" s="1"/>
  <c r="C26" i="12" s="1"/>
  <c r="B26" i="12" s="1"/>
  <c r="W25" i="12"/>
  <c r="S25" i="12"/>
  <c r="C28" i="7"/>
  <c r="D28" i="7" s="1"/>
  <c r="C2" i="7"/>
  <c r="C25" i="7"/>
  <c r="D25" i="7" s="1"/>
  <c r="J15" i="8"/>
  <c r="I15" i="8"/>
  <c r="C23" i="7"/>
  <c r="D23" i="7" s="1"/>
  <c r="C20" i="7"/>
  <c r="D20" i="7" s="1"/>
  <c r="C19" i="7"/>
  <c r="D19" i="7" s="1"/>
  <c r="C14" i="7"/>
  <c r="D14" i="7" s="1"/>
  <c r="C13" i="7"/>
  <c r="D13" i="7" s="1"/>
  <c r="C12" i="7"/>
  <c r="D12" i="7" s="1"/>
  <c r="C11" i="7"/>
  <c r="D11" i="7" s="1"/>
  <c r="C9" i="7"/>
  <c r="D9" i="7" s="1"/>
  <c r="C8" i="7"/>
  <c r="D8" i="7" s="1"/>
  <c r="C7" i="7"/>
  <c r="D7" i="7" s="1"/>
  <c r="C6" i="7"/>
  <c r="D6" i="7" s="1"/>
  <c r="C5" i="7"/>
  <c r="D5" i="7" s="1"/>
  <c r="C4" i="7"/>
  <c r="D4" i="7" s="1"/>
  <c r="CI28" i="5"/>
  <c r="V41" i="5"/>
  <c r="AO41" i="5" s="1"/>
  <c r="CI29" i="5"/>
  <c r="V33" i="5"/>
  <c r="AO33" i="5" s="1"/>
  <c r="V35" i="5"/>
  <c r="AO35" i="5" s="1"/>
  <c r="V31" i="5"/>
  <c r="AO31" i="5" s="1"/>
  <c r="V12" i="5"/>
  <c r="AO12" i="5" s="1"/>
  <c r="F43" i="21" l="1"/>
  <c r="C44" i="21" s="1"/>
  <c r="K50" i="16"/>
  <c r="AC50" i="16"/>
  <c r="AB50" i="16"/>
  <c r="AD50" i="16"/>
  <c r="G52" i="16"/>
  <c r="X52" i="16"/>
  <c r="A52" i="16"/>
  <c r="C52" i="16"/>
  <c r="T52" i="16"/>
  <c r="S52" i="16"/>
  <c r="I51" i="16"/>
  <c r="M51" i="16" s="1"/>
  <c r="AA51" i="16"/>
  <c r="AD51" i="16" s="1"/>
  <c r="S26" i="12"/>
  <c r="R26" i="12"/>
  <c r="W26" i="12"/>
  <c r="F26" i="12"/>
  <c r="CK50" i="5"/>
  <c r="CK49" i="5"/>
  <c r="CK48" i="5"/>
  <c r="CK47" i="5"/>
  <c r="CK46" i="5"/>
  <c r="CH50" i="5"/>
  <c r="CH49" i="5"/>
  <c r="CH48" i="5"/>
  <c r="CH47" i="5"/>
  <c r="CH46" i="5"/>
  <c r="D44" i="21" l="1"/>
  <c r="E44" i="21" s="1"/>
  <c r="B44" i="21"/>
  <c r="AB51" i="16"/>
  <c r="AC51" i="16"/>
  <c r="AE51" i="16"/>
  <c r="K51" i="16"/>
  <c r="I52" i="16"/>
  <c r="M52" i="16" s="1"/>
  <c r="AA52" i="16"/>
  <c r="AD52" i="16" s="1"/>
  <c r="AB9" i="16" s="1"/>
  <c r="H26" i="12"/>
  <c r="J26" i="12" s="1"/>
  <c r="O26" i="12" s="1"/>
  <c r="T26" i="12" s="1"/>
  <c r="C27" i="12" s="1"/>
  <c r="B27" i="12" s="1"/>
  <c r="CH51" i="5"/>
  <c r="CK51" i="5"/>
  <c r="CH52" i="5" s="1"/>
  <c r="D24" i="3"/>
  <c r="L18" i="3"/>
  <c r="L17" i="3"/>
  <c r="F44" i="21" l="1"/>
  <c r="C45" i="21" s="1"/>
  <c r="D14" i="3"/>
  <c r="AB52" i="16"/>
  <c r="AE52" i="16"/>
  <c r="AC52" i="16"/>
  <c r="K52" i="16"/>
  <c r="W27" i="12"/>
  <c r="F27" i="12"/>
  <c r="S27" i="12"/>
  <c r="R27" i="12"/>
  <c r="V37" i="5"/>
  <c r="AO37" i="5" s="1"/>
  <c r="V36" i="5"/>
  <c r="AO36" i="5" s="1"/>
  <c r="B45" i="21" l="1"/>
  <c r="D45" i="21"/>
  <c r="E45" i="21" s="1"/>
  <c r="H27" i="12"/>
  <c r="J27" i="12" s="1"/>
  <c r="O27" i="12" s="1"/>
  <c r="T27" i="12" s="1"/>
  <c r="C28" i="12" s="1"/>
  <c r="B28" i="12" s="1"/>
  <c r="BR22" i="5"/>
  <c r="V40" i="5"/>
  <c r="AO40" i="5" s="1"/>
  <c r="V39" i="5"/>
  <c r="AO39" i="5" s="1"/>
  <c r="V38" i="5"/>
  <c r="AO38" i="5" s="1"/>
  <c r="V34" i="5"/>
  <c r="AO34" i="5" s="1"/>
  <c r="F45" i="21" l="1"/>
  <c r="C46" i="21" s="1"/>
  <c r="R28" i="12"/>
  <c r="W28" i="12"/>
  <c r="F28" i="12"/>
  <c r="S28" i="12"/>
  <c r="L28" i="12"/>
  <c r="BO25" i="5"/>
  <c r="CN16" i="5"/>
  <c r="CT16" i="5" s="1"/>
  <c r="G115" i="2"/>
  <c r="G96" i="2"/>
  <c r="G94" i="2"/>
  <c r="D46" i="21" l="1"/>
  <c r="E46" i="21" s="1"/>
  <c r="B46" i="21"/>
  <c r="H28" i="12"/>
  <c r="J28" i="12" s="1"/>
  <c r="O28" i="12" s="1"/>
  <c r="T28" i="12" s="1"/>
  <c r="C29" i="12" s="1"/>
  <c r="B29" i="12" s="1"/>
  <c r="V32" i="5"/>
  <c r="F63" i="2"/>
  <c r="D67" i="2" s="1"/>
  <c r="F46" i="21" l="1"/>
  <c r="C47" i="21" s="1"/>
  <c r="S29" i="12"/>
  <c r="R29" i="12"/>
  <c r="W29" i="12"/>
  <c r="F29" i="12"/>
  <c r="AO32" i="5"/>
  <c r="BO24" i="5" s="1"/>
  <c r="V30" i="5"/>
  <c r="AO30" i="5" s="1"/>
  <c r="V29" i="5"/>
  <c r="AO29" i="5" s="1"/>
  <c r="V28" i="5"/>
  <c r="AO28" i="5" s="1"/>
  <c r="V27" i="5"/>
  <c r="AO27" i="5" s="1"/>
  <c r="V26" i="5"/>
  <c r="AO26" i="5" s="1"/>
  <c r="V25" i="5"/>
  <c r="AO25" i="5" s="1"/>
  <c r="V24" i="5"/>
  <c r="AO24" i="5" s="1"/>
  <c r="V22" i="5"/>
  <c r="AO22" i="5" s="1"/>
  <c r="V21" i="5"/>
  <c r="AO21" i="5" s="1"/>
  <c r="E32" i="2"/>
  <c r="I51" i="2" s="1"/>
  <c r="I53" i="5"/>
  <c r="M53" i="5" s="1"/>
  <c r="V20" i="5"/>
  <c r="AO20" i="5" s="1"/>
  <c r="V19" i="5"/>
  <c r="AO19" i="5" s="1"/>
  <c r="V18" i="5"/>
  <c r="AO18" i="5" s="1"/>
  <c r="B47" i="21" l="1"/>
  <c r="D47" i="21"/>
  <c r="E47" i="21" s="1"/>
  <c r="H29" i="12"/>
  <c r="L29" i="12" s="1"/>
  <c r="K51" i="2"/>
  <c r="C16" i="7" s="1"/>
  <c r="D16" i="7" s="1"/>
  <c r="H69" i="2"/>
  <c r="I64" i="2"/>
  <c r="CN15" i="5"/>
  <c r="CT15" i="5" s="1"/>
  <c r="CN14" i="5"/>
  <c r="CT14" i="5" s="1"/>
  <c r="V17" i="5"/>
  <c r="AO17" i="5" s="1"/>
  <c r="V16" i="5"/>
  <c r="AO16" i="5" s="1"/>
  <c r="V15" i="5"/>
  <c r="AO15" i="5" s="1"/>
  <c r="V14" i="5"/>
  <c r="AO14" i="5" s="1"/>
  <c r="V13" i="5"/>
  <c r="AO13" i="5" s="1"/>
  <c r="V11" i="5"/>
  <c r="AO11" i="5" s="1"/>
  <c r="V10" i="5"/>
  <c r="AO10" i="5" s="1"/>
  <c r="BF16" i="5"/>
  <c r="F47" i="21" l="1"/>
  <c r="C48" i="21" s="1"/>
  <c r="J29" i="12"/>
  <c r="O29" i="12" s="1"/>
  <c r="T29" i="12" s="1"/>
  <c r="C30" i="12" s="1"/>
  <c r="B30" i="12" s="1"/>
  <c r="H71" i="2"/>
  <c r="F67" i="2"/>
  <c r="I71" i="2" s="1"/>
  <c r="BO23" i="5"/>
  <c r="CA22" i="5" s="1"/>
  <c r="BF14" i="5" s="1"/>
  <c r="CN13" i="5"/>
  <c r="CT13" i="5" s="1"/>
  <c r="CN11" i="5"/>
  <c r="B48" i="21" l="1"/>
  <c r="D48" i="21"/>
  <c r="E48" i="21" s="1"/>
  <c r="W30" i="12"/>
  <c r="S30" i="12"/>
  <c r="R30" i="12"/>
  <c r="F30" i="12"/>
  <c r="BF18" i="5"/>
  <c r="C4" i="2" s="1"/>
  <c r="A3" i="2"/>
  <c r="C24" i="7"/>
  <c r="D24" i="7" s="1"/>
  <c r="CT11" i="5"/>
  <c r="CX16" i="5" s="1"/>
  <c r="CN17" i="5"/>
  <c r="BF17" i="5"/>
  <c r="C3" i="2" s="1"/>
  <c r="F48" i="21" l="1"/>
  <c r="C49" i="21" s="1"/>
  <c r="H30" i="12"/>
  <c r="L30" i="12" s="1"/>
  <c r="D30" i="7"/>
  <c r="CX15" i="5"/>
  <c r="CN21" i="5"/>
  <c r="CN20" i="5"/>
  <c r="CN19" i="5"/>
  <c r="CN18" i="5"/>
  <c r="B49" i="21" l="1"/>
  <c r="D49" i="21"/>
  <c r="E49" i="21" s="1"/>
  <c r="J30" i="12"/>
  <c r="O30" i="12" s="1"/>
  <c r="T30" i="12" s="1"/>
  <c r="C31" i="12" s="1"/>
  <c r="B31" i="12" s="1"/>
  <c r="I6" i="7"/>
  <c r="F49" i="21" l="1"/>
  <c r="C50" i="21" s="1"/>
  <c r="W31" i="12"/>
  <c r="F31" i="12"/>
  <c r="S31" i="12"/>
  <c r="R31" i="12"/>
  <c r="I3" i="2"/>
  <c r="K3" i="2" s="1"/>
  <c r="I9" i="7"/>
  <c r="I10" i="7"/>
  <c r="B50" i="21" l="1"/>
  <c r="D50" i="21"/>
  <c r="E50" i="21" s="1"/>
  <c r="H31" i="12"/>
  <c r="L31" i="12" s="1"/>
  <c r="F50" i="21" l="1"/>
  <c r="C51" i="21" s="1"/>
  <c r="J31" i="12"/>
  <c r="O31" i="12" s="1"/>
  <c r="T31" i="12" s="1"/>
  <c r="C32" i="12" s="1"/>
  <c r="B32" i="12" s="1"/>
  <c r="D51" i="21" l="1"/>
  <c r="E51" i="21" s="1"/>
  <c r="B51" i="21"/>
  <c r="R32" i="12"/>
  <c r="W32" i="12"/>
  <c r="F32" i="12"/>
  <c r="S32" i="12"/>
  <c r="F51" i="21" l="1"/>
  <c r="C52" i="21" s="1"/>
  <c r="H32" i="12"/>
  <c r="L32" i="12" s="1"/>
  <c r="B52" i="21" l="1"/>
  <c r="D52" i="21"/>
  <c r="E52" i="21" s="1"/>
  <c r="J32" i="12"/>
  <c r="O32" i="12" s="1"/>
  <c r="T32" i="12" s="1"/>
  <c r="C33" i="12" s="1"/>
  <c r="B33" i="12" s="1"/>
  <c r="F52" i="21" l="1"/>
  <c r="C53" i="21" s="1"/>
  <c r="S33" i="12"/>
  <c r="R33" i="12"/>
  <c r="W33" i="12"/>
  <c r="F33" i="12"/>
  <c r="D53" i="21" l="1"/>
  <c r="E53" i="21" s="1"/>
  <c r="B53" i="21"/>
  <c r="H33" i="12"/>
  <c r="L33" i="12" s="1"/>
  <c r="F53" i="21" l="1"/>
  <c r="C54" i="21" s="1"/>
  <c r="J33" i="12"/>
  <c r="O33" i="12" s="1"/>
  <c r="T33" i="12" s="1"/>
  <c r="C34" i="12" s="1"/>
  <c r="B34" i="12" s="1"/>
  <c r="D54" i="21" l="1"/>
  <c r="E54" i="21" s="1"/>
  <c r="B54" i="21"/>
  <c r="F34" i="12"/>
  <c r="S34" i="12"/>
  <c r="R34" i="12"/>
  <c r="W34" i="12"/>
  <c r="F54" i="21" l="1"/>
  <c r="C55" i="21" s="1"/>
  <c r="H34" i="12"/>
  <c r="L34" i="12" s="1"/>
  <c r="B55" i="21" l="1"/>
  <c r="D55" i="21"/>
  <c r="E55" i="21" s="1"/>
  <c r="J34" i="12"/>
  <c r="O34" i="12" s="1"/>
  <c r="T34" i="12" s="1"/>
  <c r="C35" i="12" s="1"/>
  <c r="B35" i="12" s="1"/>
  <c r="F55" i="21" l="1"/>
  <c r="C56" i="21" s="1"/>
  <c r="W35" i="12"/>
  <c r="F35" i="12"/>
  <c r="R35" i="12"/>
  <c r="S35" i="12"/>
  <c r="D56" i="21" l="1"/>
  <c r="E56" i="21" s="1"/>
  <c r="B56" i="21"/>
  <c r="H35" i="12"/>
  <c r="L35" i="12" s="1"/>
  <c r="F56" i="21" l="1"/>
  <c r="C57" i="21" s="1"/>
  <c r="J35" i="12"/>
  <c r="O35" i="12" s="1"/>
  <c r="T35" i="12" s="1"/>
  <c r="C36" i="12" s="1"/>
  <c r="B36" i="12" s="1"/>
  <c r="B57" i="21" l="1"/>
  <c r="D57" i="21"/>
  <c r="E57" i="21" s="1"/>
  <c r="R36" i="12"/>
  <c r="S36" i="12"/>
  <c r="W36" i="12"/>
  <c r="F36" i="12"/>
  <c r="F57" i="21" l="1"/>
  <c r="C58" i="21" s="1"/>
  <c r="H36" i="12"/>
  <c r="L36" i="12" s="1"/>
  <c r="B58" i="21" l="1"/>
  <c r="D58" i="21"/>
  <c r="E58" i="21" s="1"/>
  <c r="J36" i="12"/>
  <c r="O36" i="12" s="1"/>
  <c r="T36" i="12" s="1"/>
  <c r="C37" i="12" s="1"/>
  <c r="B37" i="12" s="1"/>
  <c r="F58" i="21" l="1"/>
  <c r="C59" i="21" s="1"/>
  <c r="S37" i="12"/>
  <c r="R37" i="12"/>
  <c r="W37" i="12"/>
  <c r="F37" i="12"/>
  <c r="B59" i="21" l="1"/>
  <c r="D59" i="21"/>
  <c r="E59" i="21" s="1"/>
  <c r="H37" i="12"/>
  <c r="L37" i="12" s="1"/>
  <c r="F59" i="21" l="1"/>
  <c r="C60" i="21" s="1"/>
  <c r="J37" i="12"/>
  <c r="O37" i="12" s="1"/>
  <c r="T37" i="12" s="1"/>
  <c r="C38" i="12" s="1"/>
  <c r="B38" i="12" s="1"/>
  <c r="B60" i="21" l="1"/>
  <c r="D60" i="21"/>
  <c r="E60" i="21" s="1"/>
  <c r="S38" i="12"/>
  <c r="R38" i="12"/>
  <c r="W38" i="12"/>
  <c r="F38" i="12"/>
  <c r="F60" i="21" l="1"/>
  <c r="C61" i="21" s="1"/>
  <c r="H38" i="12"/>
  <c r="L38" i="12" s="1"/>
  <c r="D61" i="21" l="1"/>
  <c r="E61" i="21" s="1"/>
  <c r="B61" i="21"/>
  <c r="J38" i="12"/>
  <c r="O38" i="12" s="1"/>
  <c r="T38" i="12" s="1"/>
  <c r="C39" i="12" s="1"/>
  <c r="B39" i="12" s="1"/>
  <c r="F61" i="21" l="1"/>
  <c r="C62" i="21" s="1"/>
  <c r="F39" i="12"/>
  <c r="H39" i="12" s="1"/>
  <c r="L39" i="12" s="1"/>
  <c r="R39" i="12"/>
  <c r="S39" i="12"/>
  <c r="W39" i="12"/>
  <c r="B62" i="21" l="1"/>
  <c r="D62" i="21"/>
  <c r="E62" i="21" s="1"/>
  <c r="J39" i="12"/>
  <c r="O39" i="12" s="1"/>
  <c r="T39" i="12" s="1"/>
  <c r="C40" i="12" s="1"/>
  <c r="B40" i="12" s="1"/>
  <c r="F62" i="21" l="1"/>
  <c r="C63" i="21" s="1"/>
  <c r="S40" i="12"/>
  <c r="R40" i="12"/>
  <c r="W40" i="12"/>
  <c r="F40" i="12"/>
  <c r="B63" i="21" l="1"/>
  <c r="D63" i="21"/>
  <c r="E63" i="21" s="1"/>
  <c r="H40" i="12"/>
  <c r="L40" i="12" s="1"/>
  <c r="F63" i="21" l="1"/>
  <c r="C64" i="21" s="1"/>
  <c r="J40" i="12"/>
  <c r="O40" i="12" s="1"/>
  <c r="T40" i="12" s="1"/>
  <c r="C41" i="12" s="1"/>
  <c r="B41" i="12" s="1"/>
  <c r="D64" i="21" l="1"/>
  <c r="E64" i="21" s="1"/>
  <c r="B64" i="21"/>
  <c r="W41" i="12"/>
  <c r="R41" i="12"/>
  <c r="F41" i="12"/>
  <c r="S41" i="12"/>
  <c r="F64" i="21" l="1"/>
  <c r="C65" i="21" s="1"/>
  <c r="H41" i="12"/>
  <c r="L41" i="12" s="1"/>
  <c r="D65" i="21" l="1"/>
  <c r="E65" i="21" s="1"/>
  <c r="B65" i="21"/>
  <c r="J41" i="12"/>
  <c r="O41" i="12" s="1"/>
  <c r="T41" i="12" s="1"/>
  <c r="C42" i="12" s="1"/>
  <c r="B42" i="12" s="1"/>
  <c r="F65" i="21" l="1"/>
  <c r="C66" i="21" s="1"/>
  <c r="R42" i="12"/>
  <c r="S42" i="12"/>
  <c r="W42" i="12"/>
  <c r="F42" i="12"/>
  <c r="H42" i="12" s="1"/>
  <c r="L42" i="12" s="1"/>
  <c r="D66" i="21" l="1"/>
  <c r="E66" i="21" s="1"/>
  <c r="B66" i="21"/>
  <c r="J42" i="12"/>
  <c r="O42" i="12" s="1"/>
  <c r="T42" i="12" s="1"/>
  <c r="C43" i="12" s="1"/>
  <c r="B43" i="12" s="1"/>
  <c r="F66" i="21" l="1"/>
  <c r="C67" i="21" s="1"/>
  <c r="S43" i="12"/>
  <c r="R43" i="12"/>
  <c r="W43" i="12"/>
  <c r="F43" i="12"/>
  <c r="D67" i="21" l="1"/>
  <c r="E67" i="21" s="1"/>
  <c r="B67" i="21"/>
  <c r="H43" i="12"/>
  <c r="L43" i="12" s="1"/>
  <c r="F67" i="21" l="1"/>
  <c r="C68" i="21" s="1"/>
  <c r="J43" i="12"/>
  <c r="O43" i="12" s="1"/>
  <c r="T43" i="12" s="1"/>
  <c r="C44" i="12" s="1"/>
  <c r="B44" i="12" s="1"/>
  <c r="B68" i="21" l="1"/>
  <c r="D68" i="21"/>
  <c r="E68" i="21" s="1"/>
  <c r="S44" i="12"/>
  <c r="R44" i="12"/>
  <c r="W44" i="12"/>
  <c r="F44" i="12"/>
  <c r="F68" i="21" l="1"/>
  <c r="C69" i="21" s="1"/>
  <c r="H44" i="12"/>
  <c r="L44" i="12" s="1"/>
  <c r="D69" i="21" l="1"/>
  <c r="E69" i="21" s="1"/>
  <c r="B69" i="21"/>
  <c r="J44" i="12"/>
  <c r="O44" i="12" s="1"/>
  <c r="T44" i="12" s="1"/>
  <c r="C45" i="12" s="1"/>
  <c r="B45" i="12" s="1"/>
  <c r="F69" i="21" l="1"/>
  <c r="C70" i="21" s="1"/>
  <c r="W45" i="12"/>
  <c r="R45" i="12"/>
  <c r="S45" i="12"/>
  <c r="F45" i="12"/>
  <c r="H45" i="12" s="1"/>
  <c r="L45" i="12" s="1"/>
  <c r="B70" i="21" l="1"/>
  <c r="D70" i="21"/>
  <c r="E70" i="21" s="1"/>
  <c r="J45" i="12"/>
  <c r="O45" i="12" s="1"/>
  <c r="T45" i="12" s="1"/>
  <c r="C46" i="12" s="1"/>
  <c r="B46" i="12" s="1"/>
  <c r="F70" i="21" l="1"/>
  <c r="C71" i="21" s="1"/>
  <c r="F46" i="12"/>
  <c r="H46" i="12" s="1"/>
  <c r="L46" i="12" s="1"/>
  <c r="S46" i="12"/>
  <c r="R46" i="12"/>
  <c r="W46" i="12"/>
  <c r="B71" i="21" l="1"/>
  <c r="D71" i="21"/>
  <c r="E71" i="21" s="1"/>
  <c r="J46" i="12"/>
  <c r="O46" i="12" s="1"/>
  <c r="T46" i="12" s="1"/>
  <c r="C47" i="12" s="1"/>
  <c r="B47" i="12" s="1"/>
  <c r="F71" i="21" l="1"/>
  <c r="C72" i="21" s="1"/>
  <c r="S47" i="12"/>
  <c r="R47" i="12"/>
  <c r="W47" i="12"/>
  <c r="F47" i="12"/>
  <c r="D72" i="21" l="1"/>
  <c r="E72" i="21" s="1"/>
  <c r="B72" i="21"/>
  <c r="H47" i="12"/>
  <c r="L47" i="12" s="1"/>
  <c r="F72" i="21" l="1"/>
  <c r="C73" i="21" s="1"/>
  <c r="J47" i="12"/>
  <c r="O47" i="12" s="1"/>
  <c r="T47" i="12" s="1"/>
  <c r="C48" i="12" s="1"/>
  <c r="B48" i="12" s="1"/>
  <c r="B73" i="21" l="1"/>
  <c r="D73" i="21"/>
  <c r="E73" i="21" s="1"/>
  <c r="R48" i="12"/>
  <c r="F48" i="12"/>
  <c r="H48" i="12" s="1"/>
  <c r="L48" i="12" s="1"/>
  <c r="S48" i="12"/>
  <c r="W48" i="12"/>
  <c r="F73" i="21" l="1"/>
  <c r="C74" i="21" s="1"/>
  <c r="J48" i="12"/>
  <c r="O48" i="12" s="1"/>
  <c r="T48" i="12" s="1"/>
  <c r="C49" i="12" s="1"/>
  <c r="B49" i="12" s="1"/>
  <c r="B74" i="21" l="1"/>
  <c r="D74" i="21"/>
  <c r="E74" i="21" s="1"/>
  <c r="W49" i="12"/>
  <c r="F49" i="12"/>
  <c r="S49" i="12"/>
  <c r="R49" i="12"/>
  <c r="F74" i="21" l="1"/>
  <c r="C75" i="21" s="1"/>
  <c r="H49" i="12"/>
  <c r="L49" i="12" s="1"/>
  <c r="D75" i="21" l="1"/>
  <c r="E75" i="21" s="1"/>
  <c r="B75" i="21"/>
  <c r="J49" i="12"/>
  <c r="O49" i="12" s="1"/>
  <c r="T49" i="12" s="1"/>
  <c r="C50" i="12" s="1"/>
  <c r="B50" i="12" s="1"/>
  <c r="F75" i="21" l="1"/>
  <c r="C76" i="21" s="1"/>
  <c r="R50" i="12"/>
  <c r="W50" i="12"/>
  <c r="F50" i="12"/>
  <c r="S50" i="12"/>
  <c r="B76" i="21" l="1"/>
  <c r="D76" i="21"/>
  <c r="E76" i="21" s="1"/>
  <c r="H50" i="12"/>
  <c r="L50" i="12" s="1"/>
  <c r="F76" i="21" l="1"/>
  <c r="C77" i="21" s="1"/>
  <c r="J50" i="12"/>
  <c r="O50" i="12" s="1"/>
  <c r="T50" i="12" s="1"/>
  <c r="C51" i="12" s="1"/>
  <c r="B51" i="12" s="1"/>
  <c r="B77" i="21" l="1"/>
  <c r="D77" i="21"/>
  <c r="E77" i="21" s="1"/>
  <c r="S51" i="12"/>
  <c r="R51" i="12"/>
  <c r="W51" i="12"/>
  <c r="F51" i="12"/>
  <c r="F77" i="21" l="1"/>
  <c r="C78" i="21" s="1"/>
  <c r="H51" i="12"/>
  <c r="L51" i="12" s="1"/>
  <c r="B78" i="21" l="1"/>
  <c r="D78" i="21"/>
  <c r="J51" i="12"/>
  <c r="O51" i="12" s="1"/>
  <c r="T51" i="12" s="1"/>
  <c r="C52" i="12" s="1"/>
  <c r="B52" i="12" s="1"/>
  <c r="E78" i="21" l="1"/>
  <c r="F78" i="21" s="1"/>
  <c r="C79" i="21" s="1"/>
  <c r="S52" i="12"/>
  <c r="R52" i="12"/>
  <c r="F52" i="12"/>
  <c r="W52" i="12"/>
  <c r="D79" i="21" l="1"/>
  <c r="E79" i="21" s="1"/>
  <c r="F79" i="21" s="1"/>
  <c r="C80" i="21" s="1"/>
  <c r="B79" i="21"/>
  <c r="H52" i="12"/>
  <c r="L52" i="12" s="1"/>
  <c r="B80" i="21" l="1"/>
  <c r="D80" i="21"/>
  <c r="E80" i="21" s="1"/>
  <c r="J52" i="12"/>
  <c r="O52" i="12" s="1"/>
  <c r="T52" i="12" s="1"/>
  <c r="C53" i="12" s="1"/>
  <c r="B53" i="12" s="1"/>
  <c r="F80" i="21" l="1"/>
  <c r="C81" i="21" s="1"/>
  <c r="W53" i="12"/>
  <c r="F53" i="12"/>
  <c r="S53" i="12"/>
  <c r="R53" i="12"/>
  <c r="B81" i="21" l="1"/>
  <c r="D81" i="21"/>
  <c r="E81" i="21" s="1"/>
  <c r="H53" i="12"/>
  <c r="L53" i="12" s="1"/>
  <c r="F81" i="21" l="1"/>
  <c r="C82" i="21" s="1"/>
  <c r="J53" i="12"/>
  <c r="O53" i="12" s="1"/>
  <c r="T53" i="12" s="1"/>
  <c r="C54" i="12" s="1"/>
  <c r="B54" i="12" s="1"/>
  <c r="D82" i="21" l="1"/>
  <c r="E82" i="21" s="1"/>
  <c r="B82" i="21"/>
  <c r="R54" i="12"/>
  <c r="W54" i="12"/>
  <c r="F54" i="12"/>
  <c r="S54" i="12"/>
  <c r="F82" i="21" l="1"/>
  <c r="C83" i="21" s="1"/>
  <c r="H54" i="12"/>
  <c r="L54" i="12" s="1"/>
  <c r="B83" i="21" l="1"/>
  <c r="D83" i="21"/>
  <c r="J54" i="12"/>
  <c r="O54" i="12" s="1"/>
  <c r="T54" i="12" s="1"/>
  <c r="C55" i="12" s="1"/>
  <c r="B55" i="12" s="1"/>
  <c r="E83" i="21" l="1"/>
  <c r="F83" i="21" s="1"/>
  <c r="C84" i="21" s="1"/>
  <c r="B84" i="21" s="1"/>
  <c r="S55" i="12"/>
  <c r="R55" i="12"/>
  <c r="W55" i="12"/>
  <c r="F55" i="12"/>
  <c r="H55" i="12" s="1"/>
  <c r="L55" i="12" s="1"/>
  <c r="D84" i="21" l="1"/>
  <c r="E84" i="21" s="1"/>
  <c r="F84" i="21" s="1"/>
  <c r="C85" i="21" s="1"/>
  <c r="J55" i="12"/>
  <c r="O55" i="12" s="1"/>
  <c r="T55" i="12" s="1"/>
  <c r="C56" i="12" s="1"/>
  <c r="B56" i="12" s="1"/>
  <c r="B85" i="21" l="1"/>
  <c r="D85" i="21"/>
  <c r="E85" i="21" s="1"/>
  <c r="S56" i="12"/>
  <c r="R56" i="12"/>
  <c r="F56" i="12"/>
  <c r="W56" i="12"/>
  <c r="F85" i="21" l="1"/>
  <c r="C86" i="21" s="1"/>
  <c r="H56" i="12"/>
  <c r="L56" i="12" s="1"/>
  <c r="D86" i="21" l="1"/>
  <c r="E86" i="21" s="1"/>
  <c r="B86" i="21"/>
  <c r="J56" i="12"/>
  <c r="O56" i="12" s="1"/>
  <c r="T56" i="12" s="1"/>
  <c r="C57" i="12" s="1"/>
  <c r="B57" i="12" s="1"/>
  <c r="F86" i="21" l="1"/>
  <c r="C87" i="21" s="1"/>
  <c r="W57" i="12"/>
  <c r="F57" i="12"/>
  <c r="S57" i="12"/>
  <c r="R57" i="12"/>
  <c r="B87" i="21" l="1"/>
  <c r="D87" i="21"/>
  <c r="E87" i="21" s="1"/>
  <c r="H57" i="12"/>
  <c r="L57" i="12" s="1"/>
  <c r="F87" i="21" l="1"/>
  <c r="C88" i="21" s="1"/>
  <c r="J57" i="12"/>
  <c r="O57" i="12" s="1"/>
  <c r="T57" i="12" s="1"/>
  <c r="C58" i="12" s="1"/>
  <c r="B58" i="12" s="1"/>
  <c r="B88" i="21" l="1"/>
  <c r="D88" i="21"/>
  <c r="E88" i="21" s="1"/>
  <c r="R58" i="12"/>
  <c r="W58" i="12"/>
  <c r="F58" i="12"/>
  <c r="S58" i="12"/>
  <c r="F88" i="21" l="1"/>
  <c r="C89" i="21" s="1"/>
  <c r="H58" i="12"/>
  <c r="L58" i="12" s="1"/>
  <c r="D89" i="21" l="1"/>
  <c r="E89" i="21" s="1"/>
  <c r="B89" i="21"/>
  <c r="J58" i="12"/>
  <c r="O58" i="12" s="1"/>
  <c r="T58" i="12" s="1"/>
  <c r="C59" i="12" s="1"/>
  <c r="B59" i="12" s="1"/>
  <c r="F89" i="21" l="1"/>
  <c r="C90" i="21" s="1"/>
  <c r="W59" i="12"/>
  <c r="S59" i="12"/>
  <c r="F59" i="12"/>
  <c r="R59" i="12"/>
  <c r="D90" i="21" l="1"/>
  <c r="E90" i="21" s="1"/>
  <c r="B90" i="21"/>
  <c r="H59" i="12"/>
  <c r="L59" i="12" s="1"/>
  <c r="F90" i="21" l="1"/>
  <c r="C91" i="21" s="1"/>
  <c r="J59" i="12"/>
  <c r="O59" i="12" s="1"/>
  <c r="T59" i="12" s="1"/>
  <c r="C60" i="12" s="1"/>
  <c r="B60" i="12" s="1"/>
  <c r="D91" i="21" l="1"/>
  <c r="E91" i="21" s="1"/>
  <c r="B91" i="21"/>
  <c r="S60" i="12"/>
  <c r="F60" i="12"/>
  <c r="R60" i="12"/>
  <c r="W60" i="12"/>
  <c r="F91" i="21" l="1"/>
  <c r="C92" i="21" s="1"/>
  <c r="H60" i="12"/>
  <c r="L60" i="12" s="1"/>
  <c r="B92" i="21" l="1"/>
  <c r="D92" i="21"/>
  <c r="E92" i="21" s="1"/>
  <c r="J60" i="12"/>
  <c r="O60" i="12" s="1"/>
  <c r="T60" i="12" s="1"/>
  <c r="C61" i="12" s="1"/>
  <c r="B61" i="12" s="1"/>
  <c r="F92" i="21" l="1"/>
  <c r="C93" i="21" s="1"/>
  <c r="F61" i="12"/>
  <c r="R61" i="12"/>
  <c r="W61" i="12"/>
  <c r="S61" i="12"/>
  <c r="D93" i="21" l="1"/>
  <c r="E93" i="21" s="1"/>
  <c r="B93" i="21"/>
  <c r="H61" i="12"/>
  <c r="L61" i="12" s="1"/>
  <c r="F93" i="21" l="1"/>
  <c r="C94" i="21" s="1"/>
  <c r="J61" i="12"/>
  <c r="O61" i="12" s="1"/>
  <c r="T61" i="12" s="1"/>
  <c r="C62" i="12" s="1"/>
  <c r="B62" i="12" s="1"/>
  <c r="B94" i="21" l="1"/>
  <c r="D94" i="21"/>
  <c r="E94" i="21" s="1"/>
  <c r="W62" i="12"/>
  <c r="S62" i="12"/>
  <c r="F62" i="12"/>
  <c r="R62" i="12"/>
  <c r="F94" i="21" l="1"/>
  <c r="C95" i="21" s="1"/>
  <c r="H62" i="12"/>
  <c r="L62" i="12" s="1"/>
  <c r="D95" i="21" l="1"/>
  <c r="E95" i="21" s="1"/>
  <c r="B95" i="21"/>
  <c r="J62" i="12"/>
  <c r="O62" i="12" s="1"/>
  <c r="T62" i="12" s="1"/>
  <c r="C63" i="12" s="1"/>
  <c r="B63" i="12" s="1"/>
  <c r="F95" i="21" l="1"/>
  <c r="C96" i="21" s="1"/>
  <c r="W63" i="12"/>
  <c r="S63" i="12"/>
  <c r="F63" i="12"/>
  <c r="R63" i="12"/>
  <c r="B96" i="21" l="1"/>
  <c r="D96" i="21"/>
  <c r="E96" i="21" s="1"/>
  <c r="H63" i="12"/>
  <c r="L63" i="12" s="1"/>
  <c r="F96" i="21" l="1"/>
  <c r="C97" i="21" s="1"/>
  <c r="J63" i="12"/>
  <c r="O63" i="12" s="1"/>
  <c r="T63" i="12" s="1"/>
  <c r="C64" i="12" s="1"/>
  <c r="B64" i="12" s="1"/>
  <c r="B97" i="21" l="1"/>
  <c r="D97" i="21"/>
  <c r="E97" i="21" s="1"/>
  <c r="W64" i="12"/>
  <c r="S64" i="12"/>
  <c r="R64" i="12"/>
  <c r="F64" i="12"/>
  <c r="F97" i="21" l="1"/>
  <c r="C98" i="21" s="1"/>
  <c r="H64" i="12"/>
  <c r="L64" i="12" s="1"/>
  <c r="B98" i="21" l="1"/>
  <c r="D98" i="21"/>
  <c r="E98" i="21" s="1"/>
  <c r="J64" i="12"/>
  <c r="O64" i="12" s="1"/>
  <c r="T64" i="12" s="1"/>
  <c r="C65" i="12" s="1"/>
  <c r="B65" i="12" s="1"/>
  <c r="F98" i="21" l="1"/>
  <c r="C99" i="21" s="1"/>
  <c r="W65" i="12"/>
  <c r="S65" i="12"/>
  <c r="R65" i="12"/>
  <c r="F65" i="12"/>
  <c r="D99" i="21" l="1"/>
  <c r="E99" i="21" s="1"/>
  <c r="B99" i="21"/>
  <c r="H65" i="12"/>
  <c r="L65" i="12" s="1"/>
  <c r="F99" i="21" l="1"/>
  <c r="C100" i="21" s="1"/>
  <c r="J65" i="12"/>
  <c r="O65" i="12" s="1"/>
  <c r="T65" i="12" s="1"/>
  <c r="C66" i="12" s="1"/>
  <c r="B66" i="12" s="1"/>
  <c r="B100" i="21" l="1"/>
  <c r="D100" i="21"/>
  <c r="E100" i="21" s="1"/>
  <c r="F66" i="12"/>
  <c r="R66" i="12"/>
  <c r="W66" i="12"/>
  <c r="S66" i="12"/>
  <c r="F100" i="21" l="1"/>
  <c r="C101" i="21" s="1"/>
  <c r="H66" i="12"/>
  <c r="L66" i="12" s="1"/>
  <c r="D101" i="21" l="1"/>
  <c r="E101" i="21" s="1"/>
  <c r="B101" i="21"/>
  <c r="J66" i="12"/>
  <c r="O66" i="12" s="1"/>
  <c r="T66" i="12" s="1"/>
  <c r="C67" i="12" s="1"/>
  <c r="B67" i="12" s="1"/>
  <c r="F101" i="21" l="1"/>
  <c r="C102" i="21" s="1"/>
  <c r="S67" i="12"/>
  <c r="F67" i="12"/>
  <c r="R67" i="12"/>
  <c r="W67" i="12"/>
  <c r="D102" i="21" l="1"/>
  <c r="E102" i="21" s="1"/>
  <c r="B102" i="21"/>
  <c r="H67" i="12"/>
  <c r="L67" i="12" s="1"/>
  <c r="F102" i="21" l="1"/>
  <c r="C103" i="21" s="1"/>
  <c r="J67" i="12"/>
  <c r="O67" i="12" s="1"/>
  <c r="T67" i="12" s="1"/>
  <c r="C68" i="12" s="1"/>
  <c r="B68" i="12" s="1"/>
  <c r="B103" i="21" l="1"/>
  <c r="D103" i="21"/>
  <c r="E103" i="21" s="1"/>
  <c r="S68" i="12"/>
  <c r="W68" i="12"/>
  <c r="R68" i="12"/>
  <c r="F68" i="12"/>
  <c r="F103" i="21" l="1"/>
  <c r="C104" i="21" s="1"/>
  <c r="H68" i="12"/>
  <c r="L68" i="12" s="1"/>
  <c r="D104" i="21" l="1"/>
  <c r="E104" i="21" s="1"/>
  <c r="B104" i="21"/>
  <c r="J68" i="12"/>
  <c r="O68" i="12" s="1"/>
  <c r="T68" i="12" s="1"/>
  <c r="C69" i="12" s="1"/>
  <c r="B69" i="12" s="1"/>
  <c r="F104" i="21" l="1"/>
  <c r="C105" i="21" s="1"/>
  <c r="F69" i="12"/>
  <c r="R69" i="12"/>
  <c r="W69" i="12"/>
  <c r="S69" i="12"/>
  <c r="D105" i="21" l="1"/>
  <c r="E105" i="21" s="1"/>
  <c r="B105" i="21"/>
  <c r="H69" i="12"/>
  <c r="L69" i="12" s="1"/>
  <c r="F105" i="21" l="1"/>
  <c r="C106" i="21" s="1"/>
  <c r="J69" i="12"/>
  <c r="O69" i="12" s="1"/>
  <c r="T69" i="12" s="1"/>
  <c r="I48" i="9"/>
  <c r="B106" i="21" l="1"/>
  <c r="D106" i="21"/>
  <c r="E106" i="21" s="1"/>
  <c r="C27" i="11"/>
  <c r="F106" i="21" l="1"/>
  <c r="C107" i="21" s="1"/>
  <c r="D24" i="19"/>
  <c r="B107" i="21" l="1"/>
  <c r="D107" i="21"/>
  <c r="E107" i="21" s="1"/>
  <c r="D19" i="11"/>
  <c r="I14" i="9"/>
  <c r="H21" i="9"/>
  <c r="I28" i="9" s="1"/>
  <c r="G14" i="9"/>
  <c r="G15" i="9"/>
  <c r="H22" i="9"/>
  <c r="C24" i="11" l="1"/>
  <c r="F107" i="21"/>
  <c r="C108" i="21" s="1"/>
  <c r="I50" i="9"/>
  <c r="I52" i="9" s="1"/>
  <c r="K10" i="10" s="1"/>
  <c r="H14" i="9"/>
  <c r="G16" i="9" s="1"/>
  <c r="I15" i="9"/>
  <c r="I16" i="9" s="1"/>
  <c r="C22" i="11" s="1"/>
  <c r="H15" i="9"/>
  <c r="G17" i="9" s="1"/>
  <c r="D27" i="11" l="1"/>
  <c r="D28" i="11" s="1"/>
  <c r="K11" i="10"/>
  <c r="K13" i="10" s="1"/>
  <c r="B108" i="21"/>
  <c r="D108" i="21"/>
  <c r="E108" i="21" s="1"/>
  <c r="F24" i="19"/>
  <c r="C25" i="19" s="1"/>
  <c r="F108" i="21" l="1"/>
  <c r="C109" i="21" s="1"/>
  <c r="D25" i="19"/>
  <c r="E25" i="19" s="1"/>
  <c r="F25" i="19" s="1"/>
  <c r="C26" i="19" s="1"/>
  <c r="B25" i="19"/>
  <c r="B109" i="21" l="1"/>
  <c r="D109" i="21"/>
  <c r="E109" i="21" s="1"/>
  <c r="B26" i="19"/>
  <c r="D26" i="19"/>
  <c r="E26" i="19" s="1"/>
  <c r="F26" i="19" s="1"/>
  <c r="C27" i="19" s="1"/>
  <c r="F109" i="21" l="1"/>
  <c r="C110" i="21" s="1"/>
  <c r="B27" i="19"/>
  <c r="D27" i="19"/>
  <c r="E27" i="19" s="1"/>
  <c r="F27" i="19" s="1"/>
  <c r="C28" i="19" s="1"/>
  <c r="D110" i="21" l="1"/>
  <c r="E110" i="21" s="1"/>
  <c r="B110" i="21"/>
  <c r="D28" i="19"/>
  <c r="E28" i="19" s="1"/>
  <c r="F28" i="19" s="1"/>
  <c r="C29" i="19" s="1"/>
  <c r="B28" i="19"/>
  <c r="F110" i="21" l="1"/>
  <c r="C111" i="21" s="1"/>
  <c r="B29" i="19"/>
  <c r="D29" i="19"/>
  <c r="E29" i="19" s="1"/>
  <c r="F29" i="19" s="1"/>
  <c r="C30" i="19" s="1"/>
  <c r="D111" i="21" l="1"/>
  <c r="E111" i="21" s="1"/>
  <c r="B111" i="21"/>
  <c r="B30" i="19"/>
  <c r="D30" i="19"/>
  <c r="E30" i="19" s="1"/>
  <c r="F30" i="19" s="1"/>
  <c r="C31" i="19" s="1"/>
  <c r="F111" i="21" l="1"/>
  <c r="C112" i="21" s="1"/>
  <c r="B31" i="19"/>
  <c r="D31" i="19"/>
  <c r="E31" i="19" s="1"/>
  <c r="F31" i="19" s="1"/>
  <c r="C32" i="19" s="1"/>
  <c r="D112" i="21" l="1"/>
  <c r="E112" i="21" s="1"/>
  <c r="B112" i="21"/>
  <c r="B32" i="19"/>
  <c r="D32" i="19"/>
  <c r="E32" i="19" s="1"/>
  <c r="F32" i="19" s="1"/>
  <c r="C33" i="19" s="1"/>
  <c r="F112" i="21" l="1"/>
  <c r="C113" i="21" s="1"/>
  <c r="D33" i="19"/>
  <c r="E33" i="19" s="1"/>
  <c r="F33" i="19" s="1"/>
  <c r="C34" i="19" s="1"/>
  <c r="B33" i="19"/>
  <c r="D113" i="21" l="1"/>
  <c r="E113" i="21" s="1"/>
  <c r="B113" i="21"/>
  <c r="D34" i="19"/>
  <c r="E34" i="19" s="1"/>
  <c r="F34" i="19" s="1"/>
  <c r="C35" i="19" s="1"/>
  <c r="B34" i="19"/>
  <c r="F113" i="21" l="1"/>
  <c r="C114" i="21" s="1"/>
  <c r="D35" i="19"/>
  <c r="E35" i="19" s="1"/>
  <c r="F35" i="19" s="1"/>
  <c r="C36" i="19" s="1"/>
  <c r="B35" i="19"/>
  <c r="D114" i="21" l="1"/>
  <c r="E114" i="21" s="1"/>
  <c r="B114" i="21"/>
  <c r="B36" i="19"/>
  <c r="D36" i="19"/>
  <c r="E36" i="19" s="1"/>
  <c r="F36" i="19" s="1"/>
  <c r="C37" i="19" s="1"/>
  <c r="F114" i="21" l="1"/>
  <c r="C115" i="21" s="1"/>
  <c r="D37" i="19"/>
  <c r="E37" i="19" s="1"/>
  <c r="F37" i="19" s="1"/>
  <c r="C38" i="19" s="1"/>
  <c r="B37" i="19"/>
  <c r="D115" i="21" l="1"/>
  <c r="E115" i="21" s="1"/>
  <c r="B115" i="21"/>
  <c r="D38" i="19"/>
  <c r="E38" i="19" s="1"/>
  <c r="F38" i="19" s="1"/>
  <c r="C39" i="19" s="1"/>
  <c r="B38" i="19"/>
  <c r="F115" i="21" l="1"/>
  <c r="C116" i="21" s="1"/>
  <c r="D39" i="19"/>
  <c r="E39" i="19" s="1"/>
  <c r="F39" i="19" s="1"/>
  <c r="C40" i="19" s="1"/>
  <c r="B39" i="19"/>
  <c r="B116" i="21" l="1"/>
  <c r="D116" i="21"/>
  <c r="E116" i="21" s="1"/>
  <c r="B40" i="19"/>
  <c r="D40" i="19"/>
  <c r="E40" i="19" s="1"/>
  <c r="F40" i="19" s="1"/>
  <c r="C41" i="19" s="1"/>
  <c r="F116" i="21" l="1"/>
  <c r="C117" i="21" s="1"/>
  <c r="D41" i="19"/>
  <c r="E41" i="19" s="1"/>
  <c r="F41" i="19" s="1"/>
  <c r="C42" i="19" s="1"/>
  <c r="B41" i="19"/>
  <c r="B117" i="21" l="1"/>
  <c r="D117" i="21"/>
  <c r="E117" i="21" s="1"/>
  <c r="D42" i="19"/>
  <c r="E42" i="19" s="1"/>
  <c r="F42" i="19" s="1"/>
  <c r="C43" i="19" s="1"/>
  <c r="B42" i="19"/>
  <c r="F117" i="21" l="1"/>
  <c r="C118" i="21" s="1"/>
  <c r="D43" i="19"/>
  <c r="E43" i="19" s="1"/>
  <c r="F43" i="19" s="1"/>
  <c r="C44" i="19" s="1"/>
  <c r="B43" i="19"/>
  <c r="B118" i="21" l="1"/>
  <c r="D118" i="21"/>
  <c r="E118" i="21" s="1"/>
  <c r="B44" i="19"/>
  <c r="D44" i="19"/>
  <c r="E44" i="19" s="1"/>
  <c r="F44" i="19" s="1"/>
  <c r="C45" i="19" s="1"/>
  <c r="F118" i="21" l="1"/>
  <c r="C119" i="21" s="1"/>
  <c r="B45" i="19"/>
  <c r="D45" i="19"/>
  <c r="E45" i="19" s="1"/>
  <c r="F45" i="19" s="1"/>
  <c r="C46" i="19" s="1"/>
  <c r="D119" i="21" l="1"/>
  <c r="E119" i="21" s="1"/>
  <c r="B119" i="21"/>
  <c r="D46" i="19"/>
  <c r="E46" i="19" s="1"/>
  <c r="F46" i="19" s="1"/>
  <c r="C47" i="19" s="1"/>
  <c r="B46" i="19"/>
  <c r="F119" i="21" l="1"/>
  <c r="C120" i="21" s="1"/>
  <c r="D47" i="19"/>
  <c r="E47" i="19" s="1"/>
  <c r="F47" i="19" s="1"/>
  <c r="C48" i="19" s="1"/>
  <c r="B47" i="19"/>
  <c r="B120" i="21" l="1"/>
  <c r="D120" i="21"/>
  <c r="E120" i="21" s="1"/>
  <c r="B48" i="19"/>
  <c r="D48" i="19"/>
  <c r="E48" i="19" s="1"/>
  <c r="F48" i="19" s="1"/>
  <c r="C49" i="19" s="1"/>
  <c r="F120" i="21" l="1"/>
  <c r="C121" i="21" s="1"/>
  <c r="D49" i="19"/>
  <c r="E49" i="19" s="1"/>
  <c r="F49" i="19" s="1"/>
  <c r="C50" i="19" s="1"/>
  <c r="B49" i="19"/>
  <c r="B121" i="21" l="1"/>
  <c r="D121" i="21"/>
  <c r="E121" i="21" s="1"/>
  <c r="D50" i="19"/>
  <c r="E50" i="19" s="1"/>
  <c r="F50" i="19" s="1"/>
  <c r="C51" i="19" s="1"/>
  <c r="B50" i="19"/>
  <c r="F121" i="21" l="1"/>
  <c r="C122" i="21" s="1"/>
  <c r="D51" i="19"/>
  <c r="E51" i="19" s="1"/>
  <c r="F51" i="19" s="1"/>
  <c r="C52" i="19" s="1"/>
  <c r="B51" i="19"/>
  <c r="B122" i="21" l="1"/>
  <c r="D122" i="21"/>
  <c r="E122" i="21" s="1"/>
  <c r="B52" i="19"/>
  <c r="D52" i="19"/>
  <c r="E52" i="19" s="1"/>
  <c r="F52" i="19" s="1"/>
  <c r="C53" i="19" s="1"/>
  <c r="F122" i="21" l="1"/>
  <c r="C123" i="21" s="1"/>
  <c r="D53" i="19"/>
  <c r="E53" i="19" s="1"/>
  <c r="F53" i="19" s="1"/>
  <c r="C54" i="19" s="1"/>
  <c r="B53" i="19"/>
  <c r="B123" i="21" l="1"/>
  <c r="D123" i="21"/>
  <c r="E123" i="21" s="1"/>
  <c r="D54" i="19"/>
  <c r="E54" i="19" s="1"/>
  <c r="F54" i="19" s="1"/>
  <c r="C55" i="19" s="1"/>
  <c r="B54" i="19"/>
  <c r="F123" i="21" l="1"/>
  <c r="C124" i="21" s="1"/>
  <c r="D55" i="19"/>
  <c r="E55" i="19" s="1"/>
  <c r="F55" i="19" s="1"/>
  <c r="C56" i="19" s="1"/>
  <c r="B55" i="19"/>
  <c r="B124" i="21" l="1"/>
  <c r="D124" i="21"/>
  <c r="E124" i="21" s="1"/>
  <c r="B56" i="19"/>
  <c r="D56" i="19"/>
  <c r="E56" i="19" s="1"/>
  <c r="F56" i="19" s="1"/>
  <c r="C57" i="19" s="1"/>
  <c r="F124" i="21" l="1"/>
  <c r="C125" i="21" s="1"/>
  <c r="D57" i="19"/>
  <c r="E57" i="19" s="1"/>
  <c r="F57" i="19" s="1"/>
  <c r="C58" i="19" s="1"/>
  <c r="B57" i="19"/>
  <c r="B125" i="21" l="1"/>
  <c r="D125" i="21"/>
  <c r="E125" i="21" s="1"/>
  <c r="D58" i="19"/>
  <c r="E58" i="19" s="1"/>
  <c r="F58" i="19" s="1"/>
  <c r="C59" i="19" s="1"/>
  <c r="B58" i="19"/>
  <c r="F125" i="21" l="1"/>
  <c r="C126" i="21" s="1"/>
  <c r="D59" i="19"/>
  <c r="E59" i="19" s="1"/>
  <c r="F59" i="19" s="1"/>
  <c r="C60" i="19" s="1"/>
  <c r="B59" i="19"/>
  <c r="D126" i="21" l="1"/>
  <c r="E126" i="21" s="1"/>
  <c r="B126" i="21"/>
  <c r="B60" i="19"/>
  <c r="D60" i="19"/>
  <c r="E60" i="19" s="1"/>
  <c r="F60" i="19" s="1"/>
  <c r="C61" i="19" s="1"/>
  <c r="F126" i="21" l="1"/>
  <c r="C127" i="21" s="1"/>
  <c r="D61" i="19"/>
  <c r="E61" i="19" s="1"/>
  <c r="F61" i="19" s="1"/>
  <c r="C62" i="19" s="1"/>
  <c r="B61" i="19"/>
  <c r="D127" i="21" l="1"/>
  <c r="E127" i="21" s="1"/>
  <c r="B127" i="21"/>
  <c r="D62" i="19"/>
  <c r="E62" i="19" s="1"/>
  <c r="F62" i="19" s="1"/>
  <c r="C63" i="19" s="1"/>
  <c r="B62" i="19"/>
  <c r="F127" i="21" l="1"/>
  <c r="C128" i="21" s="1"/>
  <c r="D63" i="19"/>
  <c r="E63" i="19" s="1"/>
  <c r="F63" i="19" s="1"/>
  <c r="C64" i="19" s="1"/>
  <c r="B63" i="19"/>
  <c r="D128" i="21" l="1"/>
  <c r="E128" i="21" s="1"/>
  <c r="B128" i="21"/>
  <c r="B64" i="19"/>
  <c r="D64" i="19"/>
  <c r="E64" i="19" s="1"/>
  <c r="F64" i="19" s="1"/>
  <c r="C65" i="19" s="1"/>
  <c r="F128" i="21" l="1"/>
  <c r="C129" i="21" s="1"/>
  <c r="D65" i="19"/>
  <c r="E65" i="19" s="1"/>
  <c r="F65" i="19" s="1"/>
  <c r="C66" i="19" s="1"/>
  <c r="B65" i="19"/>
  <c r="B129" i="21" l="1"/>
  <c r="D129" i="21"/>
  <c r="E129" i="21" s="1"/>
  <c r="D66" i="19"/>
  <c r="E66" i="19" s="1"/>
  <c r="F66" i="19" s="1"/>
  <c r="C67" i="19" s="1"/>
  <c r="B66" i="19"/>
  <c r="F129" i="21" l="1"/>
  <c r="C130" i="21" s="1"/>
  <c r="D67" i="19"/>
  <c r="E67" i="19" s="1"/>
  <c r="F67" i="19" s="1"/>
  <c r="C68" i="19" s="1"/>
  <c r="B67" i="19"/>
  <c r="D130" i="21" l="1"/>
  <c r="E130" i="21" s="1"/>
  <c r="B130" i="21"/>
  <c r="B68" i="19"/>
  <c r="D68" i="19"/>
  <c r="E68" i="19" s="1"/>
  <c r="F68" i="19" s="1"/>
  <c r="C69" i="19" s="1"/>
  <c r="F130" i="21" l="1"/>
  <c r="C131" i="21" s="1"/>
  <c r="D69" i="19"/>
  <c r="E69" i="19" s="1"/>
  <c r="F69" i="19" s="1"/>
  <c r="C70" i="19" s="1"/>
  <c r="B69" i="19"/>
  <c r="D131" i="21" l="1"/>
  <c r="E131" i="21" s="1"/>
  <c r="B131" i="21"/>
  <c r="D70" i="19"/>
  <c r="E70" i="19" s="1"/>
  <c r="F70" i="19" s="1"/>
  <c r="C71" i="19" s="1"/>
  <c r="B70" i="19"/>
  <c r="F131" i="21" l="1"/>
  <c r="C132" i="21" s="1"/>
  <c r="D71" i="19"/>
  <c r="E71" i="19" s="1"/>
  <c r="F71" i="19" s="1"/>
  <c r="C72" i="19" s="1"/>
  <c r="B71" i="19"/>
  <c r="D132" i="21" l="1"/>
  <c r="E132" i="21" s="1"/>
  <c r="B132" i="21"/>
  <c r="B72" i="19"/>
  <c r="D72" i="19"/>
  <c r="E72" i="19" s="1"/>
  <c r="F72" i="19" s="1"/>
  <c r="C73" i="19" s="1"/>
  <c r="F132" i="21" l="1"/>
  <c r="C133" i="21" s="1"/>
  <c r="D73" i="19"/>
  <c r="E73" i="19" s="1"/>
  <c r="F73" i="19" s="1"/>
  <c r="C74" i="19" s="1"/>
  <c r="B73" i="19"/>
  <c r="B133" i="21" l="1"/>
  <c r="D133" i="21"/>
  <c r="E133" i="21" s="1"/>
  <c r="D74" i="19"/>
  <c r="E74" i="19" s="1"/>
  <c r="F74" i="19" s="1"/>
  <c r="C75" i="19" s="1"/>
  <c r="B74" i="19"/>
  <c r="F133" i="21" l="1"/>
  <c r="D75" i="19"/>
  <c r="E75" i="19" s="1"/>
  <c r="F75" i="19" s="1"/>
  <c r="C76" i="19" s="1"/>
  <c r="B75" i="19"/>
  <c r="B76" i="19" l="1"/>
  <c r="D76" i="19"/>
  <c r="E76" i="19" s="1"/>
  <c r="F76" i="19" s="1"/>
  <c r="C77" i="19" s="1"/>
  <c r="D77" i="19" l="1"/>
  <c r="E77" i="19" s="1"/>
  <c r="F77" i="19" s="1"/>
  <c r="C78" i="19" s="1"/>
  <c r="B77" i="19"/>
  <c r="D78" i="19" l="1"/>
  <c r="E78" i="19" s="1"/>
  <c r="F78" i="19" s="1"/>
  <c r="C79" i="19" s="1"/>
  <c r="B78" i="19"/>
  <c r="D79" i="19" l="1"/>
  <c r="E79" i="19" s="1"/>
  <c r="F79" i="19" s="1"/>
  <c r="C80" i="19" s="1"/>
  <c r="B79" i="19"/>
  <c r="B80" i="19" l="1"/>
  <c r="D80" i="19"/>
  <c r="E80" i="19" s="1"/>
  <c r="F80" i="19" s="1"/>
  <c r="C81" i="19" s="1"/>
  <c r="D81" i="19" l="1"/>
  <c r="E81" i="19" s="1"/>
  <c r="F81" i="19" s="1"/>
  <c r="C82" i="19" s="1"/>
  <c r="B81" i="19"/>
  <c r="D82" i="19" l="1"/>
  <c r="E82" i="19" s="1"/>
  <c r="F82" i="19" s="1"/>
  <c r="C83" i="19" s="1"/>
  <c r="B82" i="19"/>
  <c r="D83" i="19" l="1"/>
  <c r="E83" i="19" s="1"/>
  <c r="F83" i="19" s="1"/>
  <c r="C84" i="19" s="1"/>
  <c r="B83" i="19"/>
  <c r="B84" i="19" l="1"/>
  <c r="D84" i="19"/>
  <c r="E84" i="19" s="1"/>
  <c r="F84" i="19" s="1"/>
  <c r="C85" i="19" s="1"/>
  <c r="D85" i="19" l="1"/>
  <c r="E85" i="19" s="1"/>
  <c r="F85" i="19" s="1"/>
  <c r="C86" i="19" s="1"/>
  <c r="B85" i="19"/>
  <c r="D86" i="19" l="1"/>
  <c r="E86" i="19" s="1"/>
  <c r="F86" i="19" s="1"/>
  <c r="C87" i="19" s="1"/>
  <c r="B86" i="19"/>
  <c r="D87" i="19" l="1"/>
  <c r="E87" i="19" s="1"/>
  <c r="F87" i="19" s="1"/>
  <c r="C88" i="19" s="1"/>
  <c r="B87" i="19"/>
  <c r="B88" i="19" l="1"/>
  <c r="D88" i="19"/>
  <c r="E88" i="19" s="1"/>
  <c r="F88" i="19" s="1"/>
  <c r="C89" i="19" s="1"/>
  <c r="D89" i="19" l="1"/>
  <c r="E89" i="19" s="1"/>
  <c r="F89" i="19" s="1"/>
  <c r="C90" i="19" s="1"/>
  <c r="B89" i="19"/>
  <c r="D90" i="19" l="1"/>
  <c r="E90" i="19" s="1"/>
  <c r="F90" i="19" s="1"/>
  <c r="C91" i="19" s="1"/>
  <c r="B90" i="19"/>
  <c r="D91" i="19" l="1"/>
  <c r="E91" i="19" s="1"/>
  <c r="F91" i="19" s="1"/>
  <c r="C92" i="19" s="1"/>
  <c r="B91" i="19"/>
  <c r="B92" i="19" l="1"/>
  <c r="D92" i="19"/>
  <c r="E92" i="19" s="1"/>
  <c r="F92" i="19" s="1"/>
  <c r="C93" i="19" s="1"/>
  <c r="D93" i="19" l="1"/>
  <c r="E93" i="19" s="1"/>
  <c r="F93" i="19" s="1"/>
  <c r="C94" i="19" s="1"/>
  <c r="B93" i="19"/>
  <c r="B94" i="19" l="1"/>
  <c r="D94" i="19"/>
  <c r="E94" i="19" s="1"/>
  <c r="F94" i="19" s="1"/>
  <c r="C95" i="19" s="1"/>
  <c r="B95" i="19" l="1"/>
  <c r="D95" i="19"/>
  <c r="E95" i="19" s="1"/>
  <c r="F95" i="19" s="1"/>
  <c r="C96" i="19" s="1"/>
  <c r="D96" i="19" l="1"/>
  <c r="E96" i="19" s="1"/>
  <c r="F96" i="19" s="1"/>
  <c r="C97" i="19" s="1"/>
  <c r="B96" i="19"/>
  <c r="B97" i="19" l="1"/>
  <c r="D97" i="19"/>
  <c r="E97" i="19" s="1"/>
  <c r="F97" i="19" s="1"/>
  <c r="C98" i="19" s="1"/>
  <c r="D98" i="19" l="1"/>
  <c r="E98" i="19" s="1"/>
  <c r="F98" i="19" s="1"/>
  <c r="C99" i="19" s="1"/>
  <c r="B98" i="19"/>
  <c r="D99" i="19" l="1"/>
  <c r="E99" i="19" s="1"/>
  <c r="F99" i="19" s="1"/>
  <c r="C100" i="19" s="1"/>
  <c r="B99" i="19"/>
  <c r="B100" i="19" l="1"/>
  <c r="D100" i="19"/>
  <c r="E100" i="19" s="1"/>
  <c r="F100" i="19" s="1"/>
  <c r="C101" i="19" s="1"/>
  <c r="B101" i="19" l="1"/>
  <c r="D101" i="19"/>
  <c r="E101" i="19" s="1"/>
  <c r="F101" i="19" s="1"/>
  <c r="C102" i="19" s="1"/>
  <c r="B102" i="19" l="1"/>
  <c r="D102" i="19"/>
  <c r="E102" i="19" s="1"/>
  <c r="F102" i="19" s="1"/>
  <c r="C103" i="19" s="1"/>
  <c r="B103" i="19" l="1"/>
  <c r="D103" i="19"/>
  <c r="E103" i="19" s="1"/>
  <c r="F103" i="19" s="1"/>
  <c r="C104" i="19" s="1"/>
  <c r="D104" i="19" l="1"/>
  <c r="E104" i="19" s="1"/>
  <c r="F104" i="19" s="1"/>
  <c r="C105" i="19" s="1"/>
  <c r="B104" i="19"/>
  <c r="D105" i="19" l="1"/>
  <c r="E105" i="19" s="1"/>
  <c r="F105" i="19" s="1"/>
  <c r="C106" i="19" s="1"/>
  <c r="B105" i="19"/>
  <c r="B106" i="19" l="1"/>
  <c r="D106" i="19"/>
  <c r="E106" i="19" s="1"/>
  <c r="F106" i="19" s="1"/>
  <c r="C107" i="19" s="1"/>
  <c r="B107" i="19" l="1"/>
  <c r="D107" i="19"/>
  <c r="E107" i="19" s="1"/>
  <c r="F107" i="19" s="1"/>
  <c r="C108" i="19" s="1"/>
  <c r="B108" i="19" l="1"/>
  <c r="D108" i="19"/>
  <c r="E108" i="19" s="1"/>
  <c r="F108" i="19" s="1"/>
  <c r="C109" i="19" s="1"/>
  <c r="B109" i="19" l="1"/>
  <c r="D109" i="19"/>
  <c r="E109" i="19" s="1"/>
  <c r="F109" i="19" s="1"/>
  <c r="C110" i="19" s="1"/>
  <c r="B110" i="19" l="1"/>
  <c r="D110" i="19"/>
  <c r="E110" i="19" s="1"/>
  <c r="F110" i="19" s="1"/>
  <c r="C111" i="19" s="1"/>
  <c r="B111" i="19" l="1"/>
  <c r="D111" i="19"/>
  <c r="E111" i="19" s="1"/>
  <c r="F111" i="19" s="1"/>
  <c r="C112" i="19" s="1"/>
  <c r="D112" i="19" l="1"/>
  <c r="E112" i="19" s="1"/>
  <c r="F112" i="19" s="1"/>
  <c r="C113" i="19" s="1"/>
  <c r="B112" i="19"/>
  <c r="D113" i="19" l="1"/>
  <c r="E113" i="19" s="1"/>
  <c r="F113" i="19" s="1"/>
  <c r="C114" i="19" s="1"/>
  <c r="B113" i="19"/>
  <c r="B114" i="19" l="1"/>
  <c r="D114" i="19"/>
  <c r="E114" i="19" s="1"/>
  <c r="F114" i="19" s="1"/>
  <c r="C115" i="19" s="1"/>
  <c r="B115" i="19" l="1"/>
  <c r="D115" i="19"/>
  <c r="E115" i="19" s="1"/>
  <c r="F115" i="19" s="1"/>
  <c r="C116" i="19" s="1"/>
  <c r="D116" i="19" l="1"/>
  <c r="E116" i="19" s="1"/>
  <c r="F116" i="19" s="1"/>
  <c r="C117" i="19" s="1"/>
  <c r="B116" i="19"/>
  <c r="D117" i="19" l="1"/>
  <c r="E117" i="19" s="1"/>
  <c r="F117" i="19" s="1"/>
  <c r="C118" i="19" s="1"/>
  <c r="B117" i="19"/>
  <c r="B118" i="19" l="1"/>
  <c r="D118" i="19"/>
  <c r="E118" i="19" s="1"/>
  <c r="F118" i="19" s="1"/>
  <c r="C119" i="19" s="1"/>
  <c r="B119" i="19" l="1"/>
  <c r="D119" i="19"/>
  <c r="E119" i="19" s="1"/>
  <c r="F119" i="19" s="1"/>
  <c r="C120" i="19" s="1"/>
  <c r="D120" i="19" l="1"/>
  <c r="E120" i="19" s="1"/>
  <c r="F120" i="19" s="1"/>
  <c r="C121" i="19" s="1"/>
  <c r="B120" i="19"/>
  <c r="D121" i="19" l="1"/>
  <c r="E121" i="19" s="1"/>
  <c r="F121" i="19" s="1"/>
  <c r="C122" i="19" s="1"/>
  <c r="B121" i="19"/>
  <c r="B122" i="19" l="1"/>
  <c r="D122" i="19"/>
  <c r="E122" i="19" s="1"/>
  <c r="F122" i="19" s="1"/>
  <c r="C123" i="19" s="1"/>
  <c r="B123" i="19" l="1"/>
  <c r="D123" i="19"/>
  <c r="E123" i="19" s="1"/>
  <c r="F123" i="19" s="1"/>
  <c r="C124" i="19" s="1"/>
  <c r="D124" i="19" l="1"/>
  <c r="E124" i="19" s="1"/>
  <c r="F124" i="19" s="1"/>
  <c r="C125" i="19" s="1"/>
  <c r="B124" i="19"/>
  <c r="B125" i="19" l="1"/>
  <c r="D125" i="19"/>
  <c r="E125" i="19" s="1"/>
  <c r="F125" i="19" s="1"/>
  <c r="C126" i="19" s="1"/>
  <c r="B126" i="19" l="1"/>
  <c r="D126" i="19"/>
  <c r="E126" i="19" s="1"/>
  <c r="F126" i="19" s="1"/>
  <c r="C127" i="19" s="1"/>
  <c r="D127" i="19" l="1"/>
  <c r="E127" i="19" s="1"/>
  <c r="F127" i="19" s="1"/>
  <c r="C128" i="19" s="1"/>
  <c r="B127" i="19"/>
  <c r="D128" i="19" l="1"/>
  <c r="E128" i="19" s="1"/>
  <c r="F128" i="19" s="1"/>
  <c r="C129" i="19" s="1"/>
  <c r="B128" i="19"/>
  <c r="D129" i="19" l="1"/>
  <c r="E129" i="19" s="1"/>
  <c r="F129" i="19" s="1"/>
  <c r="C130" i="19" s="1"/>
  <c r="B129" i="19"/>
  <c r="B130" i="19" l="1"/>
  <c r="D130" i="19"/>
  <c r="E130" i="19" s="1"/>
  <c r="F130" i="19" s="1"/>
  <c r="C131" i="19" s="1"/>
  <c r="D131" i="19" l="1"/>
  <c r="E131" i="19" s="1"/>
  <c r="F131" i="19" s="1"/>
  <c r="C132" i="19" s="1"/>
  <c r="B131" i="19"/>
  <c r="D132" i="19" l="1"/>
  <c r="E132" i="19" s="1"/>
  <c r="F132" i="19" s="1"/>
  <c r="C133" i="19" s="1"/>
  <c r="B132" i="19"/>
  <c r="D133" i="19" l="1"/>
  <c r="E133" i="19" s="1"/>
  <c r="F133" i="19" s="1"/>
  <c r="C134" i="19" s="1"/>
  <c r="B133" i="19"/>
  <c r="B134" i="19" l="1"/>
  <c r="D134" i="19"/>
  <c r="E134" i="19" s="1"/>
  <c r="F134" i="19" s="1"/>
  <c r="C135" i="19" s="1"/>
  <c r="B135" i="19" l="1"/>
  <c r="D135" i="19"/>
  <c r="E135" i="19" s="1"/>
  <c r="F135" i="19" s="1"/>
</calcChain>
</file>

<file path=xl/sharedStrings.xml><?xml version="1.0" encoding="utf-8"?>
<sst xmlns="http://schemas.openxmlformats.org/spreadsheetml/2006/main" count="928" uniqueCount="537">
  <si>
    <t>Estado Civil</t>
  </si>
  <si>
    <t xml:space="preserve">Edad </t>
  </si>
  <si>
    <t xml:space="preserve">Ingresos </t>
  </si>
  <si>
    <t xml:space="preserve">Egresos </t>
  </si>
  <si>
    <t xml:space="preserve">Medio en el que nos vio ? </t>
  </si>
  <si>
    <t>Tiene cuenta en algun banco ?</t>
  </si>
  <si>
    <t>Estados de cuenta ?</t>
  </si>
  <si>
    <t xml:space="preserve">Empresa </t>
  </si>
  <si>
    <t xml:space="preserve">Inicio de labores </t>
  </si>
  <si>
    <t xml:space="preserve">Facebook </t>
  </si>
  <si>
    <t xml:space="preserve">Instagram </t>
  </si>
  <si>
    <t xml:space="preserve">Volantes </t>
  </si>
  <si>
    <t xml:space="preserve">Activacion </t>
  </si>
  <si>
    <t xml:space="preserve">Prensa </t>
  </si>
  <si>
    <t xml:space="preserve">Casado </t>
  </si>
  <si>
    <t xml:space="preserve">Soltero </t>
  </si>
  <si>
    <t xml:space="preserve">Empleado </t>
  </si>
  <si>
    <t xml:space="preserve">Dueño </t>
  </si>
  <si>
    <t>Capital de trabajo</t>
  </si>
  <si>
    <t xml:space="preserve">turismo </t>
  </si>
  <si>
    <t xml:space="preserve">consumo </t>
  </si>
  <si>
    <t xml:space="preserve">mejora de algo en inmubele o vehiculo </t>
  </si>
  <si>
    <t>Consolidacion de deudas</t>
  </si>
  <si>
    <t>El dinero lo utilizara en ….?</t>
  </si>
  <si>
    <t xml:space="preserve">Salud o Medico </t>
  </si>
  <si>
    <t xml:space="preserve">Consumo </t>
  </si>
  <si>
    <t xml:space="preserve">Estudios </t>
  </si>
  <si>
    <t xml:space="preserve">Muerte de familiar </t>
  </si>
  <si>
    <t xml:space="preserve">Informacion crediticia </t>
  </si>
  <si>
    <t xml:space="preserve">hipotecario </t>
  </si>
  <si>
    <t xml:space="preserve">vehiculo </t>
  </si>
  <si>
    <t xml:space="preserve">prestamista </t>
  </si>
  <si>
    <t>Ha tenido algun credito ?</t>
  </si>
  <si>
    <t>Vivienda propia ?</t>
  </si>
  <si>
    <t>vehiculo propio?</t>
  </si>
  <si>
    <t xml:space="preserve">garantia del credito </t>
  </si>
  <si>
    <t xml:space="preserve">Hipotecario </t>
  </si>
  <si>
    <t xml:space="preserve">toma usted la decisión sobre el credito ? </t>
  </si>
  <si>
    <t xml:space="preserve">que espera usted de su credito? </t>
  </si>
  <si>
    <t xml:space="preserve">rapido y seguro </t>
  </si>
  <si>
    <t xml:space="preserve">barato </t>
  </si>
  <si>
    <t xml:space="preserve">negociable </t>
  </si>
  <si>
    <t xml:space="preserve">sano </t>
  </si>
  <si>
    <t xml:space="preserve">Informacion del credito </t>
  </si>
  <si>
    <t>si llegara a tener algun problema de pago tiene alguien que l@ apoye?</t>
  </si>
  <si>
    <t xml:space="preserve">cuota nivelada </t>
  </si>
  <si>
    <t>Monto que requiere ?</t>
  </si>
  <si>
    <t xml:space="preserve">Monto requerido </t>
  </si>
  <si>
    <t>Fiduciario</t>
  </si>
  <si>
    <t xml:space="preserve">Prendario </t>
  </si>
  <si>
    <t>Sin fiador</t>
  </si>
  <si>
    <t xml:space="preserve">Tipo de credito </t>
  </si>
  <si>
    <t>Tiene dependientes economicos?</t>
  </si>
  <si>
    <t xml:space="preserve">Cuantos dependientes? </t>
  </si>
  <si>
    <t xml:space="preserve">Primer Nombre </t>
  </si>
  <si>
    <t xml:space="preserve">Desempleado </t>
  </si>
  <si>
    <t>Viudo/a</t>
  </si>
  <si>
    <t xml:space="preserve">retirado </t>
  </si>
  <si>
    <t>Tiene o ha tenido tarjeta de credito?</t>
  </si>
  <si>
    <t xml:space="preserve">contacto del pariente migrante </t>
  </si>
  <si>
    <t xml:space="preserve">Informacion de la garantia hipotecaria </t>
  </si>
  <si>
    <t xml:space="preserve">tipo de propiedad </t>
  </si>
  <si>
    <t>tiene construccion ?</t>
  </si>
  <si>
    <t>cuenta con alguna deuda sobre la propiedad ?</t>
  </si>
  <si>
    <t>valor estimado/ esperado ?</t>
  </si>
  <si>
    <t xml:space="preserve">Marca </t>
  </si>
  <si>
    <t xml:space="preserve">modelo / año </t>
  </si>
  <si>
    <t xml:space="preserve">bueno </t>
  </si>
  <si>
    <t xml:space="preserve">medio </t>
  </si>
  <si>
    <t xml:space="preserve">malo </t>
  </si>
  <si>
    <t xml:space="preserve">daño mecanico </t>
  </si>
  <si>
    <t>daño estetico</t>
  </si>
  <si>
    <t xml:space="preserve">su vehiculo se encuentra en estado </t>
  </si>
  <si>
    <t xml:space="preserve">le ha realizado alguna modificacion estetica? </t>
  </si>
  <si>
    <t xml:space="preserve">le ha colocado accesorios o equipo de sonido mejorado </t>
  </si>
  <si>
    <t xml:space="preserve">Camioneta </t>
  </si>
  <si>
    <t xml:space="preserve">hatchback </t>
  </si>
  <si>
    <t xml:space="preserve">sedan </t>
  </si>
  <si>
    <t xml:space="preserve">pickup </t>
  </si>
  <si>
    <t xml:space="preserve">moto </t>
  </si>
  <si>
    <t xml:space="preserve">camion </t>
  </si>
  <si>
    <t xml:space="preserve">microbus </t>
  </si>
  <si>
    <t xml:space="preserve">bus </t>
  </si>
  <si>
    <t xml:space="preserve">cabezal </t>
  </si>
  <si>
    <t>cual es el monto de la deuda?</t>
  </si>
  <si>
    <t>Pariente migrante ?</t>
  </si>
  <si>
    <t xml:space="preserve">capacidad de endeudamiento </t>
  </si>
  <si>
    <t xml:space="preserve">Factoraje internacional </t>
  </si>
  <si>
    <t xml:space="preserve">leasing maquinaria </t>
  </si>
  <si>
    <t xml:space="preserve">1-5 años </t>
  </si>
  <si>
    <t>0-1 año</t>
  </si>
  <si>
    <t xml:space="preserve">5-10 años </t>
  </si>
  <si>
    <t xml:space="preserve">cuota nivelada ideal </t>
  </si>
  <si>
    <t xml:space="preserve">La tiene funcionando </t>
  </si>
  <si>
    <t xml:space="preserve">compañía ? </t>
  </si>
  <si>
    <t>Ingresos</t>
  </si>
  <si>
    <t>Q1,000 - Q3,000</t>
  </si>
  <si>
    <t>Q3,001 - Q6,000</t>
  </si>
  <si>
    <t>Q6,001 - Q10,000</t>
  </si>
  <si>
    <t>Q10,001 - Q15,000</t>
  </si>
  <si>
    <t>Q15,001 - Q25,000</t>
  </si>
  <si>
    <t>Q25,001 en adelante</t>
  </si>
  <si>
    <t>informacion general</t>
  </si>
  <si>
    <t>Edad</t>
  </si>
  <si>
    <t>40 - 49 años</t>
  </si>
  <si>
    <t>30 - 39 años</t>
  </si>
  <si>
    <t>18 - 29 años</t>
  </si>
  <si>
    <t>70 años o mas</t>
  </si>
  <si>
    <t>Casco Urbano</t>
  </si>
  <si>
    <t xml:space="preserve">Ciudad Satelite </t>
  </si>
  <si>
    <t>Interior Casco</t>
  </si>
  <si>
    <t>Interior Rural</t>
  </si>
  <si>
    <t>Zona</t>
  </si>
  <si>
    <t>medio en el que nos vio</t>
  </si>
  <si>
    <t>informacion laboral</t>
  </si>
  <si>
    <t>Estado civil</t>
  </si>
  <si>
    <t>CATALOGO DE RIESGO</t>
  </si>
  <si>
    <t>Nombre:</t>
  </si>
  <si>
    <t>DPI:</t>
  </si>
  <si>
    <t>NIT:</t>
  </si>
  <si>
    <t>Edad del solicitante</t>
  </si>
  <si>
    <t>Referencia para colocar rango de capacidad de endeudamiento</t>
  </si>
  <si>
    <t>Egresos</t>
  </si>
  <si>
    <t>Residencia</t>
  </si>
  <si>
    <t>Si</t>
  </si>
  <si>
    <t>No</t>
  </si>
  <si>
    <t>Tiene mascotas</t>
  </si>
  <si>
    <t>5+</t>
  </si>
  <si>
    <t>Tiene dependientes</t>
  </si>
  <si>
    <t>Cuantos dependientes</t>
  </si>
  <si>
    <t>Ocupacion</t>
  </si>
  <si>
    <t>Inicio de labores</t>
  </si>
  <si>
    <t>Afiliacion al IGSS</t>
  </si>
  <si>
    <t>Capacidad de endeudamiento</t>
  </si>
  <si>
    <t xml:space="preserve">Si </t>
  </si>
  <si>
    <t>Estados de cuenta</t>
  </si>
  <si>
    <t>La tiene funcionando</t>
  </si>
  <si>
    <t>Vivienda propia</t>
  </si>
  <si>
    <t>Vehiculo propio</t>
  </si>
  <si>
    <t>La garantia es propia</t>
  </si>
  <si>
    <t>Plazo</t>
  </si>
  <si>
    <t>GPS</t>
  </si>
  <si>
    <t>Seguro</t>
  </si>
  <si>
    <t>Terreno</t>
  </si>
  <si>
    <t>Lote</t>
  </si>
  <si>
    <t>Casa</t>
  </si>
  <si>
    <t xml:space="preserve">Apartamento </t>
  </si>
  <si>
    <t xml:space="preserve">Bodega </t>
  </si>
  <si>
    <t>Edificio</t>
  </si>
  <si>
    <t xml:space="preserve">Parqueo </t>
  </si>
  <si>
    <t xml:space="preserve">Granja/ finca </t>
  </si>
  <si>
    <t xml:space="preserve"> Alta Verapaz</t>
  </si>
  <si>
    <t xml:space="preserve"> Baja Verapaz</t>
  </si>
  <si>
    <t xml:space="preserve"> Chimaltenango</t>
  </si>
  <si>
    <t xml:space="preserve"> Chiquimula</t>
  </si>
  <si>
    <t xml:space="preserve"> El Progreso</t>
  </si>
  <si>
    <t xml:space="preserve"> Escuintla</t>
  </si>
  <si>
    <t xml:space="preserve"> Guatemala</t>
  </si>
  <si>
    <t xml:space="preserve"> Huehuetenango</t>
  </si>
  <si>
    <t xml:space="preserve"> Izabal</t>
  </si>
  <si>
    <t xml:space="preserve"> Jalapa</t>
  </si>
  <si>
    <t xml:space="preserve"> Jutiapa</t>
  </si>
  <si>
    <t xml:space="preserve"> Petén</t>
  </si>
  <si>
    <t xml:space="preserve"> Quetzaltenango</t>
  </si>
  <si>
    <t xml:space="preserve"> Quiché</t>
  </si>
  <si>
    <t xml:space="preserve"> Retalhuleu</t>
  </si>
  <si>
    <t xml:space="preserve"> Sacatepéquez</t>
  </si>
  <si>
    <t xml:space="preserve"> San Marcos</t>
  </si>
  <si>
    <t xml:space="preserve"> Santa Rosa</t>
  </si>
  <si>
    <t xml:space="preserve"> Sololá</t>
  </si>
  <si>
    <t xml:space="preserve"> Suchitepéquez</t>
  </si>
  <si>
    <t xml:space="preserve"> Totonicapán</t>
  </si>
  <si>
    <t xml:space="preserve"> Zacapa</t>
  </si>
  <si>
    <t>Toyota</t>
  </si>
  <si>
    <t>Honda</t>
  </si>
  <si>
    <t>Suzuki</t>
  </si>
  <si>
    <t>Mazda</t>
  </si>
  <si>
    <t>Nissan</t>
  </si>
  <si>
    <t>Mitsubishi</t>
  </si>
  <si>
    <t>Isuzu</t>
  </si>
  <si>
    <t>Hyundai</t>
  </si>
  <si>
    <t>Renault</t>
  </si>
  <si>
    <t>Kia</t>
  </si>
  <si>
    <t>GN</t>
  </si>
  <si>
    <t>Alfa Romeo</t>
  </si>
  <si>
    <t>Ferrari</t>
  </si>
  <si>
    <t>Lamborghini</t>
  </si>
  <si>
    <t>Maserati</t>
  </si>
  <si>
    <t>Fiat</t>
  </si>
  <si>
    <t>Chevrolet</t>
  </si>
  <si>
    <t>Ford</t>
  </si>
  <si>
    <t>Cadillac</t>
  </si>
  <si>
    <t>Chrysler</t>
  </si>
  <si>
    <t>Dodge</t>
  </si>
  <si>
    <t>GMC</t>
  </si>
  <si>
    <t>Audi</t>
  </si>
  <si>
    <t>Mercedes Benz</t>
  </si>
  <si>
    <t>BMW</t>
  </si>
  <si>
    <t>Porsche</t>
  </si>
  <si>
    <t>Volkswagen</t>
  </si>
  <si>
    <t>Smart</t>
  </si>
  <si>
    <t>Land Rover</t>
  </si>
  <si>
    <t>Mini cooper</t>
  </si>
  <si>
    <t>Otro</t>
  </si>
  <si>
    <t>Marca del vehiculo</t>
  </si>
  <si>
    <t>Origen</t>
  </si>
  <si>
    <t>Agencia</t>
  </si>
  <si>
    <t>Rodado</t>
  </si>
  <si>
    <t>Primer apellido</t>
  </si>
  <si>
    <t>Segundo apellido</t>
  </si>
  <si>
    <t>Nivel</t>
  </si>
  <si>
    <t>Municipio</t>
  </si>
  <si>
    <t>e-mail</t>
  </si>
  <si>
    <t xml:space="preserve">Información de la garantía hipotecaria </t>
  </si>
  <si>
    <t xml:space="preserve">Información de la garantía vehículo </t>
  </si>
  <si>
    <t xml:space="preserve">línea </t>
  </si>
  <si>
    <t>Origen del vehículo</t>
  </si>
  <si>
    <t xml:space="preserve">Tipo de vehículo </t>
  </si>
  <si>
    <t>en donde maneja su vehículo?</t>
  </si>
  <si>
    <t>cuenta con alguna deuda sobre el vehículo ?</t>
  </si>
  <si>
    <t xml:space="preserve">Dirección de residencia </t>
  </si>
  <si>
    <t xml:space="preserve">Información laboral </t>
  </si>
  <si>
    <t xml:space="preserve">Ocupación </t>
  </si>
  <si>
    <t>Tiene dependientes económicos?</t>
  </si>
  <si>
    <t xml:space="preserve">Información crediticia </t>
  </si>
  <si>
    <t>Tiene cuenta en algún banco ?</t>
  </si>
  <si>
    <t>Tiene o ha tenido tarjeta de crédito?</t>
  </si>
  <si>
    <t>Ha tenido algún crédito ?</t>
  </si>
  <si>
    <t>vehículo propio?</t>
  </si>
  <si>
    <t xml:space="preserve">Información del crédito </t>
  </si>
  <si>
    <t xml:space="preserve">Garantía del crédito </t>
  </si>
  <si>
    <t xml:space="preserve">Tipo de crédito </t>
  </si>
  <si>
    <t>Tasa de interés</t>
  </si>
  <si>
    <t>Información General del solicitante</t>
  </si>
  <si>
    <t>Hipotecario</t>
  </si>
  <si>
    <t>Vehiculo</t>
  </si>
  <si>
    <t>Info general</t>
  </si>
  <si>
    <t>Tipo de credito</t>
  </si>
  <si>
    <t>A</t>
  </si>
  <si>
    <t>B</t>
  </si>
  <si>
    <t>C</t>
  </si>
  <si>
    <t>D</t>
  </si>
  <si>
    <t>Modelo</t>
  </si>
  <si>
    <t>Diferencia entre cuota y capacidad de endeudamiento</t>
  </si>
  <si>
    <t>Guatemala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</si>
  <si>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</si>
  <si>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</si>
  <si>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</si>
  <si>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</si>
  <si>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</si>
  <si>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</si>
  <si>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</si>
  <si>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</si>
  <si>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 xml:space="preserve"> San Juan Sacatepéquez</t>
  </si>
  <si>
    <t xml:space="preserve"> San Raymundo</t>
  </si>
  <si>
    <t xml:space="preserve"> Chuarrancho</t>
  </si>
  <si>
    <t xml:space="preserve"> Fraijanes</t>
  </si>
  <si>
    <t xml:space="preserve"> Amatitlán</t>
  </si>
  <si>
    <t xml:space="preserve"> Villa Nueva</t>
  </si>
  <si>
    <t xml:space="preserve"> Villa Canales</t>
  </si>
  <si>
    <t xml:space="preserve"> Petapa</t>
  </si>
  <si>
    <t>Informacion general</t>
  </si>
  <si>
    <t>Informacion laboral</t>
  </si>
  <si>
    <t>Informacion crediticia</t>
  </si>
  <si>
    <t>Tiene construcción?</t>
  </si>
  <si>
    <t xml:space="preserve">Departamento </t>
  </si>
  <si>
    <t xml:space="preserve">Tipo de propiedad </t>
  </si>
  <si>
    <t xml:space="preserve">Dirección exacta de la propiedad </t>
  </si>
  <si>
    <t>Cuenta con alguna deuda sobre la propiedad ?</t>
  </si>
  <si>
    <t xml:space="preserve">Su vehículo se encuentra en estado </t>
  </si>
  <si>
    <t>Ideal</t>
  </si>
  <si>
    <t>Peor</t>
  </si>
  <si>
    <t>Pregunta #2</t>
  </si>
  <si>
    <t>Pregunta #1</t>
  </si>
  <si>
    <t>Pregunta #3</t>
  </si>
  <si>
    <t>Pregunta #4</t>
  </si>
  <si>
    <t>Pregunta #5</t>
  </si>
  <si>
    <t>Mejor</t>
  </si>
  <si>
    <t>Tiene cuenta bancaria</t>
  </si>
  <si>
    <t>Tiene tarjeta de credito</t>
  </si>
  <si>
    <t>Tiene alguna deuda sobre la propiedad</t>
  </si>
  <si>
    <t>Porcentaje que representa la cuota de su capacidad de endeudamiento</t>
  </si>
  <si>
    <t>Cuota nivelada vs. Capacidad de endeudamiento</t>
  </si>
  <si>
    <t>Garantia propia</t>
  </si>
  <si>
    <t>Tipo de propiedad</t>
  </si>
  <si>
    <t>Numero de teléfono fijo</t>
  </si>
  <si>
    <t>Numero de celular</t>
  </si>
  <si>
    <t xml:space="preserve">Capacidad de endeudamiento </t>
  </si>
  <si>
    <t>¿La garantía es propia?</t>
  </si>
  <si>
    <t xml:space="preserve">¿Toma usted la decisión sobre el crédito ? </t>
  </si>
  <si>
    <t xml:space="preserve">¿Que espera usted de su crédito? </t>
  </si>
  <si>
    <t>Si llegara a tener algún problema de pago tiene alguien que lo apoye?</t>
  </si>
  <si>
    <t xml:space="preserve">Contacto del pariente </t>
  </si>
  <si>
    <t>Cuando se construyo?</t>
  </si>
  <si>
    <t xml:space="preserve">Referencia de ubicación de la propiedad </t>
  </si>
  <si>
    <t xml:space="preserve">Le ha colocado accesorios o equipo de sonido mejorado </t>
  </si>
  <si>
    <t xml:space="preserve">Le ha realizado alguna modificación estética? </t>
  </si>
  <si>
    <t>Cuenta con alguna deuda sobre el vehículo ?</t>
  </si>
  <si>
    <t xml:space="preserve">Cual es el monto de la deuda ? </t>
  </si>
  <si>
    <t xml:space="preserve">Zona </t>
  </si>
  <si>
    <t>Coinciden direcciones?</t>
  </si>
  <si>
    <t>*al revisar datos llenar este campo</t>
  </si>
  <si>
    <t>Dentro de sus egresos paga alguna deuda?</t>
  </si>
  <si>
    <t>Es usted profesional?</t>
  </si>
  <si>
    <t>Esta orgulloso de sus actividades</t>
  </si>
  <si>
    <t>Esta orgulloso de sus actividades?</t>
  </si>
  <si>
    <t>La tiene al día?</t>
  </si>
  <si>
    <t>Es honrado?</t>
  </si>
  <si>
    <t>*Responder al revisar en buro crediticio</t>
  </si>
  <si>
    <t>Posee cuotas atrasadas?</t>
  </si>
  <si>
    <t>Cantidad de cuotas atrasadas?</t>
  </si>
  <si>
    <t>Monto que adeuda</t>
  </si>
  <si>
    <t>Posee cuotas atrasadas</t>
  </si>
  <si>
    <t>Cantidad de cuotas atrasadas</t>
  </si>
  <si>
    <t>Cuotas</t>
  </si>
  <si>
    <t>Cuota nivelada</t>
  </si>
  <si>
    <t>Cuota de intereses</t>
  </si>
  <si>
    <t>Tiene IUSI al día?</t>
  </si>
  <si>
    <t>Cuantos trimestres adeuda?</t>
  </si>
  <si>
    <t>4+</t>
  </si>
  <si>
    <t>Que logro tener algo propio!</t>
  </si>
  <si>
    <t xml:space="preserve">* ¿animado o se mostro parco en su respuesta? </t>
  </si>
  <si>
    <t>Impuesto de circulacion del año en curso pagado?</t>
  </si>
  <si>
    <t>Días en mora?</t>
  </si>
  <si>
    <t>Días en mora</t>
  </si>
  <si>
    <t>90+</t>
  </si>
  <si>
    <t>Coinciden direcciones</t>
  </si>
  <si>
    <t>Cuenta con alguna deuda sobre el vehiculo</t>
  </si>
  <si>
    <t>Cuantos créditos activos tiene?</t>
  </si>
  <si>
    <t>Monto total que adeuda?</t>
  </si>
  <si>
    <t>Cuota mensual total?</t>
  </si>
  <si>
    <t>Nombre del Propietario:</t>
  </si>
  <si>
    <t>Nombre del deudor:</t>
  </si>
  <si>
    <t>Garantía</t>
  </si>
  <si>
    <t>Datos:</t>
  </si>
  <si>
    <t xml:space="preserve">Inversionista: </t>
  </si>
  <si>
    <t>►</t>
  </si>
  <si>
    <t>MONTO SOLICITADO EN QUETZALES:</t>
  </si>
  <si>
    <t>Tipo de cambio:  US$ 1.00 x  Q.</t>
  </si>
  <si>
    <t xml:space="preserve"> </t>
  </si>
  <si>
    <t>%</t>
  </si>
  <si>
    <t>IVA</t>
  </si>
  <si>
    <t>Tasa de Interés:</t>
  </si>
  <si>
    <t>Inversionista</t>
  </si>
  <si>
    <t>MES INTERES ANTICIPADO</t>
  </si>
  <si>
    <t>Empresa</t>
  </si>
  <si>
    <t>COMISION Y GASTOS DE REGISTRO</t>
  </si>
  <si>
    <t>ROYALTY</t>
  </si>
  <si>
    <t>Free lance</t>
  </si>
  <si>
    <t>Free Lance</t>
  </si>
  <si>
    <t>Inspección</t>
  </si>
  <si>
    <t>Gastos Administrativos</t>
  </si>
  <si>
    <t>Otros Gastos</t>
  </si>
  <si>
    <t xml:space="preserve">  </t>
  </si>
  <si>
    <t>OTROS DESCUENTOS</t>
  </si>
  <si>
    <t>Multas</t>
  </si>
  <si>
    <t>Copia de llave</t>
  </si>
  <si>
    <t>GASTOS DE ABOGADO</t>
  </si>
  <si>
    <t>Honorarios Escrituración</t>
  </si>
  <si>
    <t>Impuesto  (base x millar)</t>
  </si>
  <si>
    <t>o/oo</t>
  </si>
  <si>
    <t>Autentica contrato de cobranza</t>
  </si>
  <si>
    <t>CALCULOS PAGO IMPUESTO DE OPERACIÓN</t>
  </si>
  <si>
    <t>x</t>
  </si>
  <si>
    <t>Pago de Timbres</t>
  </si>
  <si>
    <t>Pago a efectuar de Hipoteca a nombre de:</t>
  </si>
  <si>
    <t>DESCUENTOS DE:</t>
  </si>
  <si>
    <t>FECHA: ___________</t>
  </si>
  <si>
    <t>TOTAL A RECIBIR:</t>
  </si>
  <si>
    <t>Vo. Bo. ___________Lic.________________________</t>
  </si>
  <si>
    <t>ESC. # ___________________</t>
  </si>
  <si>
    <t>INV:_______________________</t>
  </si>
  <si>
    <t>CONTRATO: _______________</t>
  </si>
  <si>
    <t>MONEDA</t>
  </si>
  <si>
    <t>MONTO</t>
  </si>
  <si>
    <t>FECHA</t>
  </si>
  <si>
    <t>EMISOR</t>
  </si>
  <si>
    <t>BANCO</t>
  </si>
  <si>
    <t>BENEFICIARIO</t>
  </si>
  <si>
    <t>CONCEPTO</t>
  </si>
  <si>
    <t>Q</t>
  </si>
  <si>
    <t>© CLUB CASH IN . Este documento es propiedad de Club Cash In,  copia u otro uso de este documento por y para terceras personas está prohibida.</t>
  </si>
  <si>
    <t>Solicitante:</t>
  </si>
  <si>
    <t>Monto Solicitado</t>
  </si>
  <si>
    <t>Deducciones</t>
  </si>
  <si>
    <t>Royalty</t>
  </si>
  <si>
    <t>*</t>
  </si>
  <si>
    <t>Gastos legales</t>
  </si>
  <si>
    <t>Líquido a recibir</t>
  </si>
  <si>
    <t>*El GPS se paga mensualmente, se cancela al momento de desinstalar el dispositivo GPS.</t>
  </si>
  <si>
    <r>
      <rPr>
        <b/>
        <sz val="7"/>
        <rFont val="Arial"/>
        <family val="2"/>
      </rPr>
      <t xml:space="preserve">Nota: </t>
    </r>
    <r>
      <rPr>
        <sz val="7"/>
        <rFont val="Arial"/>
        <family val="2"/>
      </rPr>
      <t xml:space="preserve">El pago de GPS y Seguro son obligatorios y no estan incuidos dentro de la cuota mensual de interes. </t>
    </r>
  </si>
  <si>
    <t>Monto solicitado</t>
  </si>
  <si>
    <t>Plazo (Meses)</t>
  </si>
  <si>
    <t>Cuota</t>
  </si>
  <si>
    <t>Mes</t>
  </si>
  <si>
    <t>Saldo inicial</t>
  </si>
  <si>
    <t>Intereses</t>
  </si>
  <si>
    <t>Interés + IVA</t>
  </si>
  <si>
    <t>Amortización</t>
  </si>
  <si>
    <t>Saldo final</t>
  </si>
  <si>
    <t>Cuota mensual</t>
  </si>
  <si>
    <t>Nombre del propietario</t>
  </si>
  <si>
    <t xml:space="preserve">Nombre del deudor </t>
  </si>
  <si>
    <t>Préstamo otorgado</t>
  </si>
  <si>
    <t>Inscripciones (1o. Y 2do. Lugar, RGPI)</t>
  </si>
  <si>
    <t>Honorarios abogado</t>
  </si>
  <si>
    <t>DETALLE DE GASTOS DE PRÉSTAMO OTORGADO</t>
  </si>
  <si>
    <t xml:space="preserve">Nombre del Solicitante del crédito: </t>
  </si>
  <si>
    <t>Dirección del Inmueble:</t>
  </si>
  <si>
    <t xml:space="preserve">► </t>
  </si>
  <si>
    <t xml:space="preserve">Inversionista </t>
  </si>
  <si>
    <t>Empresa Club C</t>
  </si>
  <si>
    <t>IUSI</t>
  </si>
  <si>
    <t>Gastos administrativos</t>
  </si>
  <si>
    <t>Gastos de Registro (Registro Propiedad Inmueble)</t>
  </si>
  <si>
    <t xml:space="preserve">GASTOS ESCRITURACION Y REGISTRO </t>
  </si>
  <si>
    <t xml:space="preserve">Memorial para registro temporal e inscripción RGPI </t>
  </si>
  <si>
    <t>Otros descuentos</t>
  </si>
  <si>
    <t>Contrato de cobro</t>
  </si>
  <si>
    <t>Liberación del inmueble</t>
  </si>
  <si>
    <t>Carta de Pago</t>
  </si>
  <si>
    <t>Datos del inmueble:</t>
  </si>
  <si>
    <t>Capital</t>
  </si>
  <si>
    <t>Utilidad Neta Inversor</t>
  </si>
  <si>
    <t>Cuota mensual (sin servicios)</t>
  </si>
  <si>
    <t>Cash-in</t>
  </si>
  <si>
    <t>Con impuestos</t>
  </si>
  <si>
    <t>Sin impuestos</t>
  </si>
  <si>
    <t>ISR</t>
  </si>
  <si>
    <t>Cash-In</t>
  </si>
  <si>
    <t>Vehiculo:</t>
  </si>
  <si>
    <t>Base de cálculo Gastos de Registro</t>
  </si>
  <si>
    <t>- Q 10,0000</t>
  </si>
  <si>
    <t xml:space="preserve"> x .015%</t>
  </si>
  <si>
    <t xml:space="preserve">(+) Gastos </t>
  </si>
  <si>
    <t>Inscripción Registro</t>
  </si>
  <si>
    <t>Scanner documento</t>
  </si>
  <si>
    <t>Gastos extraordinarios</t>
  </si>
  <si>
    <t>Capacidad de endeudamiento después de deudas</t>
  </si>
  <si>
    <t>Nombre del propietario de la garantía</t>
  </si>
  <si>
    <t>¿Tiene algún pariente migrante ?</t>
  </si>
  <si>
    <t>Impuesto de circulación del año en curso pagado?</t>
  </si>
  <si>
    <t>Segundo nombre</t>
  </si>
  <si>
    <t>Finca 139, folio 139, libro 2538 de Guatemala</t>
  </si>
  <si>
    <t>3% mensual 1a.cuota (incluye IVA)</t>
  </si>
  <si>
    <t>Royalty 4%</t>
  </si>
  <si>
    <t xml:space="preserve">Mario  Oswaldo  Rosales  Pur </t>
  </si>
  <si>
    <t xml:space="preserve">Mario Oswaldo Rosales Pur </t>
  </si>
  <si>
    <t>Observaciones</t>
  </si>
  <si>
    <t xml:space="preserve">Afiliación al IGSS </t>
  </si>
  <si>
    <t xml:space="preserve">Numero de afiliación </t>
  </si>
  <si>
    <t>Q0 - Q1000</t>
  </si>
  <si>
    <t>Q1,001 - Q3,000</t>
  </si>
  <si>
    <t>Vehículo</t>
  </si>
  <si>
    <t>Porcentaje que representa el monto solicitado sobre el valor bancario del activo</t>
  </si>
  <si>
    <t>Valor bancario del activo</t>
  </si>
  <si>
    <t>Fecha de pago</t>
  </si>
  <si>
    <t>No. Cuota</t>
  </si>
  <si>
    <r>
      <t xml:space="preserve">Cuotas interes mensual </t>
    </r>
    <r>
      <rPr>
        <sz val="8"/>
        <rFont val="Arial"/>
        <family val="2"/>
      </rPr>
      <t>(interes sobre saldo)</t>
    </r>
  </si>
  <si>
    <r>
      <t xml:space="preserve">Cuotas de seguro </t>
    </r>
    <r>
      <rPr>
        <sz val="8"/>
        <rFont val="Arial"/>
        <family val="2"/>
      </rPr>
      <t>(12 cuotas anuales)</t>
    </r>
  </si>
  <si>
    <r>
      <t xml:space="preserve">Cuotas de GPS </t>
    </r>
    <r>
      <rPr>
        <sz val="8"/>
        <rFont val="Arial"/>
        <family val="2"/>
      </rPr>
      <t>(mensual)</t>
    </r>
  </si>
  <si>
    <t xml:space="preserve">*La prima del seguro son 12 cuotas anuales que se pagan mensualmente, al momento de cancelar el credito se cancela el seguro. </t>
  </si>
  <si>
    <t>Detalle de cuotas niveladas</t>
  </si>
  <si>
    <t>Datos del vehículo</t>
  </si>
  <si>
    <t>Marca:</t>
  </si>
  <si>
    <t>Línea:</t>
  </si>
  <si>
    <t>Modelo:</t>
  </si>
  <si>
    <t>Valor del vehículo:</t>
  </si>
  <si>
    <t>Enganche:</t>
  </si>
  <si>
    <t>Monto a financiar:</t>
  </si>
  <si>
    <t>Plazo (meses):</t>
  </si>
  <si>
    <t>Tasa de interés:</t>
  </si>
  <si>
    <t>Seguro:</t>
  </si>
  <si>
    <t>Monto total a financiar:</t>
  </si>
  <si>
    <t>Traspaso</t>
  </si>
  <si>
    <t>Cuota mensual:</t>
  </si>
  <si>
    <t>Traspaso de vehículo</t>
  </si>
  <si>
    <t>Gastos de  Traspaso</t>
  </si>
  <si>
    <t>Valor Comercial</t>
  </si>
  <si>
    <t>Valor Bancario</t>
  </si>
  <si>
    <t>Capacidad de Pago</t>
  </si>
  <si>
    <t>Valor Mercado</t>
  </si>
  <si>
    <t>Detalle de crédito compra de vehiculo</t>
  </si>
  <si>
    <t>NO</t>
  </si>
  <si>
    <t>SI</t>
  </si>
  <si>
    <t>Descontado</t>
  </si>
  <si>
    <t>Precio</t>
  </si>
  <si>
    <t>Bus hasta 20 pasajeros</t>
  </si>
  <si>
    <t>Bus 21-35 pasajeros</t>
  </si>
  <si>
    <t>Bus mas de 35 pasajeros</t>
  </si>
  <si>
    <t>UBER</t>
  </si>
  <si>
    <t>Nit del deudor:</t>
  </si>
  <si>
    <t>X</t>
  </si>
  <si>
    <t>Vehículo comercial</t>
  </si>
  <si>
    <t>Precio antiguo</t>
  </si>
  <si>
    <t>Precio nuevo</t>
  </si>
  <si>
    <t>Membresía</t>
  </si>
  <si>
    <t>Nuevo - Nuevo</t>
  </si>
  <si>
    <t>Nuevo - Viejo</t>
  </si>
  <si>
    <t>Garantía mobiliaria</t>
  </si>
  <si>
    <t>Membresia total usados</t>
  </si>
  <si>
    <t>Membresia total nuevos</t>
  </si>
  <si>
    <t>Membresia parcial usados</t>
  </si>
  <si>
    <t>Membresia parcial nuevos</t>
  </si>
  <si>
    <t>INREXSA</t>
  </si>
  <si>
    <t>Pick Up</t>
  </si>
  <si>
    <t>Seguro INREXSA</t>
  </si>
  <si>
    <t>Monto asegurado:</t>
  </si>
  <si>
    <t>Panel, Camion, Microbus</t>
  </si>
  <si>
    <t xml:space="preserve">Prodencia del vehiculo </t>
  </si>
  <si>
    <t>Edad solicitante (s)</t>
  </si>
  <si>
    <t>Oportunidad</t>
  </si>
  <si>
    <t>Verificación de dirección</t>
  </si>
  <si>
    <t>Membresia</t>
  </si>
  <si>
    <t xml:space="preserve">Diferencia de copia de llave </t>
  </si>
  <si>
    <t>Impuesto circulación, 2025</t>
  </si>
  <si>
    <t xml:space="preserve">Cube Investments, S.A. </t>
  </si>
  <si>
    <t>BAM</t>
  </si>
  <si>
    <r>
      <t xml:space="preserve">Cube Investments, S.A. </t>
    </r>
    <r>
      <rPr>
        <b/>
        <sz val="11"/>
        <color rgb="FFFF0000"/>
        <rFont val="Arial"/>
        <family val="2"/>
      </rPr>
      <t xml:space="preserve">(No Negociable) </t>
    </r>
  </si>
  <si>
    <t>AGENCIA</t>
  </si>
  <si>
    <t>TIPO DE CUENTA</t>
  </si>
  <si>
    <t>NO.CUENTA</t>
  </si>
  <si>
    <t>TIPO</t>
  </si>
  <si>
    <t>MONETARIA</t>
  </si>
  <si>
    <t>TRASFERENCIA</t>
  </si>
  <si>
    <t>Camion</t>
  </si>
  <si>
    <t>Mario Edú Polanco Fores</t>
  </si>
  <si>
    <t>FOTON</t>
  </si>
  <si>
    <t>AUMARK E</t>
  </si>
  <si>
    <r>
      <t xml:space="preserve">AUTOMAQ GUATEMALA, S.A. </t>
    </r>
    <r>
      <rPr>
        <b/>
        <sz val="11"/>
        <color rgb="FFFF0000"/>
        <rFont val="Arial"/>
        <family val="2"/>
      </rPr>
      <t xml:space="preserve">(No Negociable) </t>
    </r>
  </si>
  <si>
    <t>30-2009653-9</t>
  </si>
  <si>
    <t>Credito otorgado a Mario Edú Polanco Fores</t>
  </si>
  <si>
    <t>Gastos Administrativos, contratos, garantía, visita domiciliar</t>
  </si>
  <si>
    <t>AUTOMAQ GUATEMALA, S.A.</t>
  </si>
  <si>
    <t>CAMION</t>
  </si>
  <si>
    <t>FOTON CAMION AUMARK E 2026</t>
  </si>
  <si>
    <t>Nombramiento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</si>
</sst>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Q&quot;#,##0.00;[Red]\-&quot;Q&quot;#,##0.00"/>
    <numFmt numFmtId="44" formatCode="_-&quot;Q&quot;* #,##0.00_-;\-&quot;Q&quot;* #,##0.00_-;_-&quot;Q&quot;* &quot;-&quot;??_-;_-@_-"/>
    <numFmt numFmtId="164" formatCode="_-&quot;Q&quot;* #,##0.0_-;\-&quot;Q&quot;* #,##0.0_-;_-&quot;Q&quot;* &quot;-&quot;??_-;_-@_-"/>
    <numFmt numFmtId="165" formatCode="_(* #,##0.00_);_(* \(#,##0.00\);_(* &quot;-&quot;??_);_(@_)"/>
    <numFmt numFmtId="166" formatCode="_(&quot;Q&quot;* #,##0.00_);_(&quot;Q&quot;* \(#,##0.00\);_(&quot;Q&quot;* &quot;-&quot;??_);_(@_)"/>
    <numFmt numFmtId="167" formatCode="[$$-409]#,##0.00_);\([$$-409]#,##0.00\)"/>
    <numFmt numFmtId="168" formatCode="_([$$-409]* #,##0.00_);_([$$-409]* \(#,##0.00\);_([$$-409]* &quot;-&quot;??_);_(@_)"/>
    <numFmt numFmtId="169" formatCode="[$Q-100A]#,##0.00"/>
    <numFmt numFmtId="170" formatCode="dd/mm/yy;@"/>
    <numFmt numFmtId="171" formatCode="&quot;Q&quot;#,##0.00"/>
    <numFmt numFmtId="172" formatCode="_-[$Q-100A]* #,##0.00_-;\-[$Q-100A]* #,##0.00_-;_-[$Q-100A]* &quot;-&quot;??_-;_-@_-"/>
    <numFmt numFmtId="173" formatCode="_([$$-300A]\ * #,##0.00_);_([$$-300A]\ * \(#,##0.00\);_([$$-300A]\ * &quot;-&quot;??_);_(@_)"/>
    <numFmt numFmtId="174" formatCode="_([$$-440A]* #,##0.00_);_([$$-440A]* \(#,##0.00\);_([$$-440A]* &quot;-&quot;??_);_(@_)"/>
    <numFmt numFmtId="175" formatCode="_([$$-540A]* #,##0.00_);_([$$-540A]* \(#,##0.00\);_([$$-540A]* &quot;-&quot;??_);_(@_)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20"/>
      <color theme="4" tint="-0.249977111117893"/>
      <name val="Elephant"/>
      <family val="1"/>
    </font>
    <font>
      <sz val="20"/>
      <name val="Elephant"/>
      <family val="1"/>
    </font>
    <font>
      <sz val="20"/>
      <color theme="4" tint="-0.249977111117893"/>
      <name val="Georgia"/>
      <family val="1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 Unicode MS"/>
      <family val="2"/>
    </font>
    <font>
      <sz val="10"/>
      <name val="Arial Unicode MS"/>
      <family val="2"/>
    </font>
    <font>
      <b/>
      <sz val="9"/>
      <name val="Arial Unicode MS"/>
      <family val="2"/>
    </font>
    <font>
      <sz val="6"/>
      <name val="Arial Unicode MS"/>
      <family val="2"/>
    </font>
    <font>
      <b/>
      <sz val="12"/>
      <name val="Arial Unicode MS"/>
      <family val="2"/>
    </font>
    <font>
      <b/>
      <u/>
      <sz val="10"/>
      <name val="Arial Unicode MS"/>
      <family val="2"/>
    </font>
    <font>
      <u/>
      <sz val="10"/>
      <name val="Arial Unicode MS"/>
      <family val="2"/>
    </font>
    <font>
      <u/>
      <sz val="10"/>
      <name val="Arial"/>
      <family val="2"/>
    </font>
    <font>
      <b/>
      <u val="singleAccounting"/>
      <sz val="10"/>
      <name val="Arial Unicode MS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theme="1"/>
      <name val="Arial Unicode MS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0"/>
      <color theme="0"/>
      <name val="Arial"/>
      <family val="2"/>
    </font>
    <font>
      <sz val="10.5"/>
      <color theme="1"/>
      <name val="Calibri"/>
      <family val="2"/>
      <scheme val="minor"/>
    </font>
    <font>
      <sz val="14"/>
      <name val="Castellar"/>
      <family val="1"/>
    </font>
    <font>
      <sz val="20"/>
      <color indexed="57"/>
      <name val="Elephant"/>
      <family val="1"/>
    </font>
    <font>
      <b/>
      <sz val="18"/>
      <name val="Arial"/>
      <family val="2"/>
    </font>
    <font>
      <b/>
      <sz val="12"/>
      <color theme="0"/>
      <name val="Georgia"/>
      <family val="1"/>
    </font>
    <font>
      <sz val="10"/>
      <name val="Eras Medium ITC"/>
      <family val="2"/>
    </font>
    <font>
      <b/>
      <sz val="10"/>
      <name val="Georgia"/>
      <family val="1"/>
    </font>
    <font>
      <b/>
      <sz val="10"/>
      <color indexed="60"/>
      <name val="Arial Unicode MS"/>
      <family val="2"/>
    </font>
    <font>
      <b/>
      <sz val="10"/>
      <color theme="9" tint="-0.499984740745262"/>
      <name val="Arial Unicode MS"/>
      <family val="2"/>
    </font>
    <font>
      <b/>
      <sz val="11"/>
      <color indexed="16"/>
      <name val="Arial Unicode MS"/>
      <family val="2"/>
    </font>
    <font>
      <b/>
      <sz val="14"/>
      <name val="Arial Unicode MS"/>
      <family val="2"/>
    </font>
    <font>
      <b/>
      <sz val="11"/>
      <name val="Century"/>
      <family val="1"/>
    </font>
    <font>
      <b/>
      <sz val="1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01003D"/>
      <name val="Arial Unicode MS"/>
      <family val="2"/>
    </font>
    <font>
      <b/>
      <sz val="11"/>
      <color rgb="FF01003D"/>
      <name val="Arial Unicode MS"/>
      <family val="2"/>
    </font>
    <font>
      <b/>
      <i/>
      <sz val="12"/>
      <color theme="0"/>
      <name val="Calibri"/>
      <family val="2"/>
      <scheme val="minor"/>
    </font>
    <font>
      <b/>
      <sz val="12"/>
      <color rgb="FF01003D"/>
      <name val="Calibri"/>
      <family val="2"/>
    </font>
    <font>
      <b/>
      <sz val="11"/>
      <color rgb="FF01003D"/>
      <name val="Calibri"/>
      <family val="2"/>
    </font>
    <font>
      <b/>
      <sz val="11"/>
      <color rgb="FF01003D"/>
      <name val="Book Antiqua"/>
      <family val="1"/>
    </font>
    <font>
      <sz val="10"/>
      <color rgb="FF01003D"/>
      <name val="Book Antiqua"/>
      <family val="1"/>
    </font>
    <font>
      <sz val="11"/>
      <color rgb="FF01003D"/>
      <name val="Book Antiqua"/>
      <family val="1"/>
    </font>
    <font>
      <b/>
      <sz val="24"/>
      <name val="Arial"/>
      <family val="2"/>
    </font>
    <font>
      <b/>
      <u val="singleAccounting"/>
      <sz val="10"/>
      <color rgb="FF800000"/>
      <name val="Arial Unicode MS"/>
      <family val="2"/>
    </font>
    <font>
      <b/>
      <sz val="22"/>
      <color theme="1"/>
      <name val="Calibri"/>
      <family val="2"/>
      <scheme val="minor"/>
    </font>
    <font>
      <sz val="12"/>
      <name val="Arial"/>
      <family val="2"/>
    </font>
    <font>
      <sz val="10"/>
      <color rgb="FFFF0000"/>
      <name val="Arial Unicode MS"/>
      <family val="2"/>
    </font>
    <font>
      <b/>
      <sz val="10"/>
      <color rgb="FFFF0000"/>
      <name val="Arial Unicode MS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6"/>
      <name val="Georgia"/>
      <family val="1"/>
    </font>
    <font>
      <sz val="9"/>
      <name val="Calibri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1003D"/>
      <name val="Arial"/>
      <family val="2"/>
    </font>
    <font>
      <b/>
      <sz val="12"/>
      <color indexed="8"/>
      <name val="Arial"/>
      <family val="2"/>
    </font>
    <font>
      <b/>
      <sz val="11"/>
      <color rgb="FFFF0000"/>
      <name val="Arial"/>
      <family val="2"/>
    </font>
    <font>
      <b/>
      <sz val="16"/>
      <name val="Arial"/>
      <family val="2"/>
    </font>
    <font>
      <sz val="9"/>
      <color rgb="FFFF0000"/>
      <name val="Calibri"/>
      <family val="2"/>
    </font>
    <font>
      <sz val="8"/>
      <color rgb="FFFF0000"/>
      <name val="Calibri"/>
      <family val="2"/>
    </font>
    <font>
      <sz val="9"/>
      <color rgb="FFFF0000"/>
      <name val="Calibri"/>
      <family val="2"/>
      <scheme val="minor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8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CEFF"/>
        <bgColor indexed="64"/>
      </patternFill>
    </fill>
    <fill>
      <patternFill patternType="solid">
        <fgColor rgb="FF00A4FF"/>
        <bgColor indexed="64"/>
      </patternFill>
    </fill>
    <fill>
      <patternFill patternType="solid">
        <fgColor rgb="FF3EFFC3"/>
        <bgColor indexed="64"/>
      </patternFill>
    </fill>
    <fill>
      <patternFill patternType="solid">
        <fgColor rgb="FFC6EF8E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55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4" xfId="0" applyBorder="1"/>
    <xf numFmtId="0" fontId="5" fillId="0" borderId="0" xfId="0" applyFont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5" fillId="0" borderId="0" xfId="0" applyFont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9" fontId="0" fillId="0" borderId="11" xfId="3" applyFont="1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3" fillId="0" borderId="0" xfId="2" applyFill="1" applyBorder="1" applyAlignment="1">
      <alignment horizontal="left" wrapText="1"/>
    </xf>
    <xf numFmtId="44" fontId="1" fillId="0" borderId="0" xfId="1" applyFont="1" applyFill="1" applyBorder="1" applyAlignment="1">
      <alignment horizontal="center" wrapText="1"/>
    </xf>
    <xf numFmtId="44" fontId="1" fillId="0" borderId="0" xfId="1" applyFont="1" applyFill="1" applyBorder="1" applyAlignment="1">
      <alignment wrapText="1"/>
    </xf>
    <xf numFmtId="9" fontId="0" fillId="0" borderId="0" xfId="3" applyFont="1" applyAlignment="1">
      <alignment horizontal="center"/>
    </xf>
    <xf numFmtId="0" fontId="0" fillId="0" borderId="0" xfId="0" applyAlignment="1">
      <alignment horizontal="right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2" fillId="2" borderId="0" xfId="0" applyFont="1" applyFill="1" applyAlignment="1">
      <alignment horizontal="center"/>
    </xf>
    <xf numFmtId="0" fontId="0" fillId="7" borderId="0" xfId="0" applyFill="1"/>
    <xf numFmtId="9" fontId="0" fillId="0" borderId="0" xfId="3" applyFont="1"/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4" borderId="12" xfId="0" applyFill="1" applyBorder="1"/>
    <xf numFmtId="1" fontId="0" fillId="0" borderId="0" xfId="0" applyNumberForma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9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0" fillId="10" borderId="0" xfId="0" applyFill="1" applyAlignment="1">
      <alignment horizontal="left"/>
    </xf>
    <xf numFmtId="44" fontId="0" fillId="0" borderId="0" xfId="1" applyFont="1" applyFill="1" applyBorder="1" applyAlignment="1"/>
    <xf numFmtId="0" fontId="16" fillId="5" borderId="0" xfId="0" applyFont="1" applyFill="1"/>
    <xf numFmtId="9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0" fillId="0" borderId="0" xfId="3" applyNumberFormat="1" applyFont="1"/>
    <xf numFmtId="0" fontId="10" fillId="0" borderId="0" xfId="0" applyFont="1"/>
    <xf numFmtId="0" fontId="0" fillId="4" borderId="0" xfId="0" applyFill="1" applyAlignment="1">
      <alignment horizontal="left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44" fontId="1" fillId="0" borderId="4" xfId="1" applyFont="1" applyFill="1" applyBorder="1" applyAlignment="1" applyProtection="1">
      <alignment wrapText="1"/>
      <protection locked="0"/>
    </xf>
    <xf numFmtId="0" fontId="4" fillId="0" borderId="4" xfId="2" applyFont="1" applyFill="1" applyBorder="1" applyAlignment="1" applyProtection="1">
      <alignment horizontal="center" wrapText="1"/>
      <protection locked="0"/>
    </xf>
    <xf numFmtId="0" fontId="0" fillId="0" borderId="1" xfId="0" applyBorder="1" applyProtection="1">
      <protection locked="0"/>
    </xf>
    <xf numFmtId="0" fontId="0" fillId="0" borderId="4" xfId="0" applyBorder="1" applyAlignment="1" applyProtection="1">
      <alignment horizontal="center" wrapText="1"/>
      <protection locked="0"/>
    </xf>
    <xf numFmtId="0" fontId="0" fillId="9" borderId="0" xfId="0" applyFill="1" applyAlignment="1">
      <alignment horizontal="right"/>
    </xf>
    <xf numFmtId="0" fontId="16" fillId="12" borderId="0" xfId="0" applyFont="1" applyFill="1"/>
    <xf numFmtId="0" fontId="0" fillId="2" borderId="0" xfId="0" applyFill="1"/>
    <xf numFmtId="0" fontId="10" fillId="2" borderId="0" xfId="0" applyFont="1" applyFill="1"/>
    <xf numFmtId="0" fontId="0" fillId="0" borderId="22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2" fillId="0" borderId="21" xfId="0" applyFont="1" applyBorder="1"/>
    <xf numFmtId="0" fontId="2" fillId="0" borderId="23" xfId="0" applyFont="1" applyBorder="1"/>
    <xf numFmtId="0" fontId="2" fillId="0" borderId="22" xfId="0" applyFont="1" applyBorder="1"/>
    <xf numFmtId="9" fontId="0" fillId="0" borderId="0" xfId="3" applyFont="1" applyFill="1" applyBorder="1" applyAlignment="1">
      <alignment horizontal="center"/>
    </xf>
    <xf numFmtId="0" fontId="4" fillId="0" borderId="4" xfId="0" applyFont="1" applyBorder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0" fontId="21" fillId="0" borderId="0" xfId="4" applyFont="1"/>
    <xf numFmtId="0" fontId="19" fillId="0" borderId="0" xfId="4"/>
    <xf numFmtId="0" fontId="22" fillId="13" borderId="0" xfId="4" applyFont="1" applyFill="1" applyAlignment="1">
      <alignment vertical="top" wrapText="1"/>
    </xf>
    <xf numFmtId="15" fontId="23" fillId="0" borderId="0" xfId="4" applyNumberFormat="1" applyFont="1"/>
    <xf numFmtId="0" fontId="24" fillId="13" borderId="0" xfId="4" applyFont="1" applyFill="1" applyAlignment="1">
      <alignment horizontal="right"/>
    </xf>
    <xf numFmtId="15" fontId="25" fillId="13" borderId="0" xfId="4" applyNumberFormat="1" applyFont="1" applyFill="1" applyAlignment="1">
      <alignment horizontal="left" wrapText="1" readingOrder="2"/>
    </xf>
    <xf numFmtId="22" fontId="19" fillId="13" borderId="0" xfId="4" applyNumberFormat="1" applyFill="1"/>
    <xf numFmtId="0" fontId="19" fillId="13" borderId="0" xfId="4" applyFill="1"/>
    <xf numFmtId="165" fontId="19" fillId="13" borderId="0" xfId="5" applyFill="1" applyBorder="1"/>
    <xf numFmtId="14" fontId="19" fillId="13" borderId="0" xfId="4" applyNumberFormat="1" applyFill="1"/>
    <xf numFmtId="0" fontId="26" fillId="13" borderId="0" xfId="4" applyFont="1" applyFill="1" applyAlignment="1">
      <alignment horizontal="right"/>
    </xf>
    <xf numFmtId="0" fontId="27" fillId="13" borderId="0" xfId="4" applyFont="1" applyFill="1"/>
    <xf numFmtId="0" fontId="26" fillId="13" borderId="4" xfId="4" applyFont="1" applyFill="1" applyBorder="1" applyAlignment="1">
      <alignment horizontal="left"/>
    </xf>
    <xf numFmtId="0" fontId="26" fillId="0" borderId="4" xfId="4" applyFont="1" applyBorder="1"/>
    <xf numFmtId="10" fontId="27" fillId="13" borderId="0" xfId="4" applyNumberFormat="1" applyFont="1" applyFill="1"/>
    <xf numFmtId="165" fontId="27" fillId="13" borderId="0" xfId="5" applyFont="1" applyFill="1" applyBorder="1"/>
    <xf numFmtId="166" fontId="26" fillId="13" borderId="4" xfId="6" applyFont="1" applyFill="1" applyBorder="1" applyProtection="1">
      <protection locked="0"/>
    </xf>
    <xf numFmtId="0" fontId="27" fillId="13" borderId="0" xfId="4" applyFont="1" applyFill="1" applyAlignment="1">
      <alignment horizontal="left"/>
    </xf>
    <xf numFmtId="2" fontId="27" fillId="14" borderId="0" xfId="4" applyNumberFormat="1" applyFont="1" applyFill="1" applyProtection="1">
      <protection locked="0"/>
    </xf>
    <xf numFmtId="0" fontId="26" fillId="0" borderId="0" xfId="4" applyFont="1" applyAlignment="1">
      <alignment horizontal="center"/>
    </xf>
    <xf numFmtId="167" fontId="28" fillId="13" borderId="0" xfId="5" applyNumberFormat="1" applyFont="1" applyFill="1" applyBorder="1"/>
    <xf numFmtId="165" fontId="27" fillId="0" borderId="0" xfId="5" applyFont="1"/>
    <xf numFmtId="166" fontId="27" fillId="13" borderId="0" xfId="6" applyFont="1" applyFill="1"/>
    <xf numFmtId="0" fontId="27" fillId="13" borderId="5" xfId="4" applyFont="1" applyFill="1" applyBorder="1"/>
    <xf numFmtId="10" fontId="26" fillId="0" borderId="6" xfId="4" applyNumberFormat="1" applyFont="1" applyBorder="1" applyAlignment="1">
      <alignment horizontal="center"/>
    </xf>
    <xf numFmtId="165" fontId="26" fillId="13" borderId="7" xfId="5" applyFont="1" applyFill="1" applyBorder="1" applyAlignment="1">
      <alignment horizontal="center"/>
    </xf>
    <xf numFmtId="0" fontId="27" fillId="13" borderId="0" xfId="4" applyFont="1" applyFill="1" applyAlignment="1">
      <alignment horizontal="right"/>
    </xf>
    <xf numFmtId="10" fontId="27" fillId="14" borderId="0" xfId="4" applyNumberFormat="1" applyFont="1" applyFill="1" applyAlignment="1" applyProtection="1">
      <alignment horizontal="center"/>
      <protection locked="0"/>
    </xf>
    <xf numFmtId="0" fontId="29" fillId="13" borderId="8" xfId="4" applyFont="1" applyFill="1" applyBorder="1"/>
    <xf numFmtId="166" fontId="29" fillId="13" borderId="0" xfId="6" applyFont="1" applyFill="1" applyBorder="1"/>
    <xf numFmtId="166" fontId="29" fillId="13" borderId="9" xfId="6" applyFont="1" applyFill="1" applyBorder="1" applyAlignment="1">
      <alignment horizontal="left"/>
    </xf>
    <xf numFmtId="166" fontId="27" fillId="13" borderId="0" xfId="6" applyFont="1" applyFill="1" applyBorder="1"/>
    <xf numFmtId="0" fontId="26" fillId="13" borderId="4" xfId="4" applyFont="1" applyFill="1" applyBorder="1"/>
    <xf numFmtId="0" fontId="26" fillId="14" borderId="4" xfId="4" applyFont="1" applyFill="1" applyBorder="1" applyAlignment="1" applyProtection="1">
      <alignment horizontal="center"/>
      <protection locked="0"/>
    </xf>
    <xf numFmtId="166" fontId="27" fillId="13" borderId="4" xfId="6" applyFont="1" applyFill="1" applyBorder="1"/>
    <xf numFmtId="0" fontId="26" fillId="13" borderId="0" xfId="4" applyFont="1" applyFill="1"/>
    <xf numFmtId="0" fontId="29" fillId="15" borderId="5" xfId="4" applyFont="1" applyFill="1" applyBorder="1"/>
    <xf numFmtId="165" fontId="29" fillId="13" borderId="9" xfId="5" applyFont="1" applyFill="1" applyBorder="1"/>
    <xf numFmtId="166" fontId="26" fillId="13" borderId="0" xfId="6" applyFont="1" applyFill="1" applyBorder="1"/>
    <xf numFmtId="0" fontId="29" fillId="15" borderId="10" xfId="4" applyFont="1" applyFill="1" applyBorder="1"/>
    <xf numFmtId="165" fontId="29" fillId="13" borderId="12" xfId="5" applyFont="1" applyFill="1" applyBorder="1"/>
    <xf numFmtId="166" fontId="26" fillId="13" borderId="0" xfId="6" applyFont="1" applyFill="1"/>
    <xf numFmtId="0" fontId="30" fillId="13" borderId="4" xfId="4" applyFont="1" applyFill="1" applyBorder="1" applyAlignment="1">
      <alignment horizontal="left"/>
    </xf>
    <xf numFmtId="0" fontId="27" fillId="13" borderId="4" xfId="4" applyFont="1" applyFill="1" applyBorder="1"/>
    <xf numFmtId="44" fontId="27" fillId="13" borderId="0" xfId="4" applyNumberFormat="1" applyFont="1" applyFill="1"/>
    <xf numFmtId="0" fontId="30" fillId="13" borderId="0" xfId="4" applyFont="1" applyFill="1" applyAlignment="1">
      <alignment horizontal="left"/>
    </xf>
    <xf numFmtId="0" fontId="26" fillId="13" borderId="0" xfId="4" applyFont="1" applyFill="1" applyAlignment="1">
      <alignment horizontal="left"/>
    </xf>
    <xf numFmtId="168" fontId="27" fillId="13" borderId="0" xfId="4" applyNumberFormat="1" applyFont="1" applyFill="1"/>
    <xf numFmtId="4" fontId="27" fillId="14" borderId="0" xfId="4" applyNumberFormat="1" applyFont="1" applyFill="1" applyProtection="1">
      <protection locked="0"/>
    </xf>
    <xf numFmtId="4" fontId="27" fillId="13" borderId="0" xfId="4" applyNumberFormat="1" applyFont="1" applyFill="1"/>
    <xf numFmtId="4" fontId="27" fillId="16" borderId="0" xfId="4" applyNumberFormat="1" applyFont="1" applyFill="1" applyProtection="1">
      <protection locked="0"/>
    </xf>
    <xf numFmtId="0" fontId="31" fillId="13" borderId="0" xfId="4" applyFont="1" applyFill="1" applyAlignment="1">
      <alignment horizontal="right"/>
    </xf>
    <xf numFmtId="4" fontId="32" fillId="13" borderId="0" xfId="4" applyNumberFormat="1" applyFont="1" applyFill="1"/>
    <xf numFmtId="0" fontId="33" fillId="0" borderId="0" xfId="4" applyFont="1"/>
    <xf numFmtId="4" fontId="33" fillId="0" borderId="0" xfId="4" applyNumberFormat="1" applyFont="1"/>
    <xf numFmtId="166" fontId="26" fillId="13" borderId="4" xfId="6" applyFont="1" applyFill="1" applyBorder="1"/>
    <xf numFmtId="4" fontId="27" fillId="13" borderId="0" xfId="5" applyNumberFormat="1" applyFont="1" applyFill="1" applyBorder="1"/>
    <xf numFmtId="0" fontId="27" fillId="13" borderId="0" xfId="4" applyFont="1" applyFill="1" applyAlignment="1" applyProtection="1">
      <alignment horizontal="left"/>
      <protection locked="0"/>
    </xf>
    <xf numFmtId="4" fontId="27" fillId="0" borderId="0" xfId="4" applyNumberFormat="1" applyFont="1" applyProtection="1">
      <protection locked="0"/>
    </xf>
    <xf numFmtId="4" fontId="26" fillId="13" borderId="0" xfId="4" applyNumberFormat="1" applyFont="1" applyFill="1"/>
    <xf numFmtId="4" fontId="19" fillId="0" borderId="0" xfId="4" applyNumberFormat="1"/>
    <xf numFmtId="4" fontId="27" fillId="14" borderId="0" xfId="5" applyNumberFormat="1" applyFont="1" applyFill="1" applyBorder="1" applyProtection="1">
      <protection locked="0"/>
    </xf>
    <xf numFmtId="4" fontId="27" fillId="13" borderId="0" xfId="4" applyNumberFormat="1" applyFont="1" applyFill="1" applyProtection="1">
      <protection locked="0"/>
    </xf>
    <xf numFmtId="2" fontId="27" fillId="13" borderId="4" xfId="4" applyNumberFormat="1" applyFont="1" applyFill="1" applyBorder="1"/>
    <xf numFmtId="10" fontId="27" fillId="13" borderId="4" xfId="4" applyNumberFormat="1" applyFont="1" applyFill="1" applyBorder="1"/>
    <xf numFmtId="4" fontId="27" fillId="14" borderId="0" xfId="5" applyNumberFormat="1" applyFont="1" applyFill="1" applyBorder="1"/>
    <xf numFmtId="2" fontId="27" fillId="13" borderId="0" xfId="4" applyNumberFormat="1" applyFont="1" applyFill="1" applyProtection="1">
      <protection locked="0"/>
    </xf>
    <xf numFmtId="10" fontId="27" fillId="13" borderId="0" xfId="4" applyNumberFormat="1" applyFont="1" applyFill="1" applyAlignment="1">
      <alignment horizontal="left"/>
    </xf>
    <xf numFmtId="169" fontId="27" fillId="14" borderId="0" xfId="5" applyNumberFormat="1" applyFont="1" applyFill="1" applyBorder="1" applyProtection="1">
      <protection locked="0"/>
    </xf>
    <xf numFmtId="0" fontId="26" fillId="13" borderId="0" xfId="4" applyFont="1" applyFill="1" applyAlignment="1">
      <alignment horizontal="center"/>
    </xf>
    <xf numFmtId="0" fontId="27" fillId="13" borderId="0" xfId="4" applyFont="1" applyFill="1" applyProtection="1">
      <protection locked="0"/>
    </xf>
    <xf numFmtId="169" fontId="27" fillId="13" borderId="0" xfId="5" applyNumberFormat="1" applyFont="1" applyFill="1" applyBorder="1" applyProtection="1"/>
    <xf numFmtId="10" fontId="27" fillId="13" borderId="0" xfId="4" applyNumberFormat="1" applyFont="1" applyFill="1" applyAlignment="1">
      <alignment horizontal="center"/>
    </xf>
    <xf numFmtId="166" fontId="26" fillId="0" borderId="0" xfId="6" applyFont="1" applyBorder="1"/>
    <xf numFmtId="2" fontId="27" fillId="13" borderId="0" xfId="4" applyNumberFormat="1" applyFont="1" applyFill="1"/>
    <xf numFmtId="0" fontId="26" fillId="0" borderId="0" xfId="4" applyFont="1" applyAlignment="1">
      <alignment horizontal="right"/>
    </xf>
    <xf numFmtId="0" fontId="27" fillId="0" borderId="0" xfId="4" applyFont="1" applyAlignment="1">
      <alignment horizontal="left"/>
    </xf>
    <xf numFmtId="166" fontId="34" fillId="13" borderId="0" xfId="6" applyFont="1" applyFill="1" applyBorder="1"/>
    <xf numFmtId="0" fontId="27" fillId="0" borderId="0" xfId="4" applyFont="1"/>
    <xf numFmtId="165" fontId="27" fillId="13" borderId="0" xfId="5" applyFont="1" applyFill="1" applyBorder="1" applyAlignment="1">
      <alignment horizontal="left"/>
    </xf>
    <xf numFmtId="10" fontId="30" fillId="13" borderId="0" xfId="4" applyNumberFormat="1" applyFont="1" applyFill="1" applyAlignment="1">
      <alignment horizontal="right"/>
    </xf>
    <xf numFmtId="165" fontId="27" fillId="13" borderId="0" xfId="5" applyFont="1" applyFill="1"/>
    <xf numFmtId="166" fontId="0" fillId="0" borderId="0" xfId="6" applyFont="1"/>
    <xf numFmtId="170" fontId="19" fillId="16" borderId="0" xfId="4" applyNumberFormat="1" applyFill="1" applyAlignment="1">
      <alignment vertical="center"/>
    </xf>
    <xf numFmtId="0" fontId="19" fillId="16" borderId="0" xfId="4" applyFill="1"/>
    <xf numFmtId="49" fontId="19" fillId="16" borderId="0" xfId="4" applyNumberFormat="1" applyFill="1"/>
    <xf numFmtId="0" fontId="19" fillId="16" borderId="0" xfId="4" applyFill="1" applyAlignment="1">
      <alignment horizontal="center"/>
    </xf>
    <xf numFmtId="4" fontId="19" fillId="16" borderId="0" xfId="4" applyNumberFormat="1" applyFill="1"/>
    <xf numFmtId="170" fontId="35" fillId="16" borderId="0" xfId="4" applyNumberFormat="1" applyFont="1" applyFill="1" applyAlignment="1">
      <alignment vertical="center"/>
    </xf>
    <xf numFmtId="0" fontId="36" fillId="16" borderId="0" xfId="4" applyFont="1" applyFill="1"/>
    <xf numFmtId="0" fontId="36" fillId="16" borderId="0" xfId="4" applyFont="1" applyFill="1" applyAlignment="1">
      <alignment horizontal="center"/>
    </xf>
    <xf numFmtId="170" fontId="36" fillId="16" borderId="0" xfId="4" applyNumberFormat="1" applyFont="1" applyFill="1" applyAlignment="1">
      <alignment vertical="center"/>
    </xf>
    <xf numFmtId="166" fontId="19" fillId="0" borderId="0" xfId="4" applyNumberFormat="1"/>
    <xf numFmtId="0" fontId="19" fillId="0" borderId="0" xfId="4" applyAlignment="1">
      <alignment horizontal="center" vertical="center"/>
    </xf>
    <xf numFmtId="14" fontId="19" fillId="0" borderId="0" xfId="4" applyNumberFormat="1"/>
    <xf numFmtId="0" fontId="24" fillId="0" borderId="0" xfId="4" applyFont="1"/>
    <xf numFmtId="166" fontId="24" fillId="0" borderId="0" xfId="6" applyFont="1"/>
    <xf numFmtId="9" fontId="24" fillId="0" borderId="0" xfId="7" applyFont="1"/>
    <xf numFmtId="171" fontId="0" fillId="0" borderId="0" xfId="6" applyNumberFormat="1" applyFont="1" applyAlignment="1">
      <alignment horizontal="right"/>
    </xf>
    <xf numFmtId="0" fontId="19" fillId="0" borderId="0" xfId="4" applyAlignment="1">
      <alignment horizontal="left" vertical="top" wrapText="1"/>
    </xf>
    <xf numFmtId="0" fontId="19" fillId="0" borderId="0" xfId="4" applyAlignment="1">
      <alignment horizontal="right"/>
    </xf>
    <xf numFmtId="166" fontId="0" fillId="0" borderId="4" xfId="6" applyFont="1" applyBorder="1"/>
    <xf numFmtId="166" fontId="42" fillId="0" borderId="29" xfId="6" applyFont="1" applyBorder="1"/>
    <xf numFmtId="9" fontId="0" fillId="0" borderId="0" xfId="7" applyFont="1"/>
    <xf numFmtId="166" fontId="42" fillId="0" borderId="0" xfId="6" applyFont="1" applyBorder="1"/>
    <xf numFmtId="0" fontId="43" fillId="0" borderId="0" xfId="4" applyFont="1"/>
    <xf numFmtId="44" fontId="19" fillId="0" borderId="0" xfId="4" applyNumberFormat="1"/>
    <xf numFmtId="0" fontId="24" fillId="0" borderId="0" xfId="4" applyFont="1" applyAlignment="1">
      <alignment horizontal="center" vertical="center"/>
    </xf>
    <xf numFmtId="0" fontId="19" fillId="0" borderId="0" xfId="4" applyAlignment="1">
      <alignment horizontal="center"/>
    </xf>
    <xf numFmtId="166" fontId="19" fillId="0" borderId="0" xfId="6" applyFont="1" applyAlignment="1">
      <alignment horizontal="center"/>
    </xf>
    <xf numFmtId="0" fontId="0" fillId="0" borderId="0" xfId="0" applyAlignment="1">
      <alignment horizontal="center" wrapText="1"/>
    </xf>
    <xf numFmtId="0" fontId="9" fillId="0" borderId="0" xfId="0" applyFont="1"/>
    <xf numFmtId="10" fontId="5" fillId="0" borderId="0" xfId="3" applyNumberFormat="1" applyFont="1" applyFill="1" applyAlignment="1"/>
    <xf numFmtId="0" fontId="0" fillId="0" borderId="1" xfId="0" applyBorder="1" applyAlignment="1" applyProtection="1">
      <alignment horizontal="center"/>
      <protection locked="0"/>
    </xf>
    <xf numFmtId="164" fontId="0" fillId="0" borderId="0" xfId="1" applyNumberFormat="1" applyFont="1" applyFill="1" applyAlignment="1"/>
    <xf numFmtId="9" fontId="0" fillId="0" borderId="0" xfId="3" applyFont="1" applyFill="1" applyAlignment="1">
      <alignment horizontal="right"/>
    </xf>
    <xf numFmtId="8" fontId="0" fillId="0" borderId="0" xfId="0" applyNumberFormat="1"/>
    <xf numFmtId="44" fontId="0" fillId="0" borderId="0" xfId="3" applyNumberFormat="1" applyFont="1" applyFill="1" applyAlignment="1">
      <alignment horizontal="right"/>
    </xf>
    <xf numFmtId="44" fontId="0" fillId="0" borderId="0" xfId="0" applyNumberFormat="1"/>
    <xf numFmtId="9" fontId="0" fillId="0" borderId="0" xfId="0" applyNumberFormat="1"/>
    <xf numFmtId="0" fontId="18" fillId="0" borderId="0" xfId="0" applyFont="1"/>
    <xf numFmtId="44" fontId="0" fillId="0" borderId="0" xfId="1" applyFont="1" applyFill="1" applyBorder="1" applyAlignment="1">
      <alignment wrapText="1"/>
    </xf>
    <xf numFmtId="0" fontId="24" fillId="0" borderId="0" xfId="4" applyFont="1" applyAlignment="1">
      <alignment horizontal="center" vertical="center" wrapText="1"/>
    </xf>
    <xf numFmtId="166" fontId="24" fillId="0" borderId="0" xfId="6" applyFont="1" applyAlignment="1">
      <alignment horizontal="center"/>
    </xf>
    <xf numFmtId="0" fontId="47" fillId="0" borderId="0" xfId="4" applyFont="1"/>
    <xf numFmtId="166" fontId="19" fillId="0" borderId="0" xfId="6" applyFont="1"/>
    <xf numFmtId="173" fontId="19" fillId="0" borderId="0" xfId="4" applyNumberFormat="1"/>
    <xf numFmtId="0" fontId="48" fillId="0" borderId="0" xfId="4" applyFont="1"/>
    <xf numFmtId="165" fontId="0" fillId="0" borderId="0" xfId="5" applyFont="1"/>
    <xf numFmtId="0" fontId="49" fillId="0" borderId="0" xfId="4" applyFont="1" applyAlignment="1">
      <alignment vertical="center" wrapText="1"/>
    </xf>
    <xf numFmtId="15" fontId="23" fillId="0" borderId="0" xfId="4" applyNumberFormat="1" applyFont="1" applyAlignment="1">
      <alignment vertical="center" wrapText="1"/>
    </xf>
    <xf numFmtId="174" fontId="19" fillId="0" borderId="0" xfId="4" applyNumberFormat="1"/>
    <xf numFmtId="167" fontId="19" fillId="0" borderId="0" xfId="4" applyNumberFormat="1"/>
    <xf numFmtId="10" fontId="26" fillId="0" borderId="0" xfId="4" applyNumberFormat="1" applyFont="1" applyAlignment="1">
      <alignment horizontal="center"/>
    </xf>
    <xf numFmtId="165" fontId="26" fillId="13" borderId="0" xfId="5" applyFont="1" applyFill="1" applyBorder="1" applyAlignment="1">
      <alignment horizontal="center"/>
    </xf>
    <xf numFmtId="0" fontId="29" fillId="13" borderId="5" xfId="4" applyFont="1" applyFill="1" applyBorder="1"/>
    <xf numFmtId="166" fontId="29" fillId="13" borderId="6" xfId="6" applyFont="1" applyFill="1" applyBorder="1"/>
    <xf numFmtId="166" fontId="29" fillId="13" borderId="7" xfId="6" applyFont="1" applyFill="1" applyBorder="1" applyAlignment="1">
      <alignment horizontal="left"/>
    </xf>
    <xf numFmtId="166" fontId="53" fillId="13" borderId="0" xfId="6" applyFont="1" applyFill="1" applyBorder="1"/>
    <xf numFmtId="0" fontId="26" fillId="14" borderId="0" xfId="4" applyFont="1" applyFill="1" applyAlignment="1" applyProtection="1">
      <alignment horizontal="center"/>
      <protection locked="0"/>
    </xf>
    <xf numFmtId="0" fontId="29" fillId="13" borderId="10" xfId="4" applyFont="1" applyFill="1" applyBorder="1"/>
    <xf numFmtId="166" fontId="29" fillId="13" borderId="11" xfId="6" applyFont="1" applyFill="1" applyBorder="1"/>
    <xf numFmtId="166" fontId="29" fillId="13" borderId="12" xfId="6" applyFont="1" applyFill="1" applyBorder="1" applyAlignment="1">
      <alignment horizontal="left"/>
    </xf>
    <xf numFmtId="166" fontId="53" fillId="13" borderId="4" xfId="6" applyFont="1" applyFill="1" applyBorder="1"/>
    <xf numFmtId="0" fontId="26" fillId="0" borderId="0" xfId="4" applyFont="1" applyAlignment="1" applyProtection="1">
      <alignment horizontal="center"/>
      <protection locked="0"/>
    </xf>
    <xf numFmtId="166" fontId="29" fillId="15" borderId="6" xfId="6" applyFont="1" applyFill="1" applyBorder="1"/>
    <xf numFmtId="165" fontId="29" fillId="13" borderId="7" xfId="5" applyFont="1" applyFill="1" applyBorder="1"/>
    <xf numFmtId="0" fontId="29" fillId="15" borderId="8" xfId="4" applyFont="1" applyFill="1" applyBorder="1"/>
    <xf numFmtId="166" fontId="29" fillId="15" borderId="0" xfId="6" applyFont="1" applyFill="1" applyBorder="1"/>
    <xf numFmtId="166" fontId="29" fillId="15" borderId="11" xfId="6" applyFont="1" applyFill="1" applyBorder="1"/>
    <xf numFmtId="166" fontId="27" fillId="13" borderId="0" xfId="4" applyNumberFormat="1" applyFont="1" applyFill="1"/>
    <xf numFmtId="4" fontId="27" fillId="14" borderId="0" xfId="4" quotePrefix="1" applyNumberFormat="1" applyFont="1" applyFill="1" applyAlignment="1" applyProtection="1">
      <alignment horizontal="center"/>
      <protection locked="0"/>
    </xf>
    <xf numFmtId="0" fontId="26" fillId="13" borderId="27" xfId="4" applyFont="1" applyFill="1" applyBorder="1" applyAlignment="1">
      <alignment horizontal="left"/>
    </xf>
    <xf numFmtId="166" fontId="54" fillId="13" borderId="0" xfId="6" applyFont="1" applyFill="1" applyBorder="1"/>
    <xf numFmtId="166" fontId="27" fillId="16" borderId="0" xfId="6" applyFont="1" applyFill="1" applyBorder="1" applyProtection="1">
      <protection locked="0"/>
    </xf>
    <xf numFmtId="166" fontId="55" fillId="13" borderId="11" xfId="6" applyFont="1" applyFill="1" applyBorder="1"/>
    <xf numFmtId="175" fontId="19" fillId="0" borderId="0" xfId="4" applyNumberFormat="1"/>
    <xf numFmtId="15" fontId="24" fillId="0" borderId="0" xfId="4" applyNumberFormat="1" applyFont="1"/>
    <xf numFmtId="8" fontId="19" fillId="0" borderId="0" xfId="4" applyNumberFormat="1"/>
    <xf numFmtId="0" fontId="19" fillId="0" borderId="0" xfId="4" quotePrefix="1"/>
    <xf numFmtId="166" fontId="19" fillId="0" borderId="4" xfId="4" applyNumberFormat="1" applyBorder="1"/>
    <xf numFmtId="166" fontId="19" fillId="0" borderId="28" xfId="4" applyNumberFormat="1" applyBorder="1"/>
    <xf numFmtId="0" fontId="58" fillId="14" borderId="0" xfId="4" applyFont="1" applyFill="1" applyProtection="1">
      <protection locked="0"/>
    </xf>
    <xf numFmtId="2" fontId="0" fillId="11" borderId="0" xfId="0" applyNumberFormat="1" applyFill="1"/>
    <xf numFmtId="0" fontId="0" fillId="0" borderId="0" xfId="0" applyAlignment="1">
      <alignment vertical="top"/>
    </xf>
    <xf numFmtId="0" fontId="0" fillId="0" borderId="0" xfId="0" applyAlignment="1" applyProtection="1">
      <alignment horizontal="center"/>
      <protection locked="0"/>
    </xf>
    <xf numFmtId="0" fontId="19" fillId="0" borderId="0" xfId="4" applyProtection="1">
      <protection locked="0"/>
    </xf>
    <xf numFmtId="0" fontId="19" fillId="0" borderId="0" xfId="4" applyAlignment="1" applyProtection="1">
      <alignment horizontal="right"/>
      <protection locked="0"/>
    </xf>
    <xf numFmtId="0" fontId="45" fillId="16" borderId="0" xfId="4" applyFont="1" applyFill="1"/>
    <xf numFmtId="166" fontId="60" fillId="16" borderId="0" xfId="6" applyFont="1" applyFill="1" applyBorder="1" applyAlignment="1"/>
    <xf numFmtId="166" fontId="19" fillId="0" borderId="0" xfId="6" applyFont="1" applyAlignment="1" applyProtection="1">
      <alignment horizontal="center"/>
      <protection locked="0"/>
    </xf>
    <xf numFmtId="15" fontId="19" fillId="0" borderId="0" xfId="4" applyNumberFormat="1" applyAlignment="1">
      <alignment horizontal="center"/>
    </xf>
    <xf numFmtId="15" fontId="19" fillId="0" borderId="0" xfId="4" applyNumberFormat="1" applyAlignment="1" applyProtection="1">
      <alignment horizontal="center"/>
      <protection locked="0"/>
    </xf>
    <xf numFmtId="15" fontId="19" fillId="0" borderId="0" xfId="4" applyNumberFormat="1" applyAlignment="1" applyProtection="1">
      <alignment horizontal="center" vertical="center"/>
      <protection locked="0"/>
    </xf>
    <xf numFmtId="0" fontId="19" fillId="0" borderId="0" xfId="4" applyAlignment="1" applyProtection="1">
      <alignment horizontal="center" vertical="center"/>
      <protection locked="0"/>
    </xf>
    <xf numFmtId="15" fontId="49" fillId="0" borderId="0" xfId="4" applyNumberFormat="1" applyFont="1"/>
    <xf numFmtId="0" fontId="26" fillId="19" borderId="4" xfId="4" applyFont="1" applyFill="1" applyBorder="1" applyAlignment="1" applyProtection="1">
      <alignment horizontal="center"/>
      <protection locked="0"/>
    </xf>
    <xf numFmtId="10" fontId="27" fillId="19" borderId="0" xfId="4" applyNumberFormat="1" applyFont="1" applyFill="1" applyAlignment="1" applyProtection="1">
      <alignment horizontal="center"/>
      <protection locked="0"/>
    </xf>
    <xf numFmtId="44" fontId="27" fillId="19" borderId="0" xfId="1" applyFont="1" applyFill="1" applyBorder="1" applyProtection="1">
      <protection locked="0"/>
    </xf>
    <xf numFmtId="0" fontId="29" fillId="17" borderId="5" xfId="4" applyFont="1" applyFill="1" applyBorder="1"/>
    <xf numFmtId="166" fontId="29" fillId="17" borderId="7" xfId="6" applyFont="1" applyFill="1" applyBorder="1"/>
    <xf numFmtId="0" fontId="29" fillId="17" borderId="10" xfId="4" applyFont="1" applyFill="1" applyBorder="1"/>
    <xf numFmtId="166" fontId="29" fillId="17" borderId="12" xfId="6" applyFont="1" applyFill="1" applyBorder="1"/>
    <xf numFmtId="166" fontId="61" fillId="18" borderId="31" xfId="6" applyFont="1" applyFill="1" applyBorder="1" applyProtection="1">
      <protection locked="0"/>
    </xf>
    <xf numFmtId="166" fontId="26" fillId="13" borderId="32" xfId="6" applyFont="1" applyFill="1" applyBorder="1"/>
    <xf numFmtId="166" fontId="62" fillId="18" borderId="0" xfId="6" applyFont="1" applyFill="1" applyBorder="1"/>
    <xf numFmtId="0" fontId="19" fillId="0" borderId="4" xfId="4" applyBorder="1"/>
    <xf numFmtId="165" fontId="19" fillId="13" borderId="4" xfId="5" applyFill="1" applyBorder="1"/>
    <xf numFmtId="0" fontId="19" fillId="13" borderId="18" xfId="4" applyFill="1" applyBorder="1"/>
    <xf numFmtId="0" fontId="27" fillId="13" borderId="18" xfId="4" applyFont="1" applyFill="1" applyBorder="1"/>
    <xf numFmtId="0" fontId="19" fillId="0" borderId="18" xfId="4" applyBorder="1"/>
    <xf numFmtId="0" fontId="40" fillId="0" borderId="0" xfId="4" applyFont="1" applyAlignment="1">
      <alignment vertical="center"/>
    </xf>
    <xf numFmtId="166" fontId="24" fillId="0" borderId="11" xfId="6" applyFont="1" applyBorder="1"/>
    <xf numFmtId="0" fontId="64" fillId="18" borderId="1" xfId="4" applyFont="1" applyFill="1" applyBorder="1" applyAlignment="1">
      <alignment horizontal="center"/>
    </xf>
    <xf numFmtId="170" fontId="64" fillId="18" borderId="1" xfId="4" applyNumberFormat="1" applyFont="1" applyFill="1" applyBorder="1" applyAlignment="1">
      <alignment horizontal="center" vertical="center"/>
    </xf>
    <xf numFmtId="49" fontId="64" fillId="18" borderId="1" xfId="4" applyNumberFormat="1" applyFont="1" applyFill="1" applyBorder="1" applyAlignment="1">
      <alignment horizontal="center"/>
    </xf>
    <xf numFmtId="166" fontId="70" fillId="13" borderId="0" xfId="6" applyFont="1" applyFill="1" applyBorder="1"/>
    <xf numFmtId="44" fontId="2" fillId="0" borderId="0" xfId="1" applyFont="1" applyProtection="1">
      <protection locked="0"/>
    </xf>
    <xf numFmtId="44" fontId="2" fillId="0" borderId="0" xfId="1" applyFont="1" applyProtection="1"/>
    <xf numFmtId="0" fontId="2" fillId="0" borderId="0" xfId="1" applyNumberFormat="1" applyFont="1" applyBorder="1" applyProtection="1">
      <protection locked="0"/>
    </xf>
    <xf numFmtId="10" fontId="2" fillId="0" borderId="0" xfId="3" applyNumberFormat="1" applyFont="1" applyFill="1" applyBorder="1" applyProtection="1"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44" fontId="0" fillId="0" borderId="0" xfId="1" applyFont="1"/>
    <xf numFmtId="2" fontId="27" fillId="0" borderId="0" xfId="4" applyNumberFormat="1" applyFont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10" fontId="2" fillId="0" borderId="0" xfId="3" applyNumberFormat="1" applyFont="1" applyAlignment="1">
      <alignment horizontal="center"/>
    </xf>
    <xf numFmtId="44" fontId="2" fillId="0" borderId="0" xfId="1" applyFont="1" applyFill="1" applyBorder="1" applyProtection="1"/>
    <xf numFmtId="0" fontId="27" fillId="13" borderId="1" xfId="4" applyFont="1" applyFill="1" applyBorder="1" applyAlignment="1">
      <alignment horizontal="left"/>
    </xf>
    <xf numFmtId="0" fontId="19" fillId="0" borderId="1" xfId="4" applyBorder="1"/>
    <xf numFmtId="0" fontId="27" fillId="0" borderId="1" xfId="4" applyFont="1" applyBorder="1"/>
    <xf numFmtId="171" fontId="73" fillId="13" borderId="0" xfId="4" applyNumberFormat="1" applyFont="1" applyFill="1"/>
    <xf numFmtId="171" fontId="74" fillId="13" borderId="1" xfId="4" applyNumberFormat="1" applyFont="1" applyFill="1" applyBorder="1"/>
    <xf numFmtId="0" fontId="20" fillId="0" borderId="30" xfId="4" applyFont="1" applyBorder="1"/>
    <xf numFmtId="0" fontId="69" fillId="0" borderId="30" xfId="4" applyFont="1" applyBorder="1"/>
    <xf numFmtId="0" fontId="19" fillId="0" borderId="30" xfId="4" applyBorder="1"/>
    <xf numFmtId="165" fontId="19" fillId="0" borderId="30" xfId="5" applyBorder="1"/>
    <xf numFmtId="0" fontId="26" fillId="0" borderId="0" xfId="4" applyFont="1"/>
    <xf numFmtId="171" fontId="74" fillId="13" borderId="0" xfId="4" applyNumberFormat="1" applyFont="1" applyFill="1"/>
    <xf numFmtId="171" fontId="12" fillId="0" borderId="0" xfId="0" applyNumberFormat="1" applyFont="1"/>
    <xf numFmtId="0" fontId="27" fillId="13" borderId="6" xfId="4" applyFont="1" applyFill="1" applyBorder="1"/>
    <xf numFmtId="0" fontId="29" fillId="13" borderId="0" xfId="4" applyFont="1" applyFill="1"/>
    <xf numFmtId="0" fontId="29" fillId="17" borderId="6" xfId="4" applyFont="1" applyFill="1" applyBorder="1"/>
    <xf numFmtId="0" fontId="29" fillId="17" borderId="11" xfId="4" applyFont="1" applyFill="1" applyBorder="1"/>
    <xf numFmtId="4" fontId="27" fillId="13" borderId="0" xfId="4" applyNumberFormat="1" applyFont="1" applyFill="1" applyAlignment="1">
      <alignment horizontal="center"/>
    </xf>
    <xf numFmtId="0" fontId="26" fillId="13" borderId="30" xfId="4" applyFont="1" applyFill="1" applyBorder="1" applyAlignment="1">
      <alignment horizontal="center"/>
    </xf>
    <xf numFmtId="0" fontId="27" fillId="19" borderId="0" xfId="4" applyFont="1" applyFill="1" applyAlignment="1" applyProtection="1">
      <alignment horizontal="center"/>
      <protection locked="0"/>
    </xf>
    <xf numFmtId="44" fontId="75" fillId="0" borderId="0" xfId="1" applyFont="1" applyAlignment="1">
      <alignment horizontal="left" vertical="top" wrapText="1"/>
    </xf>
    <xf numFmtId="44" fontId="76" fillId="0" borderId="0" xfId="1" applyFont="1" applyAlignment="1">
      <alignment horizontal="left" vertical="top" wrapText="1"/>
    </xf>
    <xf numFmtId="0" fontId="78" fillId="13" borderId="0" xfId="4" applyFont="1" applyFill="1" applyAlignment="1">
      <alignment vertical="top" wrapText="1"/>
    </xf>
    <xf numFmtId="44" fontId="9" fillId="0" borderId="0" xfId="0" applyNumberFormat="1" applyFont="1"/>
    <xf numFmtId="44" fontId="76" fillId="0" borderId="0" xfId="1" applyFont="1" applyBorder="1" applyAlignment="1">
      <alignment horizontal="left" vertical="top" wrapText="1"/>
    </xf>
    <xf numFmtId="0" fontId="0" fillId="0" borderId="0" xfId="0" applyAlignment="1">
      <alignment vertical="center"/>
    </xf>
    <xf numFmtId="8" fontId="15" fillId="20" borderId="0" xfId="0" applyNumberFormat="1" applyFont="1" applyFill="1" applyAlignment="1">
      <alignment vertical="center"/>
    </xf>
    <xf numFmtId="44" fontId="1" fillId="0" borderId="0" xfId="1" applyFont="1" applyProtection="1">
      <protection locked="0"/>
    </xf>
    <xf numFmtId="8" fontId="15" fillId="0" borderId="0" xfId="0" applyNumberFormat="1" applyFont="1" applyAlignment="1">
      <alignment vertical="center"/>
    </xf>
    <xf numFmtId="44" fontId="18" fillId="0" borderId="0" xfId="1" applyFont="1" applyBorder="1"/>
    <xf numFmtId="44" fontId="18" fillId="0" borderId="0" xfId="1" applyFont="1"/>
    <xf numFmtId="44" fontId="79" fillId="0" borderId="0" xfId="1" applyFont="1" applyAlignment="1">
      <alignment horizontal="left" vertical="top" wrapText="1"/>
    </xf>
    <xf numFmtId="44" fontId="79" fillId="0" borderId="0" xfId="1" applyFont="1" applyBorder="1" applyAlignment="1">
      <alignment horizontal="left" vertical="top" wrapText="1"/>
    </xf>
    <xf numFmtId="0" fontId="66" fillId="18" borderId="6" xfId="4" applyFont="1" applyFill="1" applyBorder="1" applyAlignment="1" applyProtection="1">
      <alignment horizontal="center"/>
      <protection locked="0"/>
    </xf>
    <xf numFmtId="0" fontId="65" fillId="18" borderId="15" xfId="4" applyFont="1" applyFill="1" applyBorder="1" applyAlignment="1">
      <alignment horizontal="center"/>
    </xf>
    <xf numFmtId="0" fontId="65" fillId="18" borderId="30" xfId="4" applyFont="1" applyFill="1" applyBorder="1" applyAlignment="1">
      <alignment horizontal="center"/>
    </xf>
    <xf numFmtId="10" fontId="27" fillId="0" borderId="0" xfId="4" applyNumberFormat="1" applyFont="1" applyAlignment="1" applyProtection="1">
      <alignment horizontal="center"/>
      <protection locked="0"/>
    </xf>
    <xf numFmtId="44" fontId="27" fillId="0" borderId="0" xfId="1" applyFont="1" applyFill="1" applyBorder="1" applyProtection="1">
      <protection locked="0"/>
    </xf>
    <xf numFmtId="3" fontId="27" fillId="0" borderId="0" xfId="5" applyNumberFormat="1" applyFont="1" applyFill="1" applyBorder="1" applyAlignment="1" applyProtection="1">
      <alignment horizontal="center" vertical="center"/>
    </xf>
    <xf numFmtId="44" fontId="27" fillId="0" borderId="0" xfId="1" applyFont="1" applyFill="1" applyBorder="1" applyAlignment="1" applyProtection="1">
      <alignment vertical="center"/>
      <protection locked="0"/>
    </xf>
    <xf numFmtId="4" fontId="27" fillId="0" borderId="0" xfId="4" applyNumberFormat="1" applyFont="1" applyAlignment="1">
      <alignment horizontal="center"/>
    </xf>
    <xf numFmtId="171" fontId="80" fillId="13" borderId="1" xfId="4" applyNumberFormat="1" applyFont="1" applyFill="1" applyBorder="1"/>
    <xf numFmtId="171" fontId="81" fillId="0" borderId="1" xfId="0" applyNumberFormat="1" applyFont="1" applyBorder="1"/>
    <xf numFmtId="0" fontId="16" fillId="0" borderId="0" xfId="0" applyFont="1"/>
    <xf numFmtId="44" fontId="16" fillId="0" borderId="0" xfId="1" applyFont="1"/>
    <xf numFmtId="10" fontId="2" fillId="0" borderId="0" xfId="3" applyNumberFormat="1" applyFont="1" applyFill="1" applyBorder="1" applyProtection="1"/>
    <xf numFmtId="0" fontId="2" fillId="0" borderId="0" xfId="1" applyNumberFormat="1" applyFont="1" applyBorder="1" applyProtection="1"/>
    <xf numFmtId="0" fontId="2" fillId="0" borderId="4" xfId="0" applyFont="1" applyBorder="1" applyAlignment="1">
      <alignment horizontal="center"/>
    </xf>
    <xf numFmtId="44" fontId="82" fillId="0" borderId="0" xfId="1" applyFont="1" applyBorder="1" applyAlignment="1">
      <alignment horizontal="left" vertical="top" wrapText="1"/>
    </xf>
    <xf numFmtId="44" fontId="83" fillId="0" borderId="0" xfId="1" applyFont="1" applyAlignment="1">
      <alignment horizontal="left" vertical="top" wrapText="1"/>
    </xf>
    <xf numFmtId="44" fontId="84" fillId="0" borderId="0" xfId="1" applyFont="1" applyAlignment="1">
      <alignment horizontal="left" vertical="top" wrapText="1"/>
    </xf>
    <xf numFmtId="44" fontId="83" fillId="0" borderId="0" xfId="1" applyFont="1" applyBorder="1" applyAlignment="1">
      <alignment horizontal="left" vertical="top" wrapText="1"/>
    </xf>
    <xf numFmtId="8" fontId="0" fillId="0" borderId="0" xfId="1" applyNumberFormat="1" applyFont="1"/>
    <xf numFmtId="44" fontId="2" fillId="0" borderId="0" xfId="1" applyFont="1"/>
    <xf numFmtId="2" fontId="0" fillId="0" borderId="0" xfId="0" applyNumberFormat="1"/>
    <xf numFmtId="0" fontId="27" fillId="0" borderId="1" xfId="4" applyFont="1" applyBorder="1" applyAlignment="1">
      <alignment horizontal="right"/>
    </xf>
    <xf numFmtId="0" fontId="19" fillId="0" borderId="1" xfId="4" applyBorder="1" applyAlignment="1">
      <alignment horizontal="right"/>
    </xf>
    <xf numFmtId="0" fontId="27" fillId="13" borderId="1" xfId="4" applyFont="1" applyFill="1" applyBorder="1"/>
    <xf numFmtId="0" fontId="26" fillId="13" borderId="1" xfId="4" applyFont="1" applyFill="1" applyBorder="1"/>
    <xf numFmtId="0" fontId="88" fillId="0" borderId="0" xfId="4" applyFont="1"/>
    <xf numFmtId="44" fontId="12" fillId="0" borderId="0" xfId="1" applyFont="1"/>
    <xf numFmtId="0" fontId="12" fillId="0" borderId="0" xfId="0" applyFont="1"/>
    <xf numFmtId="44" fontId="89" fillId="0" borderId="0" xfId="1" applyFont="1" applyAlignment="1">
      <alignment horizontal="left" vertical="top" wrapText="1"/>
    </xf>
    <xf numFmtId="44" fontId="10" fillId="0" borderId="0" xfId="1" applyFont="1"/>
    <xf numFmtId="44" fontId="90" fillId="0" borderId="0" xfId="1" applyFont="1" applyBorder="1" applyAlignment="1">
      <alignment horizontal="left" vertical="top" wrapText="1"/>
    </xf>
    <xf numFmtId="44" fontId="91" fillId="0" borderId="0" xfId="1" applyFont="1"/>
    <xf numFmtId="170" fontId="38" fillId="16" borderId="1" xfId="4" applyNumberFormat="1" applyFont="1" applyFill="1" applyBorder="1" applyAlignment="1">
      <alignment horizontal="center" wrapText="1"/>
    </xf>
    <xf numFmtId="0" fontId="38" fillId="16" borderId="1" xfId="4" applyFont="1" applyFill="1" applyBorder="1" applyAlignment="1">
      <alignment horizontal="center" wrapText="1"/>
    </xf>
    <xf numFmtId="0" fontId="38" fillId="16" borderId="1" xfId="4" applyFont="1" applyFill="1" applyBorder="1" applyAlignment="1">
      <alignment wrapText="1"/>
    </xf>
    <xf numFmtId="0" fontId="36" fillId="16" borderId="1" xfId="4" applyFont="1" applyFill="1" applyBorder="1" applyAlignment="1">
      <alignment horizontal="center"/>
    </xf>
    <xf numFmtId="172" fontId="35" fillId="16" borderId="1" xfId="4" applyNumberFormat="1" applyFont="1" applyFill="1" applyBorder="1" applyAlignment="1">
      <alignment horizontal="right" vertical="center"/>
    </xf>
    <xf numFmtId="0" fontId="38" fillId="16" borderId="1" xfId="4" applyFont="1" applyFill="1" applyBorder="1" applyAlignment="1">
      <alignment horizontal="center" vertical="center" wrapText="1"/>
    </xf>
    <xf numFmtId="0" fontId="38" fillId="16" borderId="1" xfId="4" applyFont="1" applyFill="1" applyBorder="1" applyAlignment="1">
      <alignment horizontal="left"/>
    </xf>
    <xf numFmtId="0" fontId="42" fillId="16" borderId="1" xfId="4" applyFont="1" applyFill="1" applyBorder="1" applyAlignment="1">
      <alignment vertical="center" wrapText="1"/>
    </xf>
    <xf numFmtId="170" fontId="38" fillId="16" borderId="1" xfId="4" applyNumberFormat="1" applyFont="1" applyFill="1" applyBorder="1" applyAlignment="1">
      <alignment horizontal="center" vertical="center" wrapText="1"/>
    </xf>
    <xf numFmtId="49" fontId="38" fillId="16" borderId="1" xfId="4" applyNumberFormat="1" applyFont="1" applyFill="1" applyBorder="1" applyAlignment="1">
      <alignment horizontal="left" vertical="center"/>
    </xf>
    <xf numFmtId="0" fontId="38" fillId="16" borderId="1" xfId="4" applyFont="1" applyFill="1" applyBorder="1" applyAlignment="1">
      <alignment vertical="center" wrapText="1"/>
    </xf>
    <xf numFmtId="0" fontId="38" fillId="16" borderId="1" xfId="4" applyFont="1" applyFill="1" applyBorder="1" applyAlignment="1">
      <alignment horizontal="center"/>
    </xf>
    <xf numFmtId="172" fontId="23" fillId="16" borderId="1" xfId="5" applyNumberFormat="1" applyFont="1" applyFill="1" applyBorder="1" applyAlignment="1">
      <alignment horizontal="right" vertical="center"/>
    </xf>
    <xf numFmtId="0" fontId="24" fillId="16" borderId="1" xfId="4" applyFont="1" applyFill="1" applyBorder="1" applyAlignment="1">
      <alignment vertical="center" wrapText="1"/>
    </xf>
    <xf numFmtId="166" fontId="86" fillId="16" borderId="1" xfId="6" applyFont="1" applyFill="1" applyBorder="1" applyAlignment="1">
      <alignment horizontal="right" vertical="center" wrapText="1"/>
    </xf>
    <xf numFmtId="170" fontId="19" fillId="16" borderId="1" xfId="4" applyNumberFormat="1" applyFill="1" applyBorder="1" applyAlignment="1">
      <alignment horizontal="center" vertical="center" wrapText="1"/>
    </xf>
    <xf numFmtId="170" fontId="37" fillId="16" borderId="1" xfId="4" applyNumberFormat="1" applyFont="1" applyFill="1" applyBorder="1" applyAlignment="1">
      <alignment horizontal="center" vertical="center" wrapText="1"/>
    </xf>
    <xf numFmtId="0" fontId="27" fillId="16" borderId="1" xfId="4" applyFont="1" applyFill="1" applyBorder="1" applyAlignment="1">
      <alignment vertical="center" wrapText="1"/>
    </xf>
    <xf numFmtId="0" fontId="19" fillId="16" borderId="1" xfId="4" applyFill="1" applyBorder="1" applyAlignment="1">
      <alignment horizontal="center" vertical="center" wrapText="1"/>
    </xf>
    <xf numFmtId="4" fontId="72" fillId="16" borderId="1" xfId="4" applyNumberFormat="1" applyFont="1" applyFill="1" applyBorder="1" applyAlignment="1">
      <alignment horizontal="right" vertical="center" wrapText="1"/>
    </xf>
    <xf numFmtId="0" fontId="19" fillId="16" borderId="1" xfId="4" applyFill="1" applyBorder="1" applyAlignment="1">
      <alignment vertical="center" wrapText="1"/>
    </xf>
    <xf numFmtId="4" fontId="19" fillId="16" borderId="1" xfId="4" applyNumberFormat="1" applyFill="1" applyBorder="1" applyAlignment="1">
      <alignment vertical="center" wrapText="1"/>
    </xf>
    <xf numFmtId="44" fontId="19" fillId="16" borderId="1" xfId="1" applyFont="1" applyFill="1" applyBorder="1" applyAlignment="1">
      <alignment vertical="center" wrapText="1"/>
    </xf>
    <xf numFmtId="0" fontId="92" fillId="16" borderId="1" xfId="4" applyFont="1" applyFill="1" applyBorder="1" applyAlignment="1">
      <alignment horizontal="left"/>
    </xf>
    <xf numFmtId="0" fontId="2" fillId="0" borderId="4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3" borderId="0" xfId="0" applyFill="1" applyAlignment="1">
      <alignment horizontal="left"/>
    </xf>
    <xf numFmtId="0" fontId="0" fillId="0" borderId="0" xfId="0" applyAlignment="1">
      <alignment horizontal="right"/>
    </xf>
    <xf numFmtId="0" fontId="0" fillId="0" borderId="4" xfId="0" applyBorder="1" applyAlignment="1" applyProtection="1">
      <alignment horizontal="left"/>
      <protection locked="0"/>
    </xf>
    <xf numFmtId="0" fontId="18" fillId="0" borderId="4" xfId="0" applyFont="1" applyBorder="1" applyAlignment="1" applyProtection="1">
      <alignment horizontal="center" vertical="top" wrapText="1"/>
      <protection locked="0"/>
    </xf>
    <xf numFmtId="0" fontId="46" fillId="0" borderId="0" xfId="0" applyFont="1" applyAlignment="1">
      <alignment horizontal="left"/>
    </xf>
    <xf numFmtId="0" fontId="0" fillId="0" borderId="4" xfId="0" applyBorder="1" applyAlignment="1" applyProtection="1">
      <alignment horizontal="center"/>
      <protection locked="0"/>
    </xf>
    <xf numFmtId="9" fontId="16" fillId="0" borderId="17" xfId="3" applyFont="1" applyFill="1" applyBorder="1" applyAlignment="1">
      <alignment horizontal="right"/>
    </xf>
    <xf numFmtId="9" fontId="16" fillId="0" borderId="0" xfId="3" applyFont="1" applyFill="1" applyAlignment="1">
      <alignment horizontal="right"/>
    </xf>
    <xf numFmtId="44" fontId="0" fillId="0" borderId="4" xfId="1" applyFont="1" applyBorder="1" applyAlignment="1" applyProtection="1">
      <alignment horizontal="center" wrapText="1"/>
      <protection locked="0"/>
    </xf>
    <xf numFmtId="0" fontId="9" fillId="0" borderId="0" xfId="0" applyFont="1" applyAlignment="1">
      <alignment horizontal="left" vertical="top" wrapText="1"/>
    </xf>
    <xf numFmtId="0" fontId="0" fillId="0" borderId="21" xfId="0" applyBorder="1" applyAlignment="1" applyProtection="1">
      <alignment horizontal="left" vertical="top"/>
      <protection locked="0"/>
    </xf>
    <xf numFmtId="0" fontId="0" fillId="0" borderId="30" xfId="0" applyBorder="1" applyAlignment="1" applyProtection="1">
      <alignment horizontal="left" vertical="top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center" wrapText="1"/>
      <protection locked="0"/>
    </xf>
    <xf numFmtId="44" fontId="0" fillId="0" borderId="4" xfId="1" applyFont="1" applyFill="1" applyBorder="1" applyAlignment="1" applyProtection="1">
      <alignment horizontal="center"/>
      <protection locked="0"/>
    </xf>
    <xf numFmtId="44" fontId="0" fillId="0" borderId="4" xfId="1" applyFont="1" applyFill="1" applyBorder="1" applyAlignment="1" applyProtection="1">
      <alignment horizontal="center"/>
    </xf>
    <xf numFmtId="44" fontId="0" fillId="0" borderId="0" xfId="1" applyFont="1" applyFill="1" applyBorder="1" applyAlignment="1">
      <alignment horizontal="center" wrapText="1"/>
    </xf>
    <xf numFmtId="44" fontId="0" fillId="0" borderId="17" xfId="1" applyFont="1" applyFill="1" applyBorder="1" applyAlignment="1" applyProtection="1">
      <alignment horizontal="center"/>
      <protection locked="0"/>
    </xf>
    <xf numFmtId="44" fontId="0" fillId="0" borderId="18" xfId="1" applyFont="1" applyFill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4" fontId="1" fillId="0" borderId="4" xfId="1" applyFont="1" applyFill="1" applyBorder="1" applyAlignment="1" applyProtection="1">
      <alignment horizontal="center" wrapText="1"/>
      <protection locked="0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4" fillId="0" borderId="4" xfId="0" applyFont="1" applyBorder="1" applyAlignment="1" applyProtection="1">
      <alignment horizontal="center" vertical="top"/>
      <protection locked="0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center" vertical="top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44" fontId="0" fillId="0" borderId="0" xfId="3" applyNumberFormat="1" applyFont="1" applyFill="1" applyAlignment="1">
      <alignment horizontal="center"/>
    </xf>
    <xf numFmtId="9" fontId="0" fillId="0" borderId="17" xfId="3" applyFont="1" applyFill="1" applyBorder="1" applyAlignment="1" applyProtection="1">
      <alignment horizontal="center"/>
      <protection locked="0"/>
    </xf>
    <xf numFmtId="9" fontId="0" fillId="0" borderId="18" xfId="3" applyFont="1" applyFill="1" applyBorder="1" applyAlignment="1" applyProtection="1">
      <alignment horizontal="center"/>
      <protection locked="0"/>
    </xf>
    <xf numFmtId="8" fontId="0" fillId="0" borderId="19" xfId="0" applyNumberFormat="1" applyBorder="1" applyAlignment="1">
      <alignment horizontal="center"/>
    </xf>
    <xf numFmtId="8" fontId="0" fillId="0" borderId="20" xfId="0" applyNumberFormat="1" applyBorder="1" applyAlignment="1">
      <alignment horizontal="center"/>
    </xf>
    <xf numFmtId="0" fontId="9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center" wrapText="1"/>
      <protection locked="0"/>
    </xf>
    <xf numFmtId="0" fontId="16" fillId="0" borderId="4" xfId="0" applyFont="1" applyBorder="1" applyAlignment="1" applyProtection="1">
      <alignment horizontal="left"/>
      <protection locked="0"/>
    </xf>
    <xf numFmtId="0" fontId="0" fillId="0" borderId="0" xfId="0" applyAlignment="1">
      <alignment horizontal="center" vertical="top"/>
    </xf>
    <xf numFmtId="0" fontId="0" fillId="0" borderId="4" xfId="0" applyBorder="1" applyAlignment="1" applyProtection="1">
      <alignment horizontal="center" vertical="top"/>
      <protection locked="0"/>
    </xf>
    <xf numFmtId="10" fontId="0" fillId="0" borderId="4" xfId="3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44" fontId="0" fillId="0" borderId="4" xfId="1" applyFont="1" applyFill="1" applyBorder="1" applyAlignment="1" applyProtection="1">
      <alignment horizontal="center" wrapText="1"/>
      <protection locked="0"/>
    </xf>
    <xf numFmtId="0" fontId="16" fillId="0" borderId="0" xfId="0" applyFont="1" applyAlignment="1">
      <alignment horizontal="center"/>
    </xf>
    <xf numFmtId="0" fontId="19" fillId="0" borderId="0" xfId="4" applyAlignment="1">
      <alignment horizontal="center"/>
    </xf>
    <xf numFmtId="0" fontId="68" fillId="19" borderId="29" xfId="4" applyFont="1" applyFill="1" applyBorder="1" applyAlignment="1" applyProtection="1">
      <alignment horizontal="center"/>
      <protection locked="0"/>
    </xf>
    <xf numFmtId="0" fontId="68" fillId="19" borderId="33" xfId="4" applyFont="1" applyFill="1" applyBorder="1" applyAlignment="1" applyProtection="1">
      <alignment horizontal="center"/>
      <protection locked="0"/>
    </xf>
    <xf numFmtId="0" fontId="66" fillId="18" borderId="24" xfId="4" applyFont="1" applyFill="1" applyBorder="1" applyAlignment="1" applyProtection="1">
      <alignment horizontal="center"/>
      <protection locked="0"/>
    </xf>
    <xf numFmtId="0" fontId="66" fillId="18" borderId="25" xfId="4" applyFont="1" applyFill="1" applyBorder="1" applyAlignment="1" applyProtection="1">
      <alignment horizontal="center"/>
      <protection locked="0"/>
    </xf>
    <xf numFmtId="0" fontId="66" fillId="18" borderId="26" xfId="4" applyFont="1" applyFill="1" applyBorder="1" applyAlignment="1" applyProtection="1">
      <alignment horizontal="center"/>
      <protection locked="0"/>
    </xf>
    <xf numFmtId="0" fontId="67" fillId="19" borderId="1" xfId="4" applyFont="1" applyFill="1" applyBorder="1" applyAlignment="1" applyProtection="1">
      <alignment horizontal="center"/>
      <protection locked="0"/>
    </xf>
    <xf numFmtId="0" fontId="67" fillId="19" borderId="34" xfId="4" applyFont="1" applyFill="1" applyBorder="1" applyAlignment="1" applyProtection="1">
      <alignment horizontal="center"/>
      <protection locked="0"/>
    </xf>
    <xf numFmtId="0" fontId="67" fillId="19" borderId="16" xfId="4" applyFont="1" applyFill="1" applyBorder="1" applyAlignment="1" applyProtection="1">
      <alignment horizontal="center"/>
      <protection locked="0"/>
    </xf>
    <xf numFmtId="0" fontId="85" fillId="19" borderId="1" xfId="4" applyFont="1" applyFill="1" applyBorder="1" applyAlignment="1">
      <alignment horizontal="center" vertical="center"/>
    </xf>
    <xf numFmtId="0" fontId="66" fillId="18" borderId="6" xfId="4" applyFont="1" applyFill="1" applyBorder="1" applyAlignment="1" applyProtection="1">
      <alignment horizontal="center" wrapText="1"/>
      <protection locked="0"/>
    </xf>
    <xf numFmtId="0" fontId="24" fillId="3" borderId="1" xfId="4" applyFont="1" applyFill="1" applyBorder="1" applyAlignment="1">
      <alignment horizontal="center"/>
    </xf>
    <xf numFmtId="0" fontId="41" fillId="0" borderId="0" xfId="4" applyFont="1" applyAlignment="1">
      <alignment horizontal="left"/>
    </xf>
    <xf numFmtId="0" fontId="43" fillId="0" borderId="0" xfId="4" applyFont="1" applyAlignment="1">
      <alignment horizontal="left" wrapText="1"/>
    </xf>
    <xf numFmtId="0" fontId="49" fillId="0" borderId="0" xfId="4" applyFont="1" applyAlignment="1">
      <alignment horizontal="center" vertical="center" wrapText="1"/>
    </xf>
    <xf numFmtId="0" fontId="50" fillId="15" borderId="24" xfId="4" applyFont="1" applyFill="1" applyBorder="1" applyAlignment="1" applyProtection="1">
      <alignment horizontal="center"/>
      <protection locked="0"/>
    </xf>
    <xf numFmtId="0" fontId="50" fillId="15" borderId="25" xfId="4" applyFont="1" applyFill="1" applyBorder="1" applyAlignment="1" applyProtection="1">
      <alignment horizontal="center"/>
      <protection locked="0"/>
    </xf>
    <xf numFmtId="0" fontId="50" fillId="15" borderId="26" xfId="4" applyFont="1" applyFill="1" applyBorder="1" applyAlignment="1" applyProtection="1">
      <alignment horizontal="center"/>
      <protection locked="0"/>
    </xf>
    <xf numFmtId="166" fontId="56" fillId="13" borderId="4" xfId="6" applyFont="1" applyFill="1" applyBorder="1" applyAlignment="1">
      <alignment horizontal="center"/>
    </xf>
    <xf numFmtId="0" fontId="57" fillId="14" borderId="11" xfId="4" applyFont="1" applyFill="1" applyBorder="1" applyAlignment="1" applyProtection="1">
      <alignment horizontal="center"/>
      <protection locked="0"/>
    </xf>
    <xf numFmtId="0" fontId="51" fillId="14" borderId="6" xfId="4" applyFont="1" applyFill="1" applyBorder="1" applyAlignment="1" applyProtection="1">
      <alignment horizontal="center"/>
      <protection locked="0"/>
    </xf>
    <xf numFmtId="0" fontId="52" fillId="14" borderId="0" xfId="4" applyFont="1" applyFill="1" applyAlignment="1" applyProtection="1">
      <alignment horizontal="left"/>
      <protection locked="0"/>
    </xf>
    <xf numFmtId="0" fontId="58" fillId="14" borderId="0" xfId="4" applyFont="1" applyFill="1" applyAlignment="1" applyProtection="1">
      <alignment horizontal="center"/>
      <protection locked="0"/>
    </xf>
    <xf numFmtId="0" fontId="39" fillId="16" borderId="1" xfId="4" applyFont="1" applyFill="1" applyBorder="1" applyAlignment="1">
      <alignment horizontal="center" vertical="center" wrapText="1"/>
    </xf>
    <xf numFmtId="170" fontId="63" fillId="18" borderId="1" xfId="4" applyNumberFormat="1" applyFont="1" applyFill="1" applyBorder="1" applyAlignment="1">
      <alignment horizontal="center" vertical="center" wrapText="1"/>
    </xf>
    <xf numFmtId="0" fontId="71" fillId="0" borderId="0" xfId="0" applyFont="1" applyAlignment="1">
      <alignment horizontal="center"/>
    </xf>
    <xf numFmtId="0" fontId="2" fillId="0" borderId="4" xfId="0" applyFont="1" applyBorder="1" applyAlignment="1" applyProtection="1">
      <alignment horizontal="center"/>
      <protection locked="0"/>
    </xf>
    <xf numFmtId="0" fontId="77" fillId="0" borderId="0" xfId="0" applyFont="1" applyAlignment="1" applyProtection="1">
      <alignment horizontal="right"/>
      <protection locked="0"/>
    </xf>
    <xf numFmtId="0" fontId="2" fillId="0" borderId="4" xfId="0" applyFont="1" applyBorder="1" applyAlignment="1">
      <alignment horizontal="center"/>
    </xf>
    <xf numFmtId="0" fontId="19" fillId="0" borderId="0" xfId="4" applyAlignment="1">
      <alignment horizontal="left"/>
    </xf>
    <xf numFmtId="0" fontId="24" fillId="0" borderId="0" xfId="4" applyFont="1" applyAlignment="1" applyProtection="1">
      <alignment horizontal="center"/>
      <protection locked="0"/>
    </xf>
    <xf numFmtId="166" fontId="24" fillId="0" borderId="0" xfId="6" applyFont="1" applyAlignment="1" applyProtection="1">
      <alignment horizontal="center"/>
      <protection locked="0"/>
    </xf>
    <xf numFmtId="0" fontId="24" fillId="0" borderId="0" xfId="4" applyFont="1" applyAlignment="1">
      <alignment horizontal="center" vertical="center"/>
    </xf>
    <xf numFmtId="166" fontId="24" fillId="0" borderId="0" xfId="6" applyFont="1" applyAlignment="1" applyProtection="1">
      <alignment horizontal="right"/>
      <protection locked="0"/>
    </xf>
    <xf numFmtId="10" fontId="24" fillId="0" borderId="0" xfId="7" applyNumberFormat="1" applyFont="1" applyAlignment="1" applyProtection="1">
      <alignment horizontal="right"/>
      <protection locked="0"/>
    </xf>
    <xf numFmtId="10" fontId="45" fillId="0" borderId="0" xfId="4" applyNumberFormat="1" applyFont="1" applyAlignment="1" applyProtection="1">
      <alignment horizontal="center"/>
      <protection locked="0"/>
    </xf>
    <xf numFmtId="0" fontId="24" fillId="0" borderId="0" xfId="4" applyFont="1" applyAlignment="1" applyProtection="1">
      <alignment horizontal="right"/>
      <protection locked="0"/>
    </xf>
    <xf numFmtId="166" fontId="24" fillId="0" borderId="0" xfId="6" applyFont="1" applyAlignment="1" applyProtection="1">
      <alignment horizontal="center"/>
    </xf>
    <xf numFmtId="0" fontId="24" fillId="0" borderId="0" xfId="4" applyFont="1" applyAlignment="1">
      <alignment horizontal="center" vertical="center" wrapText="1"/>
    </xf>
    <xf numFmtId="166" fontId="19" fillId="0" borderId="0" xfId="4" applyNumberFormat="1" applyAlignment="1">
      <alignment horizontal="center"/>
    </xf>
    <xf numFmtId="166" fontId="19" fillId="0" borderId="0" xfId="6" applyFont="1" applyAlignment="1">
      <alignment horizontal="center"/>
    </xf>
    <xf numFmtId="166" fontId="19" fillId="0" borderId="0" xfId="4" applyNumberFormat="1" applyAlignment="1" applyProtection="1">
      <alignment horizontal="center" vertical="center"/>
      <protection locked="0"/>
    </xf>
    <xf numFmtId="0" fontId="19" fillId="0" borderId="0" xfId="4" applyAlignment="1" applyProtection="1">
      <alignment horizontal="center" vertical="center"/>
      <protection locked="0"/>
    </xf>
    <xf numFmtId="166" fontId="19" fillId="0" borderId="0" xfId="6" applyFont="1" applyAlignment="1" applyProtection="1">
      <alignment horizontal="center"/>
      <protection locked="0"/>
    </xf>
    <xf numFmtId="44" fontId="19" fillId="0" borderId="0" xfId="4" applyNumberFormat="1" applyAlignment="1" applyProtection="1">
      <alignment horizontal="center" vertical="center"/>
      <protection locked="0"/>
    </xf>
    <xf numFmtId="44" fontId="19" fillId="0" borderId="0" xfId="1" applyFont="1" applyAlignment="1" applyProtection="1">
      <alignment horizontal="center" vertical="center"/>
      <protection locked="0"/>
    </xf>
    <xf numFmtId="44" fontId="19" fillId="0" borderId="0" xfId="4" applyNumberFormat="1" applyAlignment="1">
      <alignment horizontal="center"/>
    </xf>
    <xf numFmtId="166" fontId="19" fillId="0" borderId="0" xfId="6" applyFont="1" applyFill="1" applyAlignment="1">
      <alignment horizontal="center"/>
    </xf>
    <xf numFmtId="10" fontId="45" fillId="0" borderId="0" xfId="4" applyNumberFormat="1" applyFont="1" applyAlignment="1">
      <alignment horizontal="center"/>
    </xf>
    <xf numFmtId="0" fontId="24" fillId="0" borderId="0" xfId="4" applyFont="1" applyAlignment="1">
      <alignment horizontal="center"/>
    </xf>
    <xf numFmtId="0" fontId="59" fillId="16" borderId="0" xfId="4" applyFont="1" applyFill="1" applyAlignment="1">
      <alignment horizontal="center"/>
    </xf>
    <xf numFmtId="166" fontId="24" fillId="0" borderId="0" xfId="6" applyFont="1" applyAlignment="1">
      <alignment horizontal="right"/>
    </xf>
    <xf numFmtId="166" fontId="24" fillId="0" borderId="0" xfId="6" applyFont="1" applyAlignment="1">
      <alignment horizontal="center"/>
    </xf>
    <xf numFmtId="9" fontId="24" fillId="0" borderId="0" xfId="7" applyFont="1" applyAlignment="1" applyProtection="1">
      <alignment horizontal="right"/>
      <protection locked="0"/>
    </xf>
    <xf numFmtId="166" fontId="19" fillId="0" borderId="0" xfId="6" applyFont="1" applyFill="1" applyAlignment="1" applyProtection="1">
      <alignment horizontal="center"/>
      <protection locked="0"/>
    </xf>
    <xf numFmtId="166" fontId="41" fillId="0" borderId="0" xfId="4" applyNumberFormat="1" applyFont="1" applyAlignment="1">
      <alignment horizontal="center"/>
    </xf>
    <xf numFmtId="0" fontId="41" fillId="0" borderId="0" xfId="4" applyFont="1" applyAlignment="1">
      <alignment horizontal="center"/>
    </xf>
    <xf numFmtId="166" fontId="0" fillId="0" borderId="0" xfId="6" applyFont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left"/>
    </xf>
    <xf numFmtId="9" fontId="0" fillId="0" borderId="0" xfId="3" applyFont="1" applyAlignment="1">
      <alignment horizontal="center"/>
    </xf>
    <xf numFmtId="0" fontId="10" fillId="6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0" fillId="4" borderId="8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9" xfId="0" applyFill="1" applyBorder="1" applyAlignment="1">
      <alignment horizontal="left"/>
    </xf>
    <xf numFmtId="0" fontId="11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0" fillId="6" borderId="8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9" xfId="0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9" xfId="0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8" borderId="5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9" xfId="0" applyFill="1" applyBorder="1" applyAlignment="1">
      <alignment horizontal="left"/>
    </xf>
    <xf numFmtId="0" fontId="0" fillId="7" borderId="8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9" fontId="0" fillId="0" borderId="11" xfId="3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44" fontId="0" fillId="0" borderId="13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17" fillId="0" borderId="0" xfId="0" applyFont="1" applyAlignment="1">
      <alignment horizontal="center"/>
    </xf>
    <xf numFmtId="0" fontId="67" fillId="19" borderId="15" xfId="4" applyFont="1" applyFill="1" applyBorder="1" applyAlignment="1" applyProtection="1">
      <alignment horizontal="center" wrapText="1"/>
      <protection locked="0"/>
    </xf>
  </cellXfs>
  <cellStyles count="8">
    <cellStyle name="Hipervínculo" xfId="2" builtinId="8"/>
    <cellStyle name="Millares 2" xfId="5"/>
    <cellStyle name="Moneda" xfId="1" builtinId="4"/>
    <cellStyle name="Moneda 2" xfId="6"/>
    <cellStyle name="Normal" xfId="0" builtinId="0"/>
    <cellStyle name="Normal 2" xfId="4"/>
    <cellStyle name="Porcentaje" xfId="3" builtinId="5"/>
    <cellStyle name="Porcentaje 2" xfId="7"/>
  </cellStyles>
  <dxfs count="58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fgColor rgb="FFC6EFCE"/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40CEFF"/>
      <color rgb="FFC6EFCE"/>
      <color rgb="FF3EFFC3"/>
      <color rgb="FFFFFFFF"/>
      <color rgb="FFC6EF8E"/>
      <color rgb="FF800000"/>
      <color rgb="FF01003D"/>
      <color rgb="FF00A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9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114300</xdr:rowOff>
    </xdr:from>
    <xdr:to>
      <xdr:col>5</xdr:col>
      <xdr:colOff>542925</xdr:colOff>
      <xdr:row>11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5250" y="438150"/>
          <a:ext cx="5838825" cy="1419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3600" b="1">
              <a:latin typeface="+mn-lt"/>
              <a:ea typeface="Cambria Math" panose="02040503050406030204" pitchFamily="18" charset="0"/>
            </a:rPr>
            <a:t>Detalle de Crédito sobre vehiculo</a:t>
          </a:r>
          <a:endParaRPr lang="es-GT" sz="3600" b="1" baseline="0">
            <a:latin typeface="+mn-lt"/>
            <a:ea typeface="Cambria Math" panose="020405030504060302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2</xdr:row>
      <xdr:rowOff>19050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8448"/>
        <a:stretch>
          <a:fillRect/>
        </a:stretch>
      </xdr:blipFill>
      <xdr:spPr bwMode="auto">
        <a:xfrm>
          <a:off x="0" y="0"/>
          <a:ext cx="6048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2</xdr:row>
      <xdr:rowOff>76200</xdr:rowOff>
    </xdr:from>
    <xdr:to>
      <xdr:col>1</xdr:col>
      <xdr:colOff>1438275</xdr:colOff>
      <xdr:row>11</xdr:row>
      <xdr:rowOff>114300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10668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7</xdr:col>
      <xdr:colOff>0</xdr:colOff>
      <xdr:row>66</xdr:row>
      <xdr:rowOff>38100</xdr:rowOff>
    </xdr:to>
    <xdr:pic>
      <xdr:nvPicPr>
        <xdr:cNvPr id="4" name="Imagen 6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455"/>
        <a:stretch>
          <a:fillRect/>
        </a:stretch>
      </xdr:blipFill>
      <xdr:spPr bwMode="auto">
        <a:xfrm>
          <a:off x="0" y="12049125"/>
          <a:ext cx="60483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619125</xdr:colOff>
      <xdr:row>2</xdr:row>
      <xdr:rowOff>19050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8548"/>
        <a:stretch>
          <a:fillRect/>
        </a:stretch>
      </xdr:blipFill>
      <xdr:spPr bwMode="auto">
        <a:xfrm>
          <a:off x="0" y="0"/>
          <a:ext cx="6048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1771650</xdr:colOff>
      <xdr:row>3</xdr:row>
      <xdr:rowOff>31172</xdr:rowOff>
    </xdr:from>
    <xdr:to>
      <xdr:col>5</xdr:col>
      <xdr:colOff>636815</xdr:colOff>
      <xdr:row>9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771650" y="516947"/>
          <a:ext cx="4256315" cy="1207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3600">
              <a:latin typeface="Arial Narrow" panose="020B0606020202030204" pitchFamily="34" charset="0"/>
              <a:ea typeface="Cambria Math" panose="02040503050406030204" pitchFamily="18" charset="0"/>
            </a:rPr>
            <a:t>Detalle de Crédito Hipotecario</a:t>
          </a:r>
        </a:p>
      </xdr:txBody>
    </xdr:sp>
    <xdr:clientData/>
  </xdr:twoCellAnchor>
  <xdr:twoCellAnchor editAs="oneCell">
    <xdr:from>
      <xdr:col>0</xdr:col>
      <xdr:colOff>581025</xdr:colOff>
      <xdr:row>2</xdr:row>
      <xdr:rowOff>76200</xdr:rowOff>
    </xdr:from>
    <xdr:to>
      <xdr:col>0</xdr:col>
      <xdr:colOff>1647825</xdr:colOff>
      <xdr:row>10</xdr:row>
      <xdr:rowOff>76200</xdr:rowOff>
    </xdr:to>
    <xdr:pic>
      <xdr:nvPicPr>
        <xdr:cNvPr id="4" name="Imagen 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400050"/>
          <a:ext cx="10668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38100</xdr:rowOff>
    </xdr:from>
    <xdr:to>
      <xdr:col>5</xdr:col>
      <xdr:colOff>619125</xdr:colOff>
      <xdr:row>30</xdr:row>
      <xdr:rowOff>133350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455"/>
        <a:stretch>
          <a:fillRect/>
        </a:stretch>
      </xdr:blipFill>
      <xdr:spPr bwMode="auto">
        <a:xfrm>
          <a:off x="0" y="5419725"/>
          <a:ext cx="60483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462642</xdr:colOff>
      <xdr:row>22</xdr:row>
      <xdr:rowOff>54428</xdr:rowOff>
    </xdr:from>
    <xdr:to>
      <xdr:col>4</xdr:col>
      <xdr:colOff>2163446</xdr:colOff>
      <xdr:row>26</xdr:row>
      <xdr:rowOff>153878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2678" y="4327071"/>
          <a:ext cx="9116697" cy="847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15</xdr:row>
      <xdr:rowOff>142875</xdr:rowOff>
    </xdr:from>
    <xdr:to>
      <xdr:col>6</xdr:col>
      <xdr:colOff>695326</xdr:colOff>
      <xdr:row>17</xdr:row>
      <xdr:rowOff>95251</xdr:rowOff>
    </xdr:to>
    <xdr:sp macro="" textlink="$C$24">
      <xdr:nvSpPr>
        <xdr:cNvPr id="3" name="CuadroTexto 2">
          <a:extLst>
            <a:ext uri="{FF2B5EF4-FFF2-40B4-BE49-F238E27FC236}">
              <a16:creationId xmlns:a16="http://schemas.microsoft.com/office/drawing/2014/main" id="{0FDB0ABC-5764-46CE-8A5C-D60DA58ABADA}"/>
            </a:ext>
          </a:extLst>
        </xdr:cNvPr>
        <xdr:cNvSpPr txBox="1"/>
      </xdr:nvSpPr>
      <xdr:spPr>
        <a:xfrm>
          <a:off x="4829175" y="3009900"/>
          <a:ext cx="1381126" cy="333376"/>
        </a:xfrm>
        <a:prstGeom prst="rect">
          <a:avLst/>
        </a:prstGeom>
        <a:solidFill>
          <a:srgbClr val="C6EF8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E14ABBE1-553B-48FF-8805-ED24005C0059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l"/>
            <a:t> Q133,905.76 </a:t>
          </a:fld>
          <a:endParaRPr lang="es-GT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190501</xdr:colOff>
      <xdr:row>5</xdr:row>
      <xdr:rowOff>171449</xdr:rowOff>
    </xdr:from>
    <xdr:to>
      <xdr:col>5</xdr:col>
      <xdr:colOff>666751</xdr:colOff>
      <xdr:row>6</xdr:row>
      <xdr:rowOff>180974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658A77B-7504-4892-B7D2-7E5F7AF4A385}"/>
            </a:ext>
          </a:extLst>
        </xdr:cNvPr>
        <xdr:cNvSpPr txBox="1"/>
      </xdr:nvSpPr>
      <xdr:spPr>
        <a:xfrm>
          <a:off x="4657726" y="1323974"/>
          <a:ext cx="4762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Uso: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14</xdr:row>
      <xdr:rowOff>142875</xdr:rowOff>
    </xdr:from>
    <xdr:to>
      <xdr:col>6</xdr:col>
      <xdr:colOff>695326</xdr:colOff>
      <xdr:row>16</xdr:row>
      <xdr:rowOff>28575</xdr:rowOff>
    </xdr:to>
    <xdr:sp macro="" textlink="$C$22">
      <xdr:nvSpPr>
        <xdr:cNvPr id="3" name="CuadroTexto 2">
          <a:extLst>
            <a:ext uri="{FF2B5EF4-FFF2-40B4-BE49-F238E27FC236}">
              <a16:creationId xmlns:a16="http://schemas.microsoft.com/office/drawing/2014/main" id="{998417FA-02A8-4644-8948-9EB9FB8082EE}"/>
            </a:ext>
          </a:extLst>
        </xdr:cNvPr>
        <xdr:cNvSpPr txBox="1"/>
      </xdr:nvSpPr>
      <xdr:spPr>
        <a:xfrm>
          <a:off x="4819650" y="2819400"/>
          <a:ext cx="1381126" cy="266700"/>
        </a:xfrm>
        <a:prstGeom prst="rect">
          <a:avLst/>
        </a:prstGeom>
        <a:solidFill>
          <a:srgbClr val="C6EF8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E14ABBE1-553B-48FF-8805-ED24005C0059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l"/>
            <a:t> Q133,905.76 </a:t>
          </a:fld>
          <a:endParaRPr lang="es-GT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190501</xdr:colOff>
      <xdr:row>5</xdr:row>
      <xdr:rowOff>171449</xdr:rowOff>
    </xdr:from>
    <xdr:to>
      <xdr:col>5</xdr:col>
      <xdr:colOff>666751</xdr:colOff>
      <xdr:row>6</xdr:row>
      <xdr:rowOff>180974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4FDC643-2985-4569-8EDE-22175E27D9F3}"/>
            </a:ext>
          </a:extLst>
        </xdr:cNvPr>
        <xdr:cNvSpPr txBox="1"/>
      </xdr:nvSpPr>
      <xdr:spPr>
        <a:xfrm>
          <a:off x="4638676" y="1323974"/>
          <a:ext cx="4762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Uso: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84666</xdr:rowOff>
    </xdr:from>
    <xdr:to>
      <xdr:col>17</xdr:col>
      <xdr:colOff>352425</xdr:colOff>
      <xdr:row>7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570441"/>
          <a:ext cx="4429125" cy="56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3600">
              <a:latin typeface="Arial Narrow" panose="020B0606020202030204" pitchFamily="34" charset="0"/>
              <a:ea typeface="Cambria Math" panose="02040503050406030204" pitchFamily="18" charset="0"/>
            </a:rPr>
            <a:t>Detalle de cuota</a:t>
          </a:r>
          <a:r>
            <a:rPr lang="es-GT" sz="3600" baseline="0">
              <a:latin typeface="Arial Narrow" panose="020B0606020202030204" pitchFamily="34" charset="0"/>
              <a:ea typeface="Cambria Math" panose="02040503050406030204" pitchFamily="18" charset="0"/>
            </a:rPr>
            <a:t> nivelada</a:t>
          </a:r>
          <a:endParaRPr lang="es-GT" sz="3600">
            <a:latin typeface="Arial Narrow" panose="020B0606020202030204" pitchFamily="34" charset="0"/>
            <a:ea typeface="Cambria Math" panose="020405030504060302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412748</xdr:colOff>
      <xdr:row>6</xdr:row>
      <xdr:rowOff>38101</xdr:rowOff>
    </xdr:from>
    <xdr:to>
      <xdr:col>30</xdr:col>
      <xdr:colOff>714374</xdr:colOff>
      <xdr:row>11</xdr:row>
      <xdr:rowOff>111126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3989915" y="1064684"/>
          <a:ext cx="7498292" cy="739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*El interés siempre es calculado sobre saldo</a:t>
          </a:r>
        </a:p>
        <a:p>
          <a:r>
            <a:rPr lang="es-G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*No hay penalización por cancelación anticipada de créditos (de cancelarse</a:t>
          </a:r>
          <a:r>
            <a:rPr lang="es-G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anticipadamente utilidad neta variara proporcionalmente)</a:t>
          </a:r>
          <a:endParaRPr lang="es-GT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42333</xdr:colOff>
      <xdr:row>1</xdr:row>
      <xdr:rowOff>1</xdr:rowOff>
    </xdr:from>
    <xdr:to>
      <xdr:col>26</xdr:col>
      <xdr:colOff>227542</xdr:colOff>
      <xdr:row>5</xdr:row>
      <xdr:rowOff>104776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D7CC4F3-9A75-4377-A281-F9C3C7A590B5}"/>
            </a:ext>
          </a:extLst>
        </xdr:cNvPr>
        <xdr:cNvSpPr txBox="1"/>
      </xdr:nvSpPr>
      <xdr:spPr>
        <a:xfrm>
          <a:off x="42333" y="158751"/>
          <a:ext cx="7498292" cy="739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</a:t>
          </a:r>
          <a:r>
            <a:rPr lang="es-GT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cuota especial</a:t>
          </a:r>
          <a:endParaRPr lang="es-GT" sz="3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142874</xdr:rowOff>
    </xdr:from>
    <xdr:to>
      <xdr:col>7</xdr:col>
      <xdr:colOff>19050</xdr:colOff>
      <xdr:row>5</xdr:row>
      <xdr:rowOff>126062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142874"/>
          <a:ext cx="695324" cy="935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92D050"/>
  </sheetPr>
  <dimension ref="A1:L130"/>
  <sheetViews>
    <sheetView showGridLines="0" showRuler="0" view="pageBreakPreview" zoomScaleNormal="100" zoomScaleSheetLayoutView="100" workbookViewId="0">
      <pane ySplit="5" topLeftCell="A6" activePane="bottomLeft" state="frozen"/>
      <selection pane="bottomLeft" activeCell="I63" sqref="I63"/>
    </sheetView>
  </sheetViews>
  <sheetFormatPr baseColWidth="10" defaultRowHeight="15"/>
  <cols>
    <col min="1" max="1" width="8.42578125" customWidth="1"/>
    <col min="2" max="2" width="7.28515625" customWidth="1"/>
    <col min="3" max="4" width="6.42578125" customWidth="1"/>
    <col min="5" max="5" width="9" customWidth="1"/>
    <col min="6" max="6" width="5.42578125" customWidth="1"/>
    <col min="7" max="7" width="9.85546875" customWidth="1"/>
    <col min="8" max="8" width="12.42578125" customWidth="1"/>
    <col min="9" max="9" width="11.42578125" customWidth="1"/>
    <col min="10" max="10" width="7" customWidth="1"/>
    <col min="11" max="11" width="10.42578125" customWidth="1"/>
    <col min="12" max="12" width="4.85546875" customWidth="1"/>
  </cols>
  <sheetData>
    <row r="1" spans="1:12">
      <c r="A1" s="1"/>
      <c r="B1" s="429"/>
      <c r="C1" s="429"/>
      <c r="D1" s="429"/>
      <c r="E1" s="429"/>
      <c r="F1" s="429"/>
      <c r="G1" s="429"/>
      <c r="H1" s="429"/>
      <c r="I1" s="429"/>
      <c r="J1" s="429"/>
      <c r="K1" s="429"/>
    </row>
    <row r="2" spans="1:12" ht="15.75" thickBot="1">
      <c r="A2" s="1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2" ht="15" customHeight="1">
      <c r="A3" s="430" t="str">
        <f>IFERROR('Analisis garantia'!BF14,"")</f>
        <v>A</v>
      </c>
      <c r="B3" s="431"/>
      <c r="C3" s="436" t="str">
        <f>IFERROR('Analisis garantia'!BF17,"")</f>
        <v>Tasa a Ofrecer</v>
      </c>
      <c r="D3" s="437"/>
      <c r="I3" s="430" t="str">
        <f>IFERROR('Analisis de pago'!I6,"")</f>
        <v/>
      </c>
      <c r="J3" s="431"/>
      <c r="K3" s="405" t="str">
        <f>IF(I3="","","Calificacion según analisis de pago")</f>
        <v/>
      </c>
      <c r="L3" s="406"/>
    </row>
    <row r="4" spans="1:12" ht="15" customHeight="1">
      <c r="A4" s="432"/>
      <c r="B4" s="433"/>
      <c r="C4" s="438" t="str">
        <f>IFERROR('Analisis garantia'!BF18,"")</f>
        <v>2.5% - 3.5%</v>
      </c>
      <c r="D4" s="439"/>
      <c r="I4" s="432"/>
      <c r="J4" s="433"/>
      <c r="K4" s="407"/>
      <c r="L4" s="408"/>
    </row>
    <row r="5" spans="1:12" ht="21.75" customHeight="1" thickBot="1">
      <c r="A5" s="434"/>
      <c r="B5" s="435"/>
      <c r="C5" s="440"/>
      <c r="D5" s="441"/>
      <c r="I5" s="434"/>
      <c r="J5" s="435"/>
      <c r="K5" s="409"/>
      <c r="L5" s="410"/>
    </row>
    <row r="6" spans="1:12" ht="17.25" customHeight="1">
      <c r="A6" s="32"/>
      <c r="B6" s="32"/>
      <c r="C6" s="32"/>
      <c r="D6" s="3"/>
      <c r="E6" s="3"/>
      <c r="F6" s="3"/>
      <c r="H6" s="33"/>
      <c r="I6" s="33"/>
      <c r="J6" s="3"/>
      <c r="K6" s="33"/>
    </row>
    <row r="7" spans="1:12">
      <c r="A7" s="4" t="s">
        <v>233</v>
      </c>
      <c r="K7" s="1"/>
    </row>
    <row r="8" spans="1:12">
      <c r="A8" s="1"/>
      <c r="K8" s="1"/>
    </row>
    <row r="9" spans="1:12">
      <c r="A9" s="373" t="s">
        <v>54</v>
      </c>
      <c r="B9" s="373"/>
      <c r="C9" s="381"/>
      <c r="D9" s="381"/>
      <c r="E9" s="381"/>
      <c r="F9" s="371" t="s">
        <v>442</v>
      </c>
      <c r="G9" s="371"/>
      <c r="H9" s="381"/>
      <c r="I9" s="381"/>
      <c r="J9" s="3" t="s">
        <v>1</v>
      </c>
      <c r="K9" s="50"/>
    </row>
    <row r="10" spans="1:12">
      <c r="A10" s="16"/>
      <c r="B10" s="16"/>
      <c r="C10" s="16"/>
      <c r="G10" s="1"/>
      <c r="H10" s="1"/>
      <c r="I10" s="1"/>
      <c r="J10" s="1"/>
      <c r="K10" s="1"/>
    </row>
    <row r="11" spans="1:12">
      <c r="A11" s="373" t="s">
        <v>208</v>
      </c>
      <c r="B11" s="373"/>
      <c r="C11" s="381"/>
      <c r="D11" s="381"/>
      <c r="E11" s="381"/>
      <c r="F11" s="371" t="s">
        <v>209</v>
      </c>
      <c r="G11" s="371"/>
      <c r="H11" s="395"/>
      <c r="I11" s="395"/>
      <c r="J11" s="1"/>
      <c r="K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ht="24.75" customHeight="1">
      <c r="A13" s="412" t="s">
        <v>0</v>
      </c>
      <c r="B13" s="412"/>
      <c r="C13" s="427"/>
      <c r="D13" s="427"/>
      <c r="E13" s="426" t="s">
        <v>220</v>
      </c>
      <c r="F13" s="426"/>
      <c r="G13" s="426"/>
      <c r="H13" s="424"/>
      <c r="I13" s="424"/>
      <c r="J13" s="424"/>
      <c r="K13" s="424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>
      <c r="A15" t="s">
        <v>265</v>
      </c>
      <c r="B15" s="1"/>
      <c r="C15" s="381"/>
      <c r="D15" s="381"/>
      <c r="E15" s="381"/>
      <c r="F15" s="3"/>
      <c r="G15" s="183" t="s">
        <v>299</v>
      </c>
      <c r="H15" s="55"/>
      <c r="I15" s="24" t="s">
        <v>211</v>
      </c>
      <c r="J15" s="425"/>
      <c r="K15" s="425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t="s">
        <v>285</v>
      </c>
      <c r="B17" s="1"/>
      <c r="C17" s="1"/>
      <c r="D17" s="395"/>
      <c r="E17" s="395"/>
      <c r="F17" s="395"/>
      <c r="G17" s="377" t="s">
        <v>286</v>
      </c>
      <c r="H17" s="377"/>
      <c r="I17" s="395"/>
      <c r="J17" s="395"/>
    </row>
    <row r="18" spans="1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373" t="s">
        <v>94</v>
      </c>
      <c r="B19" s="373"/>
      <c r="C19" s="16"/>
      <c r="D19" s="395"/>
      <c r="E19" s="395"/>
      <c r="F19" s="395"/>
      <c r="G19" s="15" t="s">
        <v>212</v>
      </c>
      <c r="H19" s="395"/>
      <c r="I19" s="395"/>
      <c r="J19" s="395"/>
      <c r="K19" s="395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t="s">
        <v>4</v>
      </c>
      <c r="B21" s="1"/>
      <c r="C21" s="1"/>
      <c r="D21" s="395"/>
      <c r="E21" s="395"/>
      <c r="F21" s="395"/>
      <c r="H21" s="371" t="s">
        <v>300</v>
      </c>
      <c r="I21" s="371"/>
      <c r="J21" s="371"/>
      <c r="K21" s="71"/>
    </row>
    <row r="22" spans="1:11" ht="15" customHeight="1">
      <c r="A22" s="1"/>
      <c r="B22" s="1"/>
      <c r="C22" s="1"/>
      <c r="D22" s="1"/>
      <c r="E22" s="1"/>
      <c r="F22" s="1"/>
      <c r="G22" s="1"/>
      <c r="H22" s="421" t="s">
        <v>301</v>
      </c>
      <c r="I22" s="421"/>
      <c r="J22" s="421"/>
      <c r="K22" s="42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4" t="s">
        <v>221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H25" s="1"/>
      <c r="J25" s="1"/>
    </row>
    <row r="26" spans="1:11">
      <c r="A26" t="s">
        <v>222</v>
      </c>
      <c r="C26" s="381"/>
      <c r="D26" s="381"/>
      <c r="F26" s="371" t="s">
        <v>7</v>
      </c>
      <c r="G26" s="371"/>
      <c r="H26" s="381"/>
      <c r="I26" s="381"/>
    </row>
    <row r="27" spans="1:11">
      <c r="A27" s="16"/>
      <c r="B27" s="16"/>
      <c r="C27" s="16"/>
      <c r="J27" s="3"/>
      <c r="K27" s="3"/>
    </row>
    <row r="28" spans="1:11">
      <c r="A28" t="s">
        <v>8</v>
      </c>
      <c r="C28" s="381"/>
      <c r="D28" s="381"/>
      <c r="E28" s="381"/>
      <c r="F28" s="371" t="s">
        <v>449</v>
      </c>
      <c r="G28" s="371"/>
      <c r="H28" s="51"/>
      <c r="I28" s="371" t="s">
        <v>450</v>
      </c>
      <c r="J28" s="371"/>
      <c r="K28" s="51"/>
    </row>
    <row r="29" spans="1:11">
      <c r="A29" s="16"/>
      <c r="B29" s="16"/>
      <c r="C29" s="16"/>
      <c r="J29" s="3"/>
      <c r="K29" s="3"/>
    </row>
    <row r="30" spans="1:11">
      <c r="A30" t="s">
        <v>2</v>
      </c>
      <c r="B30" s="404"/>
      <c r="C30" s="404"/>
      <c r="D30" s="414"/>
      <c r="E30" s="415"/>
      <c r="F30" s="21"/>
      <c r="G30" t="s">
        <v>3</v>
      </c>
      <c r="H30" s="52"/>
      <c r="I30" s="414"/>
      <c r="J30" s="415"/>
    </row>
    <row r="31" spans="1:11">
      <c r="B31" s="21"/>
      <c r="C31" s="21"/>
      <c r="D31" s="21"/>
      <c r="E31" s="21"/>
      <c r="F31" s="21"/>
      <c r="I31" s="22"/>
    </row>
    <row r="32" spans="1:11">
      <c r="A32" s="373" t="s">
        <v>287</v>
      </c>
      <c r="B32" s="373"/>
      <c r="C32" s="373"/>
      <c r="D32" s="373"/>
      <c r="E32" s="398">
        <f>B30-H30</f>
        <v>0</v>
      </c>
      <c r="F32" s="398"/>
      <c r="G32" s="414"/>
      <c r="H32" s="415"/>
      <c r="I32" s="22"/>
    </row>
    <row r="33" spans="1:11">
      <c r="A33" s="1"/>
      <c r="B33" s="1"/>
      <c r="C33" s="1"/>
      <c r="D33" s="20"/>
      <c r="E33" s="20"/>
      <c r="F33" s="20"/>
      <c r="H33" s="1"/>
      <c r="J33" s="1"/>
    </row>
    <row r="34" spans="1:11">
      <c r="A34" s="373" t="s">
        <v>302</v>
      </c>
      <c r="B34" s="373"/>
      <c r="C34" s="373"/>
      <c r="D34" s="373"/>
      <c r="E34" s="373"/>
      <c r="F34" s="53"/>
      <c r="H34" s="1"/>
      <c r="J34" s="1"/>
    </row>
    <row r="35" spans="1:11">
      <c r="A35" s="1"/>
      <c r="B35" s="1"/>
      <c r="C35" s="1"/>
      <c r="D35" s="20"/>
      <c r="E35" s="20"/>
      <c r="J35" s="1"/>
    </row>
    <row r="36" spans="1:11">
      <c r="A36" s="373" t="s">
        <v>223</v>
      </c>
      <c r="B36" s="373"/>
      <c r="C36" s="373"/>
      <c r="D36" s="373"/>
      <c r="E36" s="373"/>
      <c r="F36" s="51"/>
      <c r="G36" s="371" t="s">
        <v>53</v>
      </c>
      <c r="H36" s="371"/>
      <c r="I36" s="371"/>
      <c r="J36" s="51"/>
    </row>
    <row r="37" spans="1:11">
      <c r="A37" s="1"/>
      <c r="B37" s="1"/>
      <c r="C37" s="1"/>
      <c r="D37" s="1"/>
      <c r="E37" s="1"/>
      <c r="F37" s="1"/>
      <c r="I37" s="22"/>
    </row>
    <row r="38" spans="1:11">
      <c r="A38" s="373" t="s">
        <v>303</v>
      </c>
      <c r="B38" s="373"/>
      <c r="C38" s="373"/>
      <c r="D38" s="51"/>
      <c r="E38" s="371" t="s">
        <v>304</v>
      </c>
      <c r="F38" s="371"/>
      <c r="G38" s="371"/>
      <c r="H38" s="371"/>
      <c r="I38" s="51"/>
      <c r="K38" s="3"/>
    </row>
    <row r="39" spans="1:11">
      <c r="K39" s="1"/>
    </row>
    <row r="40" spans="1:11">
      <c r="K40" s="1"/>
    </row>
    <row r="41" spans="1:11">
      <c r="A41" s="4" t="s">
        <v>224</v>
      </c>
      <c r="G41" s="1"/>
      <c r="H41" s="1"/>
      <c r="I41" s="1"/>
      <c r="J41" s="1"/>
      <c r="K41" s="1"/>
    </row>
    <row r="43" spans="1:11">
      <c r="A43" t="s">
        <v>225</v>
      </c>
      <c r="E43" s="51"/>
      <c r="G43" t="s">
        <v>6</v>
      </c>
      <c r="I43" s="51"/>
    </row>
    <row r="45" spans="1:11">
      <c r="A45" t="s">
        <v>226</v>
      </c>
      <c r="F45" s="51"/>
      <c r="G45" s="371" t="s">
        <v>306</v>
      </c>
      <c r="H45" s="371"/>
      <c r="I45" s="51"/>
    </row>
    <row r="46" spans="1:11">
      <c r="A46" s="1"/>
      <c r="B46" s="1"/>
      <c r="C46" s="1"/>
      <c r="D46" s="1"/>
      <c r="E46" s="1"/>
      <c r="F46" s="1"/>
      <c r="H46" s="1"/>
      <c r="I46" s="1"/>
      <c r="J46" s="1"/>
      <c r="K46" s="1"/>
    </row>
    <row r="47" spans="1:11">
      <c r="A47" t="s">
        <v>23</v>
      </c>
      <c r="B47" s="1"/>
      <c r="C47" s="1"/>
      <c r="D47" s="1"/>
      <c r="E47" s="401" t="s">
        <v>24</v>
      </c>
      <c r="F47" s="401"/>
      <c r="G47" s="401"/>
      <c r="H47" t="s">
        <v>227</v>
      </c>
      <c r="J47" s="51"/>
      <c r="K47" s="54"/>
    </row>
    <row r="48" spans="1:11">
      <c r="A48" s="1"/>
      <c r="B48" s="1"/>
      <c r="C48" s="1"/>
      <c r="D48" s="1"/>
      <c r="E48" s="1"/>
      <c r="F48" s="1"/>
      <c r="G48" s="1"/>
    </row>
    <row r="49" spans="1:11">
      <c r="A49" s="373" t="s">
        <v>328</v>
      </c>
      <c r="B49" s="373"/>
      <c r="C49" s="373"/>
      <c r="D49" s="373"/>
      <c r="E49" s="51"/>
      <c r="G49" s="371" t="s">
        <v>329</v>
      </c>
      <c r="H49" s="371"/>
      <c r="I49" s="396"/>
      <c r="J49" s="396"/>
    </row>
    <row r="50" spans="1:11">
      <c r="A50" s="1"/>
      <c r="B50" s="1"/>
      <c r="C50" s="1"/>
      <c r="D50" s="1"/>
      <c r="E50" s="1"/>
      <c r="F50" s="1"/>
      <c r="G50" s="1"/>
    </row>
    <row r="51" spans="1:11" ht="30.75" customHeight="1">
      <c r="A51" s="373" t="s">
        <v>330</v>
      </c>
      <c r="B51" s="373"/>
      <c r="C51" s="373"/>
      <c r="D51" s="396"/>
      <c r="E51" s="396"/>
      <c r="F51" s="422" t="s">
        <v>438</v>
      </c>
      <c r="G51" s="422"/>
      <c r="H51" s="422"/>
      <c r="I51" s="397">
        <f>E32-D51</f>
        <v>0</v>
      </c>
      <c r="J51" s="397"/>
      <c r="K51" s="70" t="str">
        <f>IFERROR(I51/B30,"")</f>
        <v/>
      </c>
    </row>
    <row r="52" spans="1:11">
      <c r="A52" s="1"/>
      <c r="B52" s="1"/>
      <c r="C52" s="1"/>
      <c r="D52" s="1"/>
      <c r="E52" s="1"/>
      <c r="F52" s="1"/>
      <c r="G52" s="1"/>
    </row>
    <row r="53" spans="1:11">
      <c r="A53" s="373" t="s">
        <v>309</v>
      </c>
      <c r="B53" s="373"/>
      <c r="C53" s="373"/>
      <c r="D53" s="51"/>
      <c r="F53" t="s">
        <v>310</v>
      </c>
      <c r="I53" s="51"/>
    </row>
    <row r="54" spans="1:11">
      <c r="A54" s="1"/>
      <c r="B54" s="1"/>
      <c r="C54" s="1"/>
      <c r="D54" s="1"/>
      <c r="E54" s="1"/>
      <c r="F54" s="1"/>
      <c r="G54" s="1"/>
    </row>
    <row r="55" spans="1:11">
      <c r="A55" t="s">
        <v>46</v>
      </c>
      <c r="B55" s="1"/>
      <c r="C55" s="1"/>
      <c r="D55" s="442"/>
      <c r="E55" s="442"/>
      <c r="F55" s="443" t="s">
        <v>33</v>
      </c>
      <c r="G55" s="443"/>
      <c r="H55" s="51"/>
      <c r="I55" s="371" t="s">
        <v>228</v>
      </c>
      <c r="J55" s="371"/>
      <c r="K55" s="51"/>
    </row>
    <row r="56" spans="1:11">
      <c r="B56" s="1"/>
      <c r="C56" s="1"/>
      <c r="D56" s="1"/>
      <c r="E56" s="1"/>
      <c r="F56" s="1"/>
      <c r="G56" s="1"/>
      <c r="I56" s="1"/>
      <c r="J56" s="1"/>
    </row>
    <row r="57" spans="1:11">
      <c r="A57" s="373" t="s">
        <v>307</v>
      </c>
      <c r="B57" s="373"/>
      <c r="C57" s="55"/>
      <c r="D57" s="184" t="s">
        <v>308</v>
      </c>
    </row>
    <row r="58" spans="1:11">
      <c r="B58" s="1"/>
      <c r="C58" s="1"/>
      <c r="D58" s="1"/>
      <c r="E58" s="1"/>
      <c r="F58" s="1"/>
      <c r="G58" s="1"/>
      <c r="I58" s="1"/>
      <c r="J58" s="1"/>
    </row>
    <row r="59" spans="1:11">
      <c r="A59" s="4" t="s">
        <v>229</v>
      </c>
    </row>
    <row r="60" spans="1:11">
      <c r="A60" s="1"/>
      <c r="B60" s="1"/>
      <c r="C60" s="1"/>
      <c r="D60" s="1"/>
      <c r="E60" s="1"/>
      <c r="F60" s="1"/>
      <c r="G60" s="1"/>
      <c r="J60" s="1"/>
    </row>
    <row r="61" spans="1:11">
      <c r="A61" s="373" t="s">
        <v>230</v>
      </c>
      <c r="B61" s="373"/>
      <c r="C61" s="373"/>
      <c r="D61" s="402" t="s">
        <v>453</v>
      </c>
      <c r="E61" s="403"/>
      <c r="G61" s="371" t="s">
        <v>231</v>
      </c>
      <c r="H61" s="371"/>
      <c r="I61" s="414"/>
      <c r="J61" s="415"/>
    </row>
    <row r="62" spans="1:11">
      <c r="A62" s="373" t="s">
        <v>47</v>
      </c>
      <c r="B62" s="373"/>
      <c r="C62" s="373"/>
      <c r="D62" s="399"/>
      <c r="E62" s="400"/>
      <c r="F62" s="43"/>
    </row>
    <row r="63" spans="1:11">
      <c r="A63" s="373" t="s">
        <v>232</v>
      </c>
      <c r="B63" s="373"/>
      <c r="C63" s="373"/>
      <c r="D63" s="417"/>
      <c r="E63" s="418"/>
      <c r="F63" s="185">
        <f>(D63*0.12)+D63</f>
        <v>0</v>
      </c>
      <c r="H63" s="15" t="s">
        <v>210</v>
      </c>
      <c r="I63" s="186"/>
    </row>
    <row r="64" spans="1:11">
      <c r="A64" s="372" t="s">
        <v>140</v>
      </c>
      <c r="B64" s="372"/>
      <c r="C64" s="372"/>
      <c r="D64" s="374"/>
      <c r="E64" s="375"/>
      <c r="G64" s="377" t="s">
        <v>92</v>
      </c>
      <c r="H64" s="377"/>
      <c r="I64" s="187" t="str">
        <f>IFERROR(E32/I63,"")</f>
        <v/>
      </c>
      <c r="K64" s="1"/>
    </row>
    <row r="65" spans="1:12">
      <c r="A65" s="373" t="s">
        <v>141</v>
      </c>
      <c r="B65" s="373"/>
      <c r="C65" s="373"/>
      <c r="D65" s="399"/>
      <c r="E65" s="400"/>
      <c r="F65" s="43"/>
      <c r="H65" s="3"/>
      <c r="I65" s="3"/>
    </row>
    <row r="66" spans="1:12">
      <c r="A66" s="372" t="s">
        <v>142</v>
      </c>
      <c r="B66" s="372"/>
      <c r="C66" s="372"/>
      <c r="D66" s="399"/>
      <c r="E66" s="400"/>
      <c r="F66" s="43"/>
      <c r="G66" s="1"/>
      <c r="H66" s="1"/>
      <c r="I66" s="1"/>
      <c r="J66" s="1"/>
      <c r="K66" s="1"/>
    </row>
    <row r="67" spans="1:12" ht="15" customHeight="1">
      <c r="A67" s="423" t="s">
        <v>315</v>
      </c>
      <c r="B67" s="423"/>
      <c r="C67" s="423"/>
      <c r="D67" s="419">
        <f>IFERROR(IF(A67="Cuota Nivelada",PMT(F63,D64,-D62)+D65+D66,(D62*F63)+D65+D66),0)</f>
        <v>0</v>
      </c>
      <c r="E67" s="420"/>
      <c r="F67" s="382" t="str">
        <f>IFERROR(D67/H69,"")</f>
        <v/>
      </c>
      <c r="G67" s="383"/>
      <c r="H67" s="385" t="s">
        <v>281</v>
      </c>
      <c r="I67" s="385"/>
      <c r="J67" s="385"/>
      <c r="K67" s="385"/>
      <c r="L67" s="385"/>
    </row>
    <row r="68" spans="1:12">
      <c r="D68" s="189"/>
      <c r="E68" s="189"/>
      <c r="F68" s="189"/>
      <c r="G68" s="188"/>
      <c r="H68" s="385"/>
      <c r="I68" s="385"/>
      <c r="J68" s="385"/>
      <c r="K68" s="385"/>
      <c r="L68" s="385"/>
    </row>
    <row r="69" spans="1:12">
      <c r="A69" s="373" t="s">
        <v>438</v>
      </c>
      <c r="B69" s="373"/>
      <c r="C69" s="373"/>
      <c r="D69" s="373"/>
      <c r="E69" s="373"/>
      <c r="F69" s="373"/>
      <c r="G69" s="373"/>
      <c r="H69" s="416">
        <f>I51</f>
        <v>0</v>
      </c>
      <c r="I69" s="416"/>
    </row>
    <row r="70" spans="1:12">
      <c r="D70" s="189"/>
      <c r="E70" s="189"/>
      <c r="F70" s="189"/>
      <c r="G70" s="190"/>
    </row>
    <row r="71" spans="1:12">
      <c r="A71" t="s">
        <v>243</v>
      </c>
      <c r="D71" s="189"/>
      <c r="E71" s="189"/>
      <c r="F71" s="189"/>
      <c r="G71" s="188"/>
      <c r="H71" s="191">
        <f>H69-D67</f>
        <v>0</v>
      </c>
      <c r="I71" s="192" t="str">
        <f>IFERROR(1-F67,"")</f>
        <v/>
      </c>
    </row>
    <row r="72" spans="1:12">
      <c r="A72" s="1"/>
      <c r="B72" s="1"/>
      <c r="C72" s="1"/>
      <c r="D72" s="1"/>
      <c r="E72" s="1"/>
      <c r="J72" s="1"/>
      <c r="K72" s="1"/>
    </row>
    <row r="73" spans="1:12">
      <c r="A73" t="s">
        <v>288</v>
      </c>
      <c r="B73" s="1"/>
      <c r="C73" s="1"/>
      <c r="D73" s="51"/>
      <c r="E73" s="371" t="s">
        <v>439</v>
      </c>
      <c r="F73" s="371"/>
      <c r="G73" s="371"/>
      <c r="H73" s="371"/>
      <c r="I73" s="381"/>
      <c r="J73" s="381"/>
      <c r="K73" s="381"/>
      <c r="L73" s="381"/>
    </row>
    <row r="74" spans="1:12">
      <c r="B74" s="1"/>
      <c r="C74" s="1"/>
      <c r="E74" s="72"/>
      <c r="F74" s="72"/>
      <c r="J74" s="1"/>
    </row>
    <row r="75" spans="1:12">
      <c r="A75" s="371" t="s">
        <v>289</v>
      </c>
      <c r="B75" s="371"/>
      <c r="C75" s="371"/>
      <c r="D75" s="371"/>
      <c r="E75" s="371"/>
      <c r="F75" s="51"/>
      <c r="H75" s="371" t="s">
        <v>290</v>
      </c>
      <c r="I75" s="371"/>
      <c r="J75" s="371"/>
      <c r="K75" s="381"/>
      <c r="L75" s="38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2">
      <c r="A77" s="373" t="s">
        <v>440</v>
      </c>
      <c r="B77" s="373"/>
      <c r="C77" s="373"/>
      <c r="D77" s="373"/>
      <c r="E77" s="373"/>
      <c r="F77" s="51"/>
      <c r="G77" s="371" t="s">
        <v>59</v>
      </c>
      <c r="H77" s="371"/>
      <c r="I77" s="371"/>
      <c r="J77" s="395"/>
      <c r="K77" s="395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2">
      <c r="A79" s="373" t="s">
        <v>291</v>
      </c>
      <c r="B79" s="373"/>
      <c r="C79" s="373"/>
      <c r="D79" s="373"/>
      <c r="E79" s="373"/>
      <c r="F79" s="373"/>
      <c r="G79" s="373"/>
      <c r="H79" s="373"/>
      <c r="I79" s="51"/>
      <c r="J79" s="1"/>
      <c r="K79" s="1"/>
    </row>
    <row r="80" spans="1:12">
      <c r="B80" s="1"/>
      <c r="C80" s="1"/>
      <c r="D80" s="1"/>
      <c r="E80" s="1"/>
      <c r="F80" s="1"/>
      <c r="G80" s="1"/>
      <c r="H80" s="1"/>
      <c r="J80" s="1"/>
      <c r="K80" s="1"/>
    </row>
    <row r="81" spans="1:12">
      <c r="A81" t="s">
        <v>292</v>
      </c>
      <c r="B81" s="1"/>
      <c r="C81" s="1"/>
      <c r="D81" s="395"/>
      <c r="E81" s="395"/>
      <c r="F81" s="1"/>
      <c r="H81" s="1"/>
      <c r="I81" s="1"/>
      <c r="J81" s="1"/>
      <c r="K81" s="1"/>
    </row>
    <row r="82" spans="1:12">
      <c r="B82" s="1"/>
      <c r="C82" s="1"/>
      <c r="D82" s="1"/>
      <c r="E82" s="1"/>
      <c r="F82" s="1"/>
      <c r="H82" s="1"/>
      <c r="I82" s="1"/>
      <c r="J82" s="1"/>
      <c r="K82" s="1"/>
    </row>
    <row r="83" spans="1:12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2" hidden="1">
      <c r="A84" s="4" t="s">
        <v>213</v>
      </c>
    </row>
    <row r="85" spans="1:12" hidden="1"/>
    <row r="86" spans="1:12" s="237" customFormat="1" ht="24" hidden="1" customHeight="1">
      <c r="A86" s="412" t="s">
        <v>266</v>
      </c>
      <c r="B86" s="412"/>
      <c r="C86" s="412"/>
      <c r="D86" s="411"/>
      <c r="E86" s="411"/>
      <c r="F86" s="413" t="s">
        <v>267</v>
      </c>
      <c r="G86" s="413"/>
      <c r="H86" s="413"/>
      <c r="I86" s="379"/>
      <c r="J86" s="379"/>
      <c r="K86" s="379"/>
    </row>
    <row r="87" spans="1:12" hidden="1"/>
    <row r="88" spans="1:12" hidden="1">
      <c r="A88" t="s">
        <v>265</v>
      </c>
      <c r="C88" s="381"/>
      <c r="D88" s="381"/>
      <c r="E88" s="381"/>
      <c r="G88" t="s">
        <v>211</v>
      </c>
      <c r="H88" s="381"/>
      <c r="I88" s="381"/>
      <c r="J88" s="15" t="s">
        <v>112</v>
      </c>
      <c r="K88" s="51"/>
    </row>
    <row r="89" spans="1:12" ht="15" hidden="1" customHeight="1"/>
    <row r="90" spans="1:12" ht="15" hidden="1" customHeight="1">
      <c r="A90" t="s">
        <v>264</v>
      </c>
      <c r="D90" s="51"/>
      <c r="E90" s="371" t="s">
        <v>293</v>
      </c>
      <c r="F90" s="371"/>
      <c r="G90" s="371"/>
      <c r="H90" s="51"/>
    </row>
    <row r="91" spans="1:12" ht="15" hidden="1" customHeight="1"/>
    <row r="92" spans="1:12" ht="15" hidden="1" customHeight="1">
      <c r="A92" t="s">
        <v>294</v>
      </c>
      <c r="F92" s="378"/>
      <c r="G92" s="378"/>
      <c r="H92" s="371" t="s">
        <v>63</v>
      </c>
      <c r="I92" s="371"/>
      <c r="J92" s="371"/>
      <c r="K92" s="371"/>
      <c r="L92" s="50"/>
    </row>
    <row r="93" spans="1:12" hidden="1"/>
    <row r="94" spans="1:12" hidden="1">
      <c r="A94" t="s">
        <v>84</v>
      </c>
      <c r="E94" s="384"/>
      <c r="F94" s="384"/>
      <c r="G94" s="376" t="str">
        <f>IF(E94&gt;=(E96*0.5),"Excede el 50% del valor bancario","Menor al 50% del valor bancario")</f>
        <v>Excede el 50% del valor bancario</v>
      </c>
      <c r="H94" s="376"/>
      <c r="I94" s="376"/>
    </row>
    <row r="95" spans="1:12" hidden="1"/>
    <row r="96" spans="1:12" hidden="1">
      <c r="A96" t="s">
        <v>64</v>
      </c>
      <c r="E96" s="384"/>
      <c r="F96" s="384"/>
      <c r="G96" s="376" t="str">
        <f>IF(D62&gt;=(E96*0.5),"Excede el 50% del valor","Monto ideal para crédito")</f>
        <v>Excede el 50% del valor</v>
      </c>
      <c r="H96" s="376"/>
      <c r="I96" s="376"/>
      <c r="J96" s="23" t="str">
        <f>IFERROR(D62/E96,"")</f>
        <v/>
      </c>
    </row>
    <row r="97" spans="1:12" hidden="1"/>
    <row r="98" spans="1:12" hidden="1">
      <c r="A98" t="s">
        <v>317</v>
      </c>
      <c r="C98" s="51"/>
      <c r="F98" s="371" t="s">
        <v>318</v>
      </c>
      <c r="G98" s="371"/>
      <c r="H98" s="371"/>
      <c r="I98" s="51"/>
    </row>
    <row r="99" spans="1:12" hidden="1"/>
    <row r="100" spans="1:12" hidden="1">
      <c r="A100" s="373" t="s">
        <v>320</v>
      </c>
      <c r="B100" s="373"/>
      <c r="C100" s="373"/>
      <c r="D100" s="373"/>
      <c r="E100" s="51"/>
      <c r="F100" s="193" t="s">
        <v>321</v>
      </c>
    </row>
    <row r="101" spans="1:12" hidden="1">
      <c r="G101" s="194"/>
    </row>
    <row r="102" spans="1:12" ht="26.25" hidden="1" customHeight="1">
      <c r="G102" s="194"/>
    </row>
    <row r="103" spans="1:12">
      <c r="A103" s="4" t="s">
        <v>214</v>
      </c>
    </row>
    <row r="105" spans="1:12">
      <c r="A105" t="s">
        <v>65</v>
      </c>
      <c r="B105" s="381"/>
      <c r="C105" s="381"/>
      <c r="E105" s="16" t="s">
        <v>66</v>
      </c>
      <c r="G105" s="51"/>
      <c r="H105" s="15" t="s">
        <v>215</v>
      </c>
      <c r="I105" s="381"/>
      <c r="J105" s="381"/>
    </row>
    <row r="106" spans="1:12">
      <c r="A106" s="1"/>
      <c r="B106" s="1"/>
      <c r="C106" s="1"/>
      <c r="D106" s="1"/>
      <c r="E106" s="1"/>
      <c r="F106" s="1"/>
      <c r="G106" s="1"/>
      <c r="I106" s="1"/>
      <c r="J106" s="1"/>
      <c r="K106" s="1"/>
    </row>
    <row r="107" spans="1:12">
      <c r="A107" t="s">
        <v>216</v>
      </c>
      <c r="B107" s="1"/>
      <c r="C107" s="1"/>
      <c r="D107" s="381"/>
      <c r="E107" s="381"/>
      <c r="F107" s="1"/>
      <c r="G107" s="371" t="s">
        <v>269</v>
      </c>
      <c r="H107" s="371"/>
      <c r="I107" s="371"/>
      <c r="J107" s="371"/>
      <c r="K107" s="381"/>
      <c r="L107" s="381"/>
    </row>
    <row r="108" spans="1:12">
      <c r="B108" s="1"/>
      <c r="C108" s="1"/>
      <c r="D108" s="1"/>
      <c r="E108" s="1"/>
      <c r="F108" s="1"/>
    </row>
    <row r="109" spans="1:12">
      <c r="A109" t="s">
        <v>217</v>
      </c>
      <c r="C109" s="381"/>
      <c r="D109" s="381"/>
      <c r="E109" s="371" t="s">
        <v>295</v>
      </c>
      <c r="F109" s="371"/>
      <c r="G109" s="371"/>
      <c r="H109" s="371"/>
      <c r="I109" s="371"/>
      <c r="J109" s="371"/>
      <c r="K109" s="51"/>
    </row>
    <row r="110" spans="1:12">
      <c r="B110" s="1"/>
      <c r="C110" s="1"/>
      <c r="D110" s="1"/>
      <c r="E110" s="1"/>
      <c r="F110" s="1"/>
    </row>
    <row r="111" spans="1:12">
      <c r="A111" s="380" t="s">
        <v>296</v>
      </c>
      <c r="B111" s="380"/>
      <c r="C111" s="380"/>
      <c r="D111" s="380"/>
      <c r="E111" s="380"/>
      <c r="F111" s="51"/>
      <c r="G111" s="371" t="s">
        <v>218</v>
      </c>
      <c r="H111" s="371"/>
      <c r="I111" s="371"/>
      <c r="J111" s="381"/>
      <c r="K111" s="381"/>
      <c r="L111" s="381"/>
    </row>
    <row r="113" spans="1:12">
      <c r="A113" s="373" t="s">
        <v>297</v>
      </c>
      <c r="B113" s="373"/>
      <c r="C113" s="373"/>
      <c r="D113" s="373"/>
      <c r="E113" s="373"/>
      <c r="F113" s="373"/>
      <c r="G113" s="50"/>
    </row>
    <row r="115" spans="1:12">
      <c r="A115" t="s">
        <v>298</v>
      </c>
      <c r="E115" s="384"/>
      <c r="F115" s="384"/>
      <c r="G115" s="376" t="str">
        <f>IF(E115&gt;=(E117*0.5),"Excede el 50% del valor bancario","Menor al 50% del valor bancario")</f>
        <v>Excede el 50% del valor bancario</v>
      </c>
      <c r="H115" s="376"/>
      <c r="I115" s="376"/>
    </row>
    <row r="117" spans="1:12">
      <c r="A117" t="s">
        <v>455</v>
      </c>
      <c r="E117" s="384"/>
      <c r="F117" s="384"/>
    </row>
    <row r="119" spans="1:12">
      <c r="A119" s="373" t="s">
        <v>441</v>
      </c>
      <c r="B119" s="373"/>
      <c r="C119" s="373"/>
      <c r="D119" s="373"/>
      <c r="E119" s="373"/>
      <c r="F119" s="373"/>
      <c r="G119" s="373"/>
      <c r="H119" s="51"/>
      <c r="I119" s="371" t="s">
        <v>323</v>
      </c>
      <c r="J119" s="371"/>
      <c r="K119" s="51"/>
    </row>
    <row r="121" spans="1:12">
      <c r="A121" t="s">
        <v>320</v>
      </c>
      <c r="E121" s="51"/>
      <c r="F121" s="193" t="s">
        <v>321</v>
      </c>
    </row>
    <row r="122" spans="1:12">
      <c r="E122" s="238"/>
      <c r="F122" s="193"/>
    </row>
    <row r="123" spans="1:12">
      <c r="A123" s="373" t="s">
        <v>454</v>
      </c>
      <c r="B123" s="373"/>
      <c r="C123" s="373"/>
      <c r="D123" s="373"/>
      <c r="E123" s="373"/>
      <c r="F123" s="373"/>
      <c r="G123" s="373"/>
      <c r="H123" s="373"/>
      <c r="I123" s="373"/>
      <c r="J123" s="428" t="str">
        <f>IFERROR(D62/E117,"")</f>
        <v/>
      </c>
      <c r="K123" s="428"/>
    </row>
    <row r="124" spans="1:12">
      <c r="F124" s="193"/>
    </row>
    <row r="125" spans="1:12">
      <c r="A125" t="s">
        <v>448</v>
      </c>
    </row>
    <row r="126" spans="1:12">
      <c r="A126" s="386"/>
      <c r="B126" s="387"/>
      <c r="C126" s="387"/>
      <c r="D126" s="387"/>
      <c r="E126" s="387"/>
      <c r="F126" s="387"/>
      <c r="G126" s="387"/>
      <c r="H126" s="387"/>
      <c r="I126" s="387"/>
      <c r="J126" s="387"/>
      <c r="K126" s="387"/>
      <c r="L126" s="388"/>
    </row>
    <row r="127" spans="1:12">
      <c r="A127" s="389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1"/>
    </row>
    <row r="128" spans="1:12">
      <c r="A128" s="389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1"/>
    </row>
    <row r="129" spans="1:12">
      <c r="A129" s="389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1"/>
    </row>
    <row r="130" spans="1:12">
      <c r="A130" s="392"/>
      <c r="B130" s="393"/>
      <c r="C130" s="393"/>
      <c r="D130" s="393"/>
      <c r="E130" s="393"/>
      <c r="F130" s="393"/>
      <c r="G130" s="393"/>
      <c r="H130" s="393"/>
      <c r="I130" s="393"/>
      <c r="J130" s="393"/>
      <c r="K130" s="393"/>
      <c r="L130" s="394"/>
    </row>
  </sheetData>
  <sheetProtection algorithmName="SHA-512" hashValue="U4MmKunGvLQ/2rIfcf4P8PDLzpBWlkjHTTYJL+KMYcYI7qUAUXWxyuCxwUp9qJqubf3vNvfoJgRhwAe+CaWYRg==" saltValue="J06hbdtsntp31/mV5FK1mQ==" spinCount="100000" sheet="1" formatCells="0" selectLockedCells="1"/>
  <mergeCells count="125">
    <mergeCell ref="A123:I123"/>
    <mergeCell ref="J123:K123"/>
    <mergeCell ref="D19:F19"/>
    <mergeCell ref="D21:F21"/>
    <mergeCell ref="G107:J107"/>
    <mergeCell ref="E109:J109"/>
    <mergeCell ref="J111:L111"/>
    <mergeCell ref="B1:K1"/>
    <mergeCell ref="A9:B9"/>
    <mergeCell ref="A11:B11"/>
    <mergeCell ref="A79:H79"/>
    <mergeCell ref="A13:B13"/>
    <mergeCell ref="H26:I26"/>
    <mergeCell ref="I28:J28"/>
    <mergeCell ref="A32:D32"/>
    <mergeCell ref="A3:B5"/>
    <mergeCell ref="A57:B57"/>
    <mergeCell ref="I3:J5"/>
    <mergeCell ref="A19:B19"/>
    <mergeCell ref="H19:K19"/>
    <mergeCell ref="C3:D3"/>
    <mergeCell ref="C4:D5"/>
    <mergeCell ref="D55:E55"/>
    <mergeCell ref="F55:G55"/>
    <mergeCell ref="H9:I9"/>
    <mergeCell ref="H11:I11"/>
    <mergeCell ref="F9:G9"/>
    <mergeCell ref="F11:G11"/>
    <mergeCell ref="C9:E9"/>
    <mergeCell ref="C11:E11"/>
    <mergeCell ref="H13:K13"/>
    <mergeCell ref="J15:K15"/>
    <mergeCell ref="I17:J17"/>
    <mergeCell ref="G17:H17"/>
    <mergeCell ref="E13:G13"/>
    <mergeCell ref="C13:D13"/>
    <mergeCell ref="C15:E15"/>
    <mergeCell ref="D17:F17"/>
    <mergeCell ref="K3:L5"/>
    <mergeCell ref="C28:E28"/>
    <mergeCell ref="D86:E86"/>
    <mergeCell ref="A86:C86"/>
    <mergeCell ref="D81:E81"/>
    <mergeCell ref="F86:H86"/>
    <mergeCell ref="G61:H61"/>
    <mergeCell ref="I61:J61"/>
    <mergeCell ref="H69:I69"/>
    <mergeCell ref="D63:E63"/>
    <mergeCell ref="D65:E65"/>
    <mergeCell ref="D66:E66"/>
    <mergeCell ref="D67:E67"/>
    <mergeCell ref="H22:K22"/>
    <mergeCell ref="D30:E30"/>
    <mergeCell ref="A34:E34"/>
    <mergeCell ref="I30:J30"/>
    <mergeCell ref="F51:H51"/>
    <mergeCell ref="A67:C67"/>
    <mergeCell ref="A66:C66"/>
    <mergeCell ref="G32:H32"/>
    <mergeCell ref="A75:E75"/>
    <mergeCell ref="I73:L73"/>
    <mergeCell ref="A36:E36"/>
    <mergeCell ref="H21:J21"/>
    <mergeCell ref="H92:K92"/>
    <mergeCell ref="E32:F32"/>
    <mergeCell ref="F26:G26"/>
    <mergeCell ref="K75:L75"/>
    <mergeCell ref="D62:E62"/>
    <mergeCell ref="A49:D49"/>
    <mergeCell ref="G45:H45"/>
    <mergeCell ref="E47:G47"/>
    <mergeCell ref="A53:C53"/>
    <mergeCell ref="I55:J55"/>
    <mergeCell ref="D61:E61"/>
    <mergeCell ref="A51:C51"/>
    <mergeCell ref="F28:G28"/>
    <mergeCell ref="B30:C30"/>
    <mergeCell ref="A126:L130"/>
    <mergeCell ref="A77:E77"/>
    <mergeCell ref="J77:K77"/>
    <mergeCell ref="E73:H73"/>
    <mergeCell ref="H75:J75"/>
    <mergeCell ref="C26:D26"/>
    <mergeCell ref="G77:I77"/>
    <mergeCell ref="G36:I36"/>
    <mergeCell ref="A113:F113"/>
    <mergeCell ref="A119:G119"/>
    <mergeCell ref="E94:F94"/>
    <mergeCell ref="E96:F96"/>
    <mergeCell ref="B105:C105"/>
    <mergeCell ref="I105:J105"/>
    <mergeCell ref="A100:D100"/>
    <mergeCell ref="F98:H98"/>
    <mergeCell ref="A38:C38"/>
    <mergeCell ref="E38:H38"/>
    <mergeCell ref="C88:E88"/>
    <mergeCell ref="H88:I88"/>
    <mergeCell ref="G49:H49"/>
    <mergeCell ref="D51:E51"/>
    <mergeCell ref="I49:J49"/>
    <mergeCell ref="I51:J51"/>
    <mergeCell ref="I119:J119"/>
    <mergeCell ref="A64:C64"/>
    <mergeCell ref="A63:C63"/>
    <mergeCell ref="A62:C62"/>
    <mergeCell ref="A61:C61"/>
    <mergeCell ref="D64:E64"/>
    <mergeCell ref="G115:I115"/>
    <mergeCell ref="G64:H64"/>
    <mergeCell ref="F92:G92"/>
    <mergeCell ref="G94:I94"/>
    <mergeCell ref="G96:I96"/>
    <mergeCell ref="G111:I111"/>
    <mergeCell ref="I86:K86"/>
    <mergeCell ref="A69:G69"/>
    <mergeCell ref="A111:E111"/>
    <mergeCell ref="D107:E107"/>
    <mergeCell ref="C109:D109"/>
    <mergeCell ref="E90:G90"/>
    <mergeCell ref="F67:G67"/>
    <mergeCell ref="E115:F115"/>
    <mergeCell ref="E117:F117"/>
    <mergeCell ref="K107:L107"/>
    <mergeCell ref="H67:L68"/>
    <mergeCell ref="A65:C65"/>
  </mergeCells>
  <conditionalFormatting sqref="A3 A6:C6">
    <cfRule type="cellIs" dxfId="57" priority="20" operator="equal">
      <formula>"A"</formula>
    </cfRule>
  </conditionalFormatting>
  <conditionalFormatting sqref="A3">
    <cfRule type="cellIs" dxfId="56" priority="11" operator="equal">
      <formula>"D"</formula>
    </cfRule>
    <cfRule type="cellIs" dxfId="55" priority="14" operator="equal">
      <formula>"B"</formula>
    </cfRule>
    <cfRule type="containsText" dxfId="54" priority="17" operator="containsText" text="C">
      <formula>NOT(ISERROR(SEARCH("C",A3)))</formula>
    </cfRule>
  </conditionalFormatting>
  <conditionalFormatting sqref="C3:C4">
    <cfRule type="expression" dxfId="53" priority="10">
      <formula>$A$3="D"</formula>
    </cfRule>
    <cfRule type="expression" dxfId="52" priority="13">
      <formula>$A$3="B"</formula>
    </cfRule>
    <cfRule type="expression" dxfId="51" priority="16">
      <formula>$A$3="C"</formula>
    </cfRule>
    <cfRule type="expression" dxfId="50" priority="19">
      <formula>$A$3="A"</formula>
    </cfRule>
  </conditionalFormatting>
  <conditionalFormatting sqref="G94">
    <cfRule type="containsText" dxfId="49" priority="25" operator="containsText" text="Excede">
      <formula>NOT(ISERROR(SEARCH("Excede",G94)))</formula>
    </cfRule>
    <cfRule type="containsText" dxfId="48" priority="26" operator="containsText" text="Menor">
      <formula>NOT(ISERROR(SEARCH("Menor",G94)))</formula>
    </cfRule>
  </conditionalFormatting>
  <conditionalFormatting sqref="G96">
    <cfRule type="containsText" dxfId="47" priority="23" operator="containsText" text="ideal">
      <formula>NOT(ISERROR(SEARCH("ideal",G96)))</formula>
    </cfRule>
    <cfRule type="containsText" dxfId="46" priority="24" operator="containsText" text="excede">
      <formula>NOT(ISERROR(SEARCH("excede",G96)))</formula>
    </cfRule>
  </conditionalFormatting>
  <conditionalFormatting sqref="G115">
    <cfRule type="containsText" dxfId="45" priority="21" operator="containsText" text="Menor">
      <formula>NOT(ISERROR(SEARCH("Menor",G115)))</formula>
    </cfRule>
    <cfRule type="containsText" dxfId="44" priority="22" operator="containsText" text="Excede">
      <formula>NOT(ISERROR(SEARCH("Excede",G115)))</formula>
    </cfRule>
  </conditionalFormatting>
  <conditionalFormatting sqref="I3:J5">
    <cfRule type="cellIs" dxfId="43" priority="5" operator="equal">
      <formula>"D"</formula>
    </cfRule>
    <cfRule type="cellIs" dxfId="42" priority="6" operator="equal">
      <formula>"C"</formula>
    </cfRule>
    <cfRule type="cellIs" dxfId="41" priority="7" operator="equal">
      <formula>"B"</formula>
    </cfRule>
    <cfRule type="cellIs" dxfId="40" priority="8" operator="equal">
      <formula>"A"</formula>
    </cfRule>
  </conditionalFormatting>
  <conditionalFormatting sqref="K3">
    <cfRule type="expression" dxfId="39" priority="1">
      <formula>$I$3="D"</formula>
    </cfRule>
    <cfRule type="expression" dxfId="38" priority="2">
      <formula>$I$3="C"</formula>
    </cfRule>
    <cfRule type="expression" dxfId="37" priority="3">
      <formula>$I$3="B"</formula>
    </cfRule>
    <cfRule type="expression" dxfId="36" priority="4">
      <formula>$I$3="A"</formula>
    </cfRule>
  </conditionalFormatting>
  <dataValidations count="2">
    <dataValidation type="list" allowBlank="1" showInputMessage="1" showErrorMessage="1" sqref="J47 G113">
      <formula1>"Si,No"</formula1>
    </dataValidation>
    <dataValidation type="list" allowBlank="1" showInputMessage="1" showErrorMessage="1" sqref="I63">
      <formula1>"1,2,3,6"</formula1>
    </dataValidation>
  </dataValidations>
  <pageMargins left="0.4" right="0.28000000000000003" top="0.75" bottom="0.75" header="0.3" footer="0.3"/>
  <pageSetup paperSize="14" orientation="portrait" r:id="rId1"/>
  <extLst>
    <ext xmlns:x14="http://schemas.microsoft.com/office/spreadsheetml/2009/9/main" uri="{CCE6A557-97BC-4b89-ADB6-D9C93CAAB3DF}">
      <x14:dataValidations xmlns:xm="http://schemas.microsoft.com/office/excel/2006/main" count="55">
        <x14:dataValidation type="list" allowBlank="1" showInputMessage="1" showErrorMessage="1">
          <x14:formula1>
            <xm:f>'Datos - analisis garantia'!$C$17:$C$20</xm:f>
          </x14:formula1>
          <xm:sqref>K9</xm:sqref>
        </x14:dataValidation>
        <x14:dataValidation type="list" allowBlank="1" showInputMessage="1" showErrorMessage="1">
          <x14:formula1>
            <xm:f>'Datos - analisis garantia'!$F$17:$F$20</xm:f>
          </x14:formula1>
          <xm:sqref>F92</xm:sqref>
        </x14:dataValidation>
        <x14:dataValidation type="list" allowBlank="1" showInputMessage="1" showErrorMessage="1">
          <x14:formula1>
            <xm:f>'Datos - analisis garantia'!$C$27:$C$29</xm:f>
          </x14:formula1>
          <xm:sqref>D29:F29 C13 D27:F27</xm:sqref>
        </x14:dataValidation>
        <x14:dataValidation type="list" allowBlank="1" showInputMessage="1" showErrorMessage="1">
          <x14:formula1>
            <xm:f>'Datos - analisis garantia'!$E$27:$E$28</xm:f>
          </x14:formula1>
          <xm:sqref>F36 D38</xm:sqref>
        </x14:dataValidation>
        <x14:dataValidation type="list" allowBlank="1" showInputMessage="1" showErrorMessage="1">
          <x14:formula1>
            <xm:f>'Datos - analisis garantia'!$K$27:$K$30</xm:f>
          </x14:formula1>
          <xm:sqref>H29 C26 H27</xm:sqref>
        </x14:dataValidation>
        <x14:dataValidation type="list" allowBlank="1" showInputMessage="1" showErrorMessage="1">
          <x14:formula1>
            <xm:f>'Datos - analisis garantia'!$W$27:$W$28</xm:f>
          </x14:formula1>
          <xm:sqref>H28</xm:sqref>
        </x14:dataValidation>
        <x14:dataValidation type="list" allowBlank="1" showInputMessage="1" showErrorMessage="1">
          <x14:formula1>
            <xm:f>'Datos - analisis garantia'!$C$38:$C$39</xm:f>
          </x14:formula1>
          <xm:sqref>E43</xm:sqref>
        </x14:dataValidation>
        <x14:dataValidation type="list" allowBlank="1" showInputMessage="1" showErrorMessage="1">
          <x14:formula1>
            <xm:f>'Datos - analisis garantia'!$F$38:$F$39</xm:f>
          </x14:formula1>
          <xm:sqref>I43</xm:sqref>
        </x14:dataValidation>
        <x14:dataValidation type="list" allowBlank="1" showInputMessage="1" showErrorMessage="1">
          <x14:formula1>
            <xm:f>'Datos - analisis garantia'!$I$38:$I$39</xm:f>
          </x14:formula1>
          <xm:sqref>F45</xm:sqref>
        </x14:dataValidation>
        <x14:dataValidation type="list" allowBlank="1" showInputMessage="1" showErrorMessage="1">
          <x14:formula1>
            <xm:f>'Datos - analisis garantia'!$L$38:$L$39</xm:f>
          </x14:formula1>
          <xm:sqref>I45</xm:sqref>
        </x14:dataValidation>
        <x14:dataValidation type="list" allowBlank="1" showInputMessage="1" showErrorMessage="1">
          <x14:formula1>
            <xm:f>'Datos - analisis garantia'!$O$38:$O$45</xm:f>
          </x14:formula1>
          <xm:sqref>E47</xm:sqref>
        </x14:dataValidation>
        <x14:dataValidation type="list" allowBlank="1" showInputMessage="1" showErrorMessage="1">
          <x14:formula1>
            <xm:f>'Datos - analisis garantia'!$S$38:$S$41</xm:f>
          </x14:formula1>
          <xm:sqref>K47</xm:sqref>
        </x14:dataValidation>
        <x14:dataValidation type="list" allowBlank="1" showInputMessage="1" showErrorMessage="1">
          <x14:formula1>
            <xm:f>'Datos - analisis garantia'!$V$38:$V$39</xm:f>
          </x14:formula1>
          <xm:sqref>H55</xm:sqref>
        </x14:dataValidation>
        <x14:dataValidation type="list" allowBlank="1" showInputMessage="1" showErrorMessage="1">
          <x14:formula1>
            <xm:f>'Datos - analisis garantia'!$C$50:$C$55</xm:f>
          </x14:formula1>
          <xm:sqref>I61</xm:sqref>
        </x14:dataValidation>
        <x14:dataValidation type="list" allowBlank="1" showInputMessage="1" showErrorMessage="1">
          <x14:formula1>
            <xm:f>'Datos - analisis garantia'!$F$50:$F$51</xm:f>
          </x14:formula1>
          <xm:sqref>D61</xm:sqref>
        </x14:dataValidation>
        <x14:dataValidation type="list" allowBlank="1" showInputMessage="1" showErrorMessage="1">
          <x14:formula1>
            <xm:f>'Datos - analisis garantia'!$H$50:$H$51</xm:f>
          </x14:formula1>
          <xm:sqref>D73</xm:sqref>
        </x14:dataValidation>
        <x14:dataValidation type="list" allowBlank="1" showInputMessage="1" showErrorMessage="1">
          <x14:formula1>
            <xm:f>'Datos - analisis garantia'!$N$50:$N$54</xm:f>
          </x14:formula1>
          <xm:sqref>K75</xm:sqref>
        </x14:dataValidation>
        <x14:dataValidation type="list" allowBlank="1" showInputMessage="1" showErrorMessage="1">
          <x14:formula1>
            <xm:f>'Datos - analisis garantia'!$P$50:$P$51</xm:f>
          </x14:formula1>
          <xm:sqref>F77</xm:sqref>
        </x14:dataValidation>
        <x14:dataValidation type="list" allowBlank="1" showInputMessage="1" showErrorMessage="1">
          <x14:formula1>
            <xm:f>'Datos - analisis garantia'!$R$50:$R$51</xm:f>
          </x14:formula1>
          <xm:sqref>I79</xm:sqref>
        </x14:dataValidation>
        <x14:dataValidation type="list" allowBlank="1" showInputMessage="1" showErrorMessage="1">
          <x14:formula1>
            <xm:f>'Datos - analisis garantia'!$F$61:$F$62</xm:f>
          </x14:formula1>
          <xm:sqref>L92</xm:sqref>
        </x14:dataValidation>
        <x14:dataValidation type="list" allowBlank="1" showInputMessage="1" showErrorMessage="1">
          <x14:formula1>
            <xm:f>'Datos - analisis garantia'!$A$1:$A$25</xm:f>
          </x14:formula1>
          <xm:sqref>K88 H15</xm:sqref>
        </x14:dataValidation>
        <x14:dataValidation type="list" allowBlank="1" showInputMessage="1" showErrorMessage="1">
          <x14:formula1>
            <xm:f>'Datos - analisis garantia'!$J$61:$J$62</xm:f>
          </x14:formula1>
          <xm:sqref>D90</xm:sqref>
        </x14:dataValidation>
        <x14:dataValidation type="list" allowBlank="1" showInputMessage="1" showErrorMessage="1">
          <x14:formula1>
            <xm:f>'Datos - analisis garantia'!$A$28:$A$87</xm:f>
          </x14:formula1>
          <xm:sqref>H90</xm:sqref>
        </x14:dataValidation>
        <x14:dataValidation type="list" allowBlank="1" showInputMessage="1" showErrorMessage="1">
          <x14:formula1>
            <xm:f>'Datos - analisis garantia'!$A$89:$A$110</xm:f>
          </x14:formula1>
          <xm:sqref>J111 C15 C88</xm:sqref>
        </x14:dataValidation>
        <x14:dataValidation type="list" allowBlank="1" showInputMessage="1" showErrorMessage="1">
          <x14:formula1>
            <xm:f>'Datos - analisis garantia'!$A$112:$A$142</xm:f>
          </x14:formula1>
          <xm:sqref>B105</xm:sqref>
        </x14:dataValidation>
        <x14:dataValidation type="list" allowBlank="1" showInputMessage="1" showErrorMessage="1">
          <x14:formula1>
            <xm:f>'Datos - analisis garantia'!$A$144:$A$152</xm:f>
          </x14:formula1>
          <xm:sqref>C109</xm:sqref>
        </x14:dataValidation>
        <x14:dataValidation type="list" allowBlank="1" showInputMessage="1" showErrorMessage="1">
          <x14:formula1>
            <xm:f>'Datos - analisis garantia'!$F$72:$F$73</xm:f>
          </x14:formula1>
          <xm:sqref>D107</xm:sqref>
        </x14:dataValidation>
        <x14:dataValidation type="list" allowBlank="1" showInputMessage="1" showErrorMessage="1">
          <x14:formula1>
            <xm:f>'Datos - analisis garantia'!$L$72:$L$73</xm:f>
          </x14:formula1>
          <xm:sqref>F111</xm:sqref>
        </x14:dataValidation>
        <x14:dataValidation type="list" allowBlank="1" showInputMessage="1" showErrorMessage="1">
          <x14:formula1>
            <xm:f>'Datos - analisis garantia'!$P$72:$P$73</xm:f>
          </x14:formula1>
          <xm:sqref>K109</xm:sqref>
        </x14:dataValidation>
        <x14:dataValidation type="list" allowBlank="1" showInputMessage="1" showErrorMessage="1">
          <x14:formula1>
            <xm:f>'Datos - analisis garantia'!$N$27:$N$29</xm:f>
          </x14:formula1>
          <xm:sqref>C28</xm:sqref>
        </x14:dataValidation>
        <x14:dataValidation type="list" allowBlank="1" showInputMessage="1" showErrorMessage="1">
          <x14:formula1>
            <xm:f>'Datos - analisis garantia'!$Q$27:$Q$32</xm:f>
          </x14:formula1>
          <xm:sqref>G37 D30</xm:sqref>
        </x14:dataValidation>
        <x14:dataValidation type="list" allowBlank="1" showInputMessage="1" showErrorMessage="1">
          <x14:formula1>
            <xm:f>'Datos - analisis garantia'!$T$27:$T$32</xm:f>
          </x14:formula1>
          <xm:sqref>J37 I30 J31:J32</xm:sqref>
        </x14:dataValidation>
        <x14:dataValidation type="list" allowBlank="1" showInputMessage="1" showErrorMessage="1">
          <x14:formula1>
            <xm:f>'Datos - analisis garantia'!$H$27:$H$32</xm:f>
          </x14:formula1>
          <xm:sqref>J36</xm:sqref>
        </x14:dataValidation>
        <x14:dataValidation type="list" allowBlank="1" showInputMessage="1" showErrorMessage="1">
          <x14:formula1>
            <xm:f>'Datos - analisis garantia'!$A$154:$A$175</xm:f>
          </x14:formula1>
          <xm:sqref>G105</xm:sqref>
        </x14:dataValidation>
        <x14:dataValidation type="list" allowBlank="1" showInputMessage="1" showErrorMessage="1">
          <x14:formula1>
            <xm:f>'Datos - analisis garantia'!$A$179:$A$195</xm:f>
          </x14:formula1>
          <xm:sqref>H88</xm:sqref>
        </x14:dataValidation>
        <x14:dataValidation type="list" allowBlank="1" showInputMessage="1" showErrorMessage="1">
          <x14:formula1>
            <xm:f>'Datos - analisis garantia'!$AE$27:$AE$28</xm:f>
          </x14:formula1>
          <xm:sqref>I38</xm:sqref>
        </x14:dataValidation>
        <x14:dataValidation type="list" allowBlank="1" showInputMessage="1" showErrorMessage="1">
          <x14:formula1>
            <xm:f>'Datos - analisis garantia'!$AB$38:$AB$39</xm:f>
          </x14:formula1>
          <xm:sqref>C57</xm:sqref>
        </x14:dataValidation>
        <x14:dataValidation type="list" allowBlank="1" showInputMessage="1" showErrorMessage="1">
          <x14:formula1>
            <xm:f>'Datos - analisis garantia'!$D$179:$D$195</xm:f>
          </x14:formula1>
          <xm:sqref>J15</xm:sqref>
        </x14:dataValidation>
        <x14:dataValidation type="list" allowBlank="1" showInputMessage="1" showErrorMessage="1">
          <x14:formula1>
            <xm:f>'Datos - analisis garantia'!$I$72:$I$76</xm:f>
          </x14:formula1>
          <xm:sqref>K107</xm:sqref>
        </x14:dataValidation>
        <x14:dataValidation type="list" allowBlank="1" showInputMessage="1" showErrorMessage="1">
          <x14:formula1>
            <xm:f>'Datos - analisis garantia'!$N$18:$N$19</xm:f>
          </x14:formula1>
          <xm:sqref>K21</xm:sqref>
        </x14:dataValidation>
        <x14:dataValidation type="list" allowBlank="1" showInputMessage="1" showErrorMessage="1">
          <x14:formula1>
            <xm:f>'Datos - analisis garantia'!$Y$38:$Y$39</xm:f>
          </x14:formula1>
          <xm:sqref>K55</xm:sqref>
        </x14:dataValidation>
        <x14:dataValidation type="list" allowBlank="1" showInputMessage="1" showErrorMessage="1">
          <x14:formula1>
            <xm:f>'Datos - analisis garantia'!$C$61:$C$68</xm:f>
          </x14:formula1>
          <xm:sqref>D86</xm:sqref>
        </x14:dataValidation>
        <x14:dataValidation type="list" allowBlank="1" showInputMessage="1" showErrorMessage="1">
          <x14:formula1>
            <xm:f>'Datos - analisis garantia'!$P$61:$P$62</xm:f>
          </x14:formula1>
          <xm:sqref>E100</xm:sqref>
        </x14:dataValidation>
        <x14:dataValidation type="list" allowBlank="1" showInputMessage="1" showErrorMessage="1">
          <x14:formula1>
            <xm:f>'Datos - analisis garantia'!$Y$72:$Y$73</xm:f>
          </x14:formula1>
          <xm:sqref>E121:E122</xm:sqref>
        </x14:dataValidation>
        <x14:dataValidation type="list" allowBlank="1" showInputMessage="1" showErrorMessage="1">
          <x14:formula1>
            <xm:f>'Datos - analisis de pago'!$O$24:$O$25</xm:f>
          </x14:formula1>
          <xm:sqref>F34</xm:sqref>
        </x14:dataValidation>
        <x14:dataValidation type="list" allowBlank="1" showInputMessage="1" showErrorMessage="1">
          <x14:formula1>
            <xm:f>'Datos - analisis de pago'!$N$33:$N$38</xm:f>
          </x14:formula1>
          <xm:sqref>E49</xm:sqref>
        </x14:dataValidation>
        <x14:dataValidation type="list" allowBlank="1" showInputMessage="1" showErrorMessage="1">
          <x14:formula1>
            <xm:f>'Datos - analisis de pago'!$R$33:$R$34</xm:f>
          </x14:formula1>
          <xm:sqref>D53</xm:sqref>
        </x14:dataValidation>
        <x14:dataValidation type="list" allowBlank="1" showInputMessage="1" showErrorMessage="1">
          <x14:formula1>
            <xm:f>'Datos - analisis de pago'!$L$4:$L$5</xm:f>
          </x14:formula1>
          <xm:sqref>A67:C67</xm:sqref>
        </x14:dataValidation>
        <x14:dataValidation type="list" allowBlank="1" showInputMessage="1" showErrorMessage="1">
          <x14:formula1>
            <xm:f>'Datos - analisis de pago'!$E$45:$E$46</xm:f>
          </x14:formula1>
          <xm:sqref>C98</xm:sqref>
        </x14:dataValidation>
        <x14:dataValidation type="list" allowBlank="1" showInputMessage="1" showErrorMessage="1">
          <x14:formula1>
            <xm:f>'Datos - analisis de pago'!$H$45:$H$48</xm:f>
          </x14:formula1>
          <xm:sqref>I98</xm:sqref>
        </x14:dataValidation>
        <x14:dataValidation type="list" allowBlank="1" showInputMessage="1" showErrorMessage="1">
          <x14:formula1>
            <xm:f>'Datos - analisis de pago'!$K$45:$K$46</xm:f>
          </x14:formula1>
          <xm:sqref>H119</xm:sqref>
        </x14:dataValidation>
        <x14:dataValidation type="list" allowBlank="1" showInputMessage="1" showErrorMessage="1">
          <x14:formula1>
            <xm:f>'Datos - analisis de pago'!$P$45:$P$47</xm:f>
          </x14:formula1>
          <xm:sqref>K119</xm:sqref>
        </x14:dataValidation>
        <x14:dataValidation type="list" allowBlank="1" showInputMessage="1" showErrorMessage="1">
          <x14:formula1>
            <xm:f>'Datos - analisis garantia'!$K$50:$K$51</xm:f>
          </x14:formula1>
          <xm:sqref>F75</xm:sqref>
        </x14:dataValidation>
        <x14:dataValidation type="list" allowBlank="1" showInputMessage="1" showErrorMessage="1">
          <x14:formula1>
            <xm:f>'Datos - analisis de pago'!$V$34:$V$38</xm:f>
          </x14:formula1>
          <xm:sqref>I53</xm:sqref>
        </x14:dataValidation>
        <x14:dataValidation type="list" allowBlank="1" showInputMessage="1" showErrorMessage="1">
          <x14:formula1>
            <xm:f>'Datos - analisis garantia'!$Z$27:$Z$33</xm:f>
          </x14:formula1>
          <xm:sqref>G32:H32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2:C4"/>
  <sheetViews>
    <sheetView workbookViewId="0">
      <selection activeCell="C8" sqref="C8"/>
    </sheetView>
  </sheetViews>
  <sheetFormatPr baseColWidth="10" defaultRowHeight="15"/>
  <cols>
    <col min="2" max="2" width="22.28515625" bestFit="1" customWidth="1"/>
  </cols>
  <sheetData>
    <row r="2" spans="2:3">
      <c r="C2" t="s">
        <v>339</v>
      </c>
    </row>
    <row r="3" spans="2:3">
      <c r="B3" t="s">
        <v>401</v>
      </c>
      <c r="C3" t="str">
        <f>IF(FORMULARIO!I73="","",FORMULARIO!I73)</f>
        <v/>
      </c>
    </row>
    <row r="4" spans="2:3">
      <c r="B4" t="s">
        <v>402</v>
      </c>
      <c r="C4" t="str">
        <f>FORMULARIO!C9&amp;Hoja1!C2&amp;FORMULARIO!H9&amp;Hoja1!C2&amp;FORMULARIO!C11&amp;Hoja1!C2&amp;FORMULARIO!H11</f>
        <v xml:space="preserve">  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1">
    <tabColor rgb="FFFFC000"/>
    <pageSetUpPr fitToPage="1"/>
  </sheetPr>
  <dimension ref="A1:J81"/>
  <sheetViews>
    <sheetView showGridLines="0" zoomScaleNormal="100" zoomScaleSheetLayoutView="100" workbookViewId="0">
      <selection activeCell="D53" sqref="D53"/>
    </sheetView>
  </sheetViews>
  <sheetFormatPr baseColWidth="10" defaultColWidth="9.140625" defaultRowHeight="12.75"/>
  <cols>
    <col min="1" max="1" width="3.7109375" style="74" customWidth="1"/>
    <col min="2" max="2" width="28.85546875" style="74" customWidth="1"/>
    <col min="3" max="3" width="13.42578125" style="74" customWidth="1"/>
    <col min="4" max="4" width="17" style="74" customWidth="1"/>
    <col min="5" max="6" width="7.140625" style="74" customWidth="1"/>
    <col min="7" max="7" width="16.7109375" style="74" customWidth="1"/>
    <col min="8" max="8" width="14.7109375" style="74" customWidth="1"/>
    <col min="9" max="9" width="17.42578125" style="74" customWidth="1"/>
    <col min="10" max="10" width="7.28515625" style="74" customWidth="1"/>
    <col min="11" max="258" width="9.140625" style="74"/>
    <col min="259" max="259" width="3.7109375" style="74" customWidth="1"/>
    <col min="260" max="260" width="28.85546875" style="74" customWidth="1"/>
    <col min="261" max="261" width="12.7109375" style="74" customWidth="1"/>
    <col min="262" max="262" width="7.140625" style="74" customWidth="1"/>
    <col min="263" max="263" width="13.7109375" style="74" customWidth="1"/>
    <col min="264" max="264" width="10" style="74" customWidth="1"/>
    <col min="265" max="265" width="18.42578125" style="74" customWidth="1"/>
    <col min="266" max="266" width="7.28515625" style="74" customWidth="1"/>
    <col min="267" max="514" width="9.140625" style="74"/>
    <col min="515" max="515" width="3.7109375" style="74" customWidth="1"/>
    <col min="516" max="516" width="28.85546875" style="74" customWidth="1"/>
    <col min="517" max="517" width="12.7109375" style="74" customWidth="1"/>
    <col min="518" max="518" width="7.140625" style="74" customWidth="1"/>
    <col min="519" max="519" width="13.7109375" style="74" customWidth="1"/>
    <col min="520" max="520" width="10" style="74" customWidth="1"/>
    <col min="521" max="521" width="18.42578125" style="74" customWidth="1"/>
    <col min="522" max="522" width="7.28515625" style="74" customWidth="1"/>
    <col min="523" max="770" width="9.140625" style="74"/>
    <col min="771" max="771" width="3.7109375" style="74" customWidth="1"/>
    <col min="772" max="772" width="28.85546875" style="74" customWidth="1"/>
    <col min="773" max="773" width="12.7109375" style="74" customWidth="1"/>
    <col min="774" max="774" width="7.140625" style="74" customWidth="1"/>
    <col min="775" max="775" width="13.7109375" style="74" customWidth="1"/>
    <col min="776" max="776" width="10" style="74" customWidth="1"/>
    <col min="777" max="777" width="18.42578125" style="74" customWidth="1"/>
    <col min="778" max="778" width="7.28515625" style="74" customWidth="1"/>
    <col min="779" max="1026" width="9.140625" style="74"/>
    <col min="1027" max="1027" width="3.7109375" style="74" customWidth="1"/>
    <col min="1028" max="1028" width="28.85546875" style="74" customWidth="1"/>
    <col min="1029" max="1029" width="12.7109375" style="74" customWidth="1"/>
    <col min="1030" max="1030" width="7.140625" style="74" customWidth="1"/>
    <col min="1031" max="1031" width="13.7109375" style="74" customWidth="1"/>
    <col min="1032" max="1032" width="10" style="74" customWidth="1"/>
    <col min="1033" max="1033" width="18.42578125" style="74" customWidth="1"/>
    <col min="1034" max="1034" width="7.28515625" style="74" customWidth="1"/>
    <col min="1035" max="1282" width="9.140625" style="74"/>
    <col min="1283" max="1283" width="3.7109375" style="74" customWidth="1"/>
    <col min="1284" max="1284" width="28.85546875" style="74" customWidth="1"/>
    <col min="1285" max="1285" width="12.7109375" style="74" customWidth="1"/>
    <col min="1286" max="1286" width="7.140625" style="74" customWidth="1"/>
    <col min="1287" max="1287" width="13.7109375" style="74" customWidth="1"/>
    <col min="1288" max="1288" width="10" style="74" customWidth="1"/>
    <col min="1289" max="1289" width="18.42578125" style="74" customWidth="1"/>
    <col min="1290" max="1290" width="7.28515625" style="74" customWidth="1"/>
    <col min="1291" max="1538" width="9.140625" style="74"/>
    <col min="1539" max="1539" width="3.7109375" style="74" customWidth="1"/>
    <col min="1540" max="1540" width="28.85546875" style="74" customWidth="1"/>
    <col min="1541" max="1541" width="12.7109375" style="74" customWidth="1"/>
    <col min="1542" max="1542" width="7.140625" style="74" customWidth="1"/>
    <col min="1543" max="1543" width="13.7109375" style="74" customWidth="1"/>
    <col min="1544" max="1544" width="10" style="74" customWidth="1"/>
    <col min="1545" max="1545" width="18.42578125" style="74" customWidth="1"/>
    <col min="1546" max="1546" width="7.28515625" style="74" customWidth="1"/>
    <col min="1547" max="1794" width="9.140625" style="74"/>
    <col min="1795" max="1795" width="3.7109375" style="74" customWidth="1"/>
    <col min="1796" max="1796" width="28.85546875" style="74" customWidth="1"/>
    <col min="1797" max="1797" width="12.7109375" style="74" customWidth="1"/>
    <col min="1798" max="1798" width="7.140625" style="74" customWidth="1"/>
    <col min="1799" max="1799" width="13.7109375" style="74" customWidth="1"/>
    <col min="1800" max="1800" width="10" style="74" customWidth="1"/>
    <col min="1801" max="1801" width="18.42578125" style="74" customWidth="1"/>
    <col min="1802" max="1802" width="7.28515625" style="74" customWidth="1"/>
    <col min="1803" max="2050" width="9.140625" style="74"/>
    <col min="2051" max="2051" width="3.7109375" style="74" customWidth="1"/>
    <col min="2052" max="2052" width="28.85546875" style="74" customWidth="1"/>
    <col min="2053" max="2053" width="12.7109375" style="74" customWidth="1"/>
    <col min="2054" max="2054" width="7.140625" style="74" customWidth="1"/>
    <col min="2055" max="2055" width="13.7109375" style="74" customWidth="1"/>
    <col min="2056" max="2056" width="10" style="74" customWidth="1"/>
    <col min="2057" max="2057" width="18.42578125" style="74" customWidth="1"/>
    <col min="2058" max="2058" width="7.28515625" style="74" customWidth="1"/>
    <col min="2059" max="2306" width="9.140625" style="74"/>
    <col min="2307" max="2307" width="3.7109375" style="74" customWidth="1"/>
    <col min="2308" max="2308" width="28.85546875" style="74" customWidth="1"/>
    <col min="2309" max="2309" width="12.7109375" style="74" customWidth="1"/>
    <col min="2310" max="2310" width="7.140625" style="74" customWidth="1"/>
    <col min="2311" max="2311" width="13.7109375" style="74" customWidth="1"/>
    <col min="2312" max="2312" width="10" style="74" customWidth="1"/>
    <col min="2313" max="2313" width="18.42578125" style="74" customWidth="1"/>
    <col min="2314" max="2314" width="7.28515625" style="74" customWidth="1"/>
    <col min="2315" max="2562" width="9.140625" style="74"/>
    <col min="2563" max="2563" width="3.7109375" style="74" customWidth="1"/>
    <col min="2564" max="2564" width="28.85546875" style="74" customWidth="1"/>
    <col min="2565" max="2565" width="12.7109375" style="74" customWidth="1"/>
    <col min="2566" max="2566" width="7.140625" style="74" customWidth="1"/>
    <col min="2567" max="2567" width="13.7109375" style="74" customWidth="1"/>
    <col min="2568" max="2568" width="10" style="74" customWidth="1"/>
    <col min="2569" max="2569" width="18.42578125" style="74" customWidth="1"/>
    <col min="2570" max="2570" width="7.28515625" style="74" customWidth="1"/>
    <col min="2571" max="2818" width="9.140625" style="74"/>
    <col min="2819" max="2819" width="3.7109375" style="74" customWidth="1"/>
    <col min="2820" max="2820" width="28.85546875" style="74" customWidth="1"/>
    <col min="2821" max="2821" width="12.7109375" style="74" customWidth="1"/>
    <col min="2822" max="2822" width="7.140625" style="74" customWidth="1"/>
    <col min="2823" max="2823" width="13.7109375" style="74" customWidth="1"/>
    <col min="2824" max="2824" width="10" style="74" customWidth="1"/>
    <col min="2825" max="2825" width="18.42578125" style="74" customWidth="1"/>
    <col min="2826" max="2826" width="7.28515625" style="74" customWidth="1"/>
    <col min="2827" max="3074" width="9.140625" style="74"/>
    <col min="3075" max="3075" width="3.7109375" style="74" customWidth="1"/>
    <col min="3076" max="3076" width="28.85546875" style="74" customWidth="1"/>
    <col min="3077" max="3077" width="12.7109375" style="74" customWidth="1"/>
    <col min="3078" max="3078" width="7.140625" style="74" customWidth="1"/>
    <col min="3079" max="3079" width="13.7109375" style="74" customWidth="1"/>
    <col min="3080" max="3080" width="10" style="74" customWidth="1"/>
    <col min="3081" max="3081" width="18.42578125" style="74" customWidth="1"/>
    <col min="3082" max="3082" width="7.28515625" style="74" customWidth="1"/>
    <col min="3083" max="3330" width="9.140625" style="74"/>
    <col min="3331" max="3331" width="3.7109375" style="74" customWidth="1"/>
    <col min="3332" max="3332" width="28.85546875" style="74" customWidth="1"/>
    <col min="3333" max="3333" width="12.7109375" style="74" customWidth="1"/>
    <col min="3334" max="3334" width="7.140625" style="74" customWidth="1"/>
    <col min="3335" max="3335" width="13.7109375" style="74" customWidth="1"/>
    <col min="3336" max="3336" width="10" style="74" customWidth="1"/>
    <col min="3337" max="3337" width="18.42578125" style="74" customWidth="1"/>
    <col min="3338" max="3338" width="7.28515625" style="74" customWidth="1"/>
    <col min="3339" max="3586" width="9.140625" style="74"/>
    <col min="3587" max="3587" width="3.7109375" style="74" customWidth="1"/>
    <col min="3588" max="3588" width="28.85546875" style="74" customWidth="1"/>
    <col min="3589" max="3589" width="12.7109375" style="74" customWidth="1"/>
    <col min="3590" max="3590" width="7.140625" style="74" customWidth="1"/>
    <col min="3591" max="3591" width="13.7109375" style="74" customWidth="1"/>
    <col min="3592" max="3592" width="10" style="74" customWidth="1"/>
    <col min="3593" max="3593" width="18.42578125" style="74" customWidth="1"/>
    <col min="3594" max="3594" width="7.28515625" style="74" customWidth="1"/>
    <col min="3595" max="3842" width="9.140625" style="74"/>
    <col min="3843" max="3843" width="3.7109375" style="74" customWidth="1"/>
    <col min="3844" max="3844" width="28.85546875" style="74" customWidth="1"/>
    <col min="3845" max="3845" width="12.7109375" style="74" customWidth="1"/>
    <col min="3846" max="3846" width="7.140625" style="74" customWidth="1"/>
    <col min="3847" max="3847" width="13.7109375" style="74" customWidth="1"/>
    <col min="3848" max="3848" width="10" style="74" customWidth="1"/>
    <col min="3849" max="3849" width="18.42578125" style="74" customWidth="1"/>
    <col min="3850" max="3850" width="7.28515625" style="74" customWidth="1"/>
    <col min="3851" max="4098" width="9.140625" style="74"/>
    <col min="4099" max="4099" width="3.7109375" style="74" customWidth="1"/>
    <col min="4100" max="4100" width="28.85546875" style="74" customWidth="1"/>
    <col min="4101" max="4101" width="12.7109375" style="74" customWidth="1"/>
    <col min="4102" max="4102" width="7.140625" style="74" customWidth="1"/>
    <col min="4103" max="4103" width="13.7109375" style="74" customWidth="1"/>
    <col min="4104" max="4104" width="10" style="74" customWidth="1"/>
    <col min="4105" max="4105" width="18.42578125" style="74" customWidth="1"/>
    <col min="4106" max="4106" width="7.28515625" style="74" customWidth="1"/>
    <col min="4107" max="4354" width="9.140625" style="74"/>
    <col min="4355" max="4355" width="3.7109375" style="74" customWidth="1"/>
    <col min="4356" max="4356" width="28.85546875" style="74" customWidth="1"/>
    <col min="4357" max="4357" width="12.7109375" style="74" customWidth="1"/>
    <col min="4358" max="4358" width="7.140625" style="74" customWidth="1"/>
    <col min="4359" max="4359" width="13.7109375" style="74" customWidth="1"/>
    <col min="4360" max="4360" width="10" style="74" customWidth="1"/>
    <col min="4361" max="4361" width="18.42578125" style="74" customWidth="1"/>
    <col min="4362" max="4362" width="7.28515625" style="74" customWidth="1"/>
    <col min="4363" max="4610" width="9.140625" style="74"/>
    <col min="4611" max="4611" width="3.7109375" style="74" customWidth="1"/>
    <col min="4612" max="4612" width="28.85546875" style="74" customWidth="1"/>
    <col min="4613" max="4613" width="12.7109375" style="74" customWidth="1"/>
    <col min="4614" max="4614" width="7.140625" style="74" customWidth="1"/>
    <col min="4615" max="4615" width="13.7109375" style="74" customWidth="1"/>
    <col min="4616" max="4616" width="10" style="74" customWidth="1"/>
    <col min="4617" max="4617" width="18.42578125" style="74" customWidth="1"/>
    <col min="4618" max="4618" width="7.28515625" style="74" customWidth="1"/>
    <col min="4619" max="4866" width="9.140625" style="74"/>
    <col min="4867" max="4867" width="3.7109375" style="74" customWidth="1"/>
    <col min="4868" max="4868" width="28.85546875" style="74" customWidth="1"/>
    <col min="4869" max="4869" width="12.7109375" style="74" customWidth="1"/>
    <col min="4870" max="4870" width="7.140625" style="74" customWidth="1"/>
    <col min="4871" max="4871" width="13.7109375" style="74" customWidth="1"/>
    <col min="4872" max="4872" width="10" style="74" customWidth="1"/>
    <col min="4873" max="4873" width="18.42578125" style="74" customWidth="1"/>
    <col min="4874" max="4874" width="7.28515625" style="74" customWidth="1"/>
    <col min="4875" max="5122" width="9.140625" style="74"/>
    <col min="5123" max="5123" width="3.7109375" style="74" customWidth="1"/>
    <col min="5124" max="5124" width="28.85546875" style="74" customWidth="1"/>
    <col min="5125" max="5125" width="12.7109375" style="74" customWidth="1"/>
    <col min="5126" max="5126" width="7.140625" style="74" customWidth="1"/>
    <col min="5127" max="5127" width="13.7109375" style="74" customWidth="1"/>
    <col min="5128" max="5128" width="10" style="74" customWidth="1"/>
    <col min="5129" max="5129" width="18.42578125" style="74" customWidth="1"/>
    <col min="5130" max="5130" width="7.28515625" style="74" customWidth="1"/>
    <col min="5131" max="5378" width="9.140625" style="74"/>
    <col min="5379" max="5379" width="3.7109375" style="74" customWidth="1"/>
    <col min="5380" max="5380" width="28.85546875" style="74" customWidth="1"/>
    <col min="5381" max="5381" width="12.7109375" style="74" customWidth="1"/>
    <col min="5382" max="5382" width="7.140625" style="74" customWidth="1"/>
    <col min="5383" max="5383" width="13.7109375" style="74" customWidth="1"/>
    <col min="5384" max="5384" width="10" style="74" customWidth="1"/>
    <col min="5385" max="5385" width="18.42578125" style="74" customWidth="1"/>
    <col min="5386" max="5386" width="7.28515625" style="74" customWidth="1"/>
    <col min="5387" max="5634" width="9.140625" style="74"/>
    <col min="5635" max="5635" width="3.7109375" style="74" customWidth="1"/>
    <col min="5636" max="5636" width="28.85546875" style="74" customWidth="1"/>
    <col min="5637" max="5637" width="12.7109375" style="74" customWidth="1"/>
    <col min="5638" max="5638" width="7.140625" style="74" customWidth="1"/>
    <col min="5639" max="5639" width="13.7109375" style="74" customWidth="1"/>
    <col min="5640" max="5640" width="10" style="74" customWidth="1"/>
    <col min="5641" max="5641" width="18.42578125" style="74" customWidth="1"/>
    <col min="5642" max="5642" width="7.28515625" style="74" customWidth="1"/>
    <col min="5643" max="5890" width="9.140625" style="74"/>
    <col min="5891" max="5891" width="3.7109375" style="74" customWidth="1"/>
    <col min="5892" max="5892" width="28.85546875" style="74" customWidth="1"/>
    <col min="5893" max="5893" width="12.7109375" style="74" customWidth="1"/>
    <col min="5894" max="5894" width="7.140625" style="74" customWidth="1"/>
    <col min="5895" max="5895" width="13.7109375" style="74" customWidth="1"/>
    <col min="5896" max="5896" width="10" style="74" customWidth="1"/>
    <col min="5897" max="5897" width="18.42578125" style="74" customWidth="1"/>
    <col min="5898" max="5898" width="7.28515625" style="74" customWidth="1"/>
    <col min="5899" max="6146" width="9.140625" style="74"/>
    <col min="6147" max="6147" width="3.7109375" style="74" customWidth="1"/>
    <col min="6148" max="6148" width="28.85546875" style="74" customWidth="1"/>
    <col min="6149" max="6149" width="12.7109375" style="74" customWidth="1"/>
    <col min="6150" max="6150" width="7.140625" style="74" customWidth="1"/>
    <col min="6151" max="6151" width="13.7109375" style="74" customWidth="1"/>
    <col min="6152" max="6152" width="10" style="74" customWidth="1"/>
    <col min="6153" max="6153" width="18.42578125" style="74" customWidth="1"/>
    <col min="6154" max="6154" width="7.28515625" style="74" customWidth="1"/>
    <col min="6155" max="6402" width="9.140625" style="74"/>
    <col min="6403" max="6403" width="3.7109375" style="74" customWidth="1"/>
    <col min="6404" max="6404" width="28.85546875" style="74" customWidth="1"/>
    <col min="6405" max="6405" width="12.7109375" style="74" customWidth="1"/>
    <col min="6406" max="6406" width="7.140625" style="74" customWidth="1"/>
    <col min="6407" max="6407" width="13.7109375" style="74" customWidth="1"/>
    <col min="6408" max="6408" width="10" style="74" customWidth="1"/>
    <col min="6409" max="6409" width="18.42578125" style="74" customWidth="1"/>
    <col min="6410" max="6410" width="7.28515625" style="74" customWidth="1"/>
    <col min="6411" max="6658" width="9.140625" style="74"/>
    <col min="6659" max="6659" width="3.7109375" style="74" customWidth="1"/>
    <col min="6660" max="6660" width="28.85546875" style="74" customWidth="1"/>
    <col min="6661" max="6661" width="12.7109375" style="74" customWidth="1"/>
    <col min="6662" max="6662" width="7.140625" style="74" customWidth="1"/>
    <col min="6663" max="6663" width="13.7109375" style="74" customWidth="1"/>
    <col min="6664" max="6664" width="10" style="74" customWidth="1"/>
    <col min="6665" max="6665" width="18.42578125" style="74" customWidth="1"/>
    <col min="6666" max="6666" width="7.28515625" style="74" customWidth="1"/>
    <col min="6667" max="6914" width="9.140625" style="74"/>
    <col min="6915" max="6915" width="3.7109375" style="74" customWidth="1"/>
    <col min="6916" max="6916" width="28.85546875" style="74" customWidth="1"/>
    <col min="6917" max="6917" width="12.7109375" style="74" customWidth="1"/>
    <col min="6918" max="6918" width="7.140625" style="74" customWidth="1"/>
    <col min="6919" max="6919" width="13.7109375" style="74" customWidth="1"/>
    <col min="6920" max="6920" width="10" style="74" customWidth="1"/>
    <col min="6921" max="6921" width="18.42578125" style="74" customWidth="1"/>
    <col min="6922" max="6922" width="7.28515625" style="74" customWidth="1"/>
    <col min="6923" max="7170" width="9.140625" style="74"/>
    <col min="7171" max="7171" width="3.7109375" style="74" customWidth="1"/>
    <col min="7172" max="7172" width="28.85546875" style="74" customWidth="1"/>
    <col min="7173" max="7173" width="12.7109375" style="74" customWidth="1"/>
    <col min="7174" max="7174" width="7.140625" style="74" customWidth="1"/>
    <col min="7175" max="7175" width="13.7109375" style="74" customWidth="1"/>
    <col min="7176" max="7176" width="10" style="74" customWidth="1"/>
    <col min="7177" max="7177" width="18.42578125" style="74" customWidth="1"/>
    <col min="7178" max="7178" width="7.28515625" style="74" customWidth="1"/>
    <col min="7179" max="7426" width="9.140625" style="74"/>
    <col min="7427" max="7427" width="3.7109375" style="74" customWidth="1"/>
    <col min="7428" max="7428" width="28.85546875" style="74" customWidth="1"/>
    <col min="7429" max="7429" width="12.7109375" style="74" customWidth="1"/>
    <col min="7430" max="7430" width="7.140625" style="74" customWidth="1"/>
    <col min="7431" max="7431" width="13.7109375" style="74" customWidth="1"/>
    <col min="7432" max="7432" width="10" style="74" customWidth="1"/>
    <col min="7433" max="7433" width="18.42578125" style="74" customWidth="1"/>
    <col min="7434" max="7434" width="7.28515625" style="74" customWidth="1"/>
    <col min="7435" max="7682" width="9.140625" style="74"/>
    <col min="7683" max="7683" width="3.7109375" style="74" customWidth="1"/>
    <col min="7684" max="7684" width="28.85546875" style="74" customWidth="1"/>
    <col min="7685" max="7685" width="12.7109375" style="74" customWidth="1"/>
    <col min="7686" max="7686" width="7.140625" style="74" customWidth="1"/>
    <col min="7687" max="7687" width="13.7109375" style="74" customWidth="1"/>
    <col min="7688" max="7688" width="10" style="74" customWidth="1"/>
    <col min="7689" max="7689" width="18.42578125" style="74" customWidth="1"/>
    <col min="7690" max="7690" width="7.28515625" style="74" customWidth="1"/>
    <col min="7691" max="7938" width="9.140625" style="74"/>
    <col min="7939" max="7939" width="3.7109375" style="74" customWidth="1"/>
    <col min="7940" max="7940" width="28.85546875" style="74" customWidth="1"/>
    <col min="7941" max="7941" width="12.7109375" style="74" customWidth="1"/>
    <col min="7942" max="7942" width="7.140625" style="74" customWidth="1"/>
    <col min="7943" max="7943" width="13.7109375" style="74" customWidth="1"/>
    <col min="7944" max="7944" width="10" style="74" customWidth="1"/>
    <col min="7945" max="7945" width="18.42578125" style="74" customWidth="1"/>
    <col min="7946" max="7946" width="7.28515625" style="74" customWidth="1"/>
    <col min="7947" max="8194" width="9.140625" style="74"/>
    <col min="8195" max="8195" width="3.7109375" style="74" customWidth="1"/>
    <col min="8196" max="8196" width="28.85546875" style="74" customWidth="1"/>
    <col min="8197" max="8197" width="12.7109375" style="74" customWidth="1"/>
    <col min="8198" max="8198" width="7.140625" style="74" customWidth="1"/>
    <col min="8199" max="8199" width="13.7109375" style="74" customWidth="1"/>
    <col min="8200" max="8200" width="10" style="74" customWidth="1"/>
    <col min="8201" max="8201" width="18.42578125" style="74" customWidth="1"/>
    <col min="8202" max="8202" width="7.28515625" style="74" customWidth="1"/>
    <col min="8203" max="8450" width="9.140625" style="74"/>
    <col min="8451" max="8451" width="3.7109375" style="74" customWidth="1"/>
    <col min="8452" max="8452" width="28.85546875" style="74" customWidth="1"/>
    <col min="8453" max="8453" width="12.7109375" style="74" customWidth="1"/>
    <col min="8454" max="8454" width="7.140625" style="74" customWidth="1"/>
    <col min="8455" max="8455" width="13.7109375" style="74" customWidth="1"/>
    <col min="8456" max="8456" width="10" style="74" customWidth="1"/>
    <col min="8457" max="8457" width="18.42578125" style="74" customWidth="1"/>
    <col min="8458" max="8458" width="7.28515625" style="74" customWidth="1"/>
    <col min="8459" max="8706" width="9.140625" style="74"/>
    <col min="8707" max="8707" width="3.7109375" style="74" customWidth="1"/>
    <col min="8708" max="8708" width="28.85546875" style="74" customWidth="1"/>
    <col min="8709" max="8709" width="12.7109375" style="74" customWidth="1"/>
    <col min="8710" max="8710" width="7.140625" style="74" customWidth="1"/>
    <col min="8711" max="8711" width="13.7109375" style="74" customWidth="1"/>
    <col min="8712" max="8712" width="10" style="74" customWidth="1"/>
    <col min="8713" max="8713" width="18.42578125" style="74" customWidth="1"/>
    <col min="8714" max="8714" width="7.28515625" style="74" customWidth="1"/>
    <col min="8715" max="8962" width="9.140625" style="74"/>
    <col min="8963" max="8963" width="3.7109375" style="74" customWidth="1"/>
    <col min="8964" max="8964" width="28.85546875" style="74" customWidth="1"/>
    <col min="8965" max="8965" width="12.7109375" style="74" customWidth="1"/>
    <col min="8966" max="8966" width="7.140625" style="74" customWidth="1"/>
    <col min="8967" max="8967" width="13.7109375" style="74" customWidth="1"/>
    <col min="8968" max="8968" width="10" style="74" customWidth="1"/>
    <col min="8969" max="8969" width="18.42578125" style="74" customWidth="1"/>
    <col min="8970" max="8970" width="7.28515625" style="74" customWidth="1"/>
    <col min="8971" max="9218" width="9.140625" style="74"/>
    <col min="9219" max="9219" width="3.7109375" style="74" customWidth="1"/>
    <col min="9220" max="9220" width="28.85546875" style="74" customWidth="1"/>
    <col min="9221" max="9221" width="12.7109375" style="74" customWidth="1"/>
    <col min="9222" max="9222" width="7.140625" style="74" customWidth="1"/>
    <col min="9223" max="9223" width="13.7109375" style="74" customWidth="1"/>
    <col min="9224" max="9224" width="10" style="74" customWidth="1"/>
    <col min="9225" max="9225" width="18.42578125" style="74" customWidth="1"/>
    <col min="9226" max="9226" width="7.28515625" style="74" customWidth="1"/>
    <col min="9227" max="9474" width="9.140625" style="74"/>
    <col min="9475" max="9475" width="3.7109375" style="74" customWidth="1"/>
    <col min="9476" max="9476" width="28.85546875" style="74" customWidth="1"/>
    <col min="9477" max="9477" width="12.7109375" style="74" customWidth="1"/>
    <col min="9478" max="9478" width="7.140625" style="74" customWidth="1"/>
    <col min="9479" max="9479" width="13.7109375" style="74" customWidth="1"/>
    <col min="9480" max="9480" width="10" style="74" customWidth="1"/>
    <col min="9481" max="9481" width="18.42578125" style="74" customWidth="1"/>
    <col min="9482" max="9482" width="7.28515625" style="74" customWidth="1"/>
    <col min="9483" max="9730" width="9.140625" style="74"/>
    <col min="9731" max="9731" width="3.7109375" style="74" customWidth="1"/>
    <col min="9732" max="9732" width="28.85546875" style="74" customWidth="1"/>
    <col min="9733" max="9733" width="12.7109375" style="74" customWidth="1"/>
    <col min="9734" max="9734" width="7.140625" style="74" customWidth="1"/>
    <col min="9735" max="9735" width="13.7109375" style="74" customWidth="1"/>
    <col min="9736" max="9736" width="10" style="74" customWidth="1"/>
    <col min="9737" max="9737" width="18.42578125" style="74" customWidth="1"/>
    <col min="9738" max="9738" width="7.28515625" style="74" customWidth="1"/>
    <col min="9739" max="9986" width="9.140625" style="74"/>
    <col min="9987" max="9987" width="3.7109375" style="74" customWidth="1"/>
    <col min="9988" max="9988" width="28.85546875" style="74" customWidth="1"/>
    <col min="9989" max="9989" width="12.7109375" style="74" customWidth="1"/>
    <col min="9990" max="9990" width="7.140625" style="74" customWidth="1"/>
    <col min="9991" max="9991" width="13.7109375" style="74" customWidth="1"/>
    <col min="9992" max="9992" width="10" style="74" customWidth="1"/>
    <col min="9993" max="9993" width="18.42578125" style="74" customWidth="1"/>
    <col min="9994" max="9994" width="7.28515625" style="74" customWidth="1"/>
    <col min="9995" max="10242" width="9.140625" style="74"/>
    <col min="10243" max="10243" width="3.7109375" style="74" customWidth="1"/>
    <col min="10244" max="10244" width="28.85546875" style="74" customWidth="1"/>
    <col min="10245" max="10245" width="12.7109375" style="74" customWidth="1"/>
    <col min="10246" max="10246" width="7.140625" style="74" customWidth="1"/>
    <col min="10247" max="10247" width="13.7109375" style="74" customWidth="1"/>
    <col min="10248" max="10248" width="10" style="74" customWidth="1"/>
    <col min="10249" max="10249" width="18.42578125" style="74" customWidth="1"/>
    <col min="10250" max="10250" width="7.28515625" style="74" customWidth="1"/>
    <col min="10251" max="10498" width="9.140625" style="74"/>
    <col min="10499" max="10499" width="3.7109375" style="74" customWidth="1"/>
    <col min="10500" max="10500" width="28.85546875" style="74" customWidth="1"/>
    <col min="10501" max="10501" width="12.7109375" style="74" customWidth="1"/>
    <col min="10502" max="10502" width="7.140625" style="74" customWidth="1"/>
    <col min="10503" max="10503" width="13.7109375" style="74" customWidth="1"/>
    <col min="10504" max="10504" width="10" style="74" customWidth="1"/>
    <col min="10505" max="10505" width="18.42578125" style="74" customWidth="1"/>
    <col min="10506" max="10506" width="7.28515625" style="74" customWidth="1"/>
    <col min="10507" max="10754" width="9.140625" style="74"/>
    <col min="10755" max="10755" width="3.7109375" style="74" customWidth="1"/>
    <col min="10756" max="10756" width="28.85546875" style="74" customWidth="1"/>
    <col min="10757" max="10757" width="12.7109375" style="74" customWidth="1"/>
    <col min="10758" max="10758" width="7.140625" style="74" customWidth="1"/>
    <col min="10759" max="10759" width="13.7109375" style="74" customWidth="1"/>
    <col min="10760" max="10760" width="10" style="74" customWidth="1"/>
    <col min="10761" max="10761" width="18.42578125" style="74" customWidth="1"/>
    <col min="10762" max="10762" width="7.28515625" style="74" customWidth="1"/>
    <col min="10763" max="11010" width="9.140625" style="74"/>
    <col min="11011" max="11011" width="3.7109375" style="74" customWidth="1"/>
    <col min="11012" max="11012" width="28.85546875" style="74" customWidth="1"/>
    <col min="11013" max="11013" width="12.7109375" style="74" customWidth="1"/>
    <col min="11014" max="11014" width="7.140625" style="74" customWidth="1"/>
    <col min="11015" max="11015" width="13.7109375" style="74" customWidth="1"/>
    <col min="11016" max="11016" width="10" style="74" customWidth="1"/>
    <col min="11017" max="11017" width="18.42578125" style="74" customWidth="1"/>
    <col min="11018" max="11018" width="7.28515625" style="74" customWidth="1"/>
    <col min="11019" max="11266" width="9.140625" style="74"/>
    <col min="11267" max="11267" width="3.7109375" style="74" customWidth="1"/>
    <col min="11268" max="11268" width="28.85546875" style="74" customWidth="1"/>
    <col min="11269" max="11269" width="12.7109375" style="74" customWidth="1"/>
    <col min="11270" max="11270" width="7.140625" style="74" customWidth="1"/>
    <col min="11271" max="11271" width="13.7109375" style="74" customWidth="1"/>
    <col min="11272" max="11272" width="10" style="74" customWidth="1"/>
    <col min="11273" max="11273" width="18.42578125" style="74" customWidth="1"/>
    <col min="11274" max="11274" width="7.28515625" style="74" customWidth="1"/>
    <col min="11275" max="11522" width="9.140625" style="74"/>
    <col min="11523" max="11523" width="3.7109375" style="74" customWidth="1"/>
    <col min="11524" max="11524" width="28.85546875" style="74" customWidth="1"/>
    <col min="11525" max="11525" width="12.7109375" style="74" customWidth="1"/>
    <col min="11526" max="11526" width="7.140625" style="74" customWidth="1"/>
    <col min="11527" max="11527" width="13.7109375" style="74" customWidth="1"/>
    <col min="11528" max="11528" width="10" style="74" customWidth="1"/>
    <col min="11529" max="11529" width="18.42578125" style="74" customWidth="1"/>
    <col min="11530" max="11530" width="7.28515625" style="74" customWidth="1"/>
    <col min="11531" max="11778" width="9.140625" style="74"/>
    <col min="11779" max="11779" width="3.7109375" style="74" customWidth="1"/>
    <col min="11780" max="11780" width="28.85546875" style="74" customWidth="1"/>
    <col min="11781" max="11781" width="12.7109375" style="74" customWidth="1"/>
    <col min="11782" max="11782" width="7.140625" style="74" customWidth="1"/>
    <col min="11783" max="11783" width="13.7109375" style="74" customWidth="1"/>
    <col min="11784" max="11784" width="10" style="74" customWidth="1"/>
    <col min="11785" max="11785" width="18.42578125" style="74" customWidth="1"/>
    <col min="11786" max="11786" width="7.28515625" style="74" customWidth="1"/>
    <col min="11787" max="12034" width="9.140625" style="74"/>
    <col min="12035" max="12035" width="3.7109375" style="74" customWidth="1"/>
    <col min="12036" max="12036" width="28.85546875" style="74" customWidth="1"/>
    <col min="12037" max="12037" width="12.7109375" style="74" customWidth="1"/>
    <col min="12038" max="12038" width="7.140625" style="74" customWidth="1"/>
    <col min="12039" max="12039" width="13.7109375" style="74" customWidth="1"/>
    <col min="12040" max="12040" width="10" style="74" customWidth="1"/>
    <col min="12041" max="12041" width="18.42578125" style="74" customWidth="1"/>
    <col min="12042" max="12042" width="7.28515625" style="74" customWidth="1"/>
    <col min="12043" max="12290" width="9.140625" style="74"/>
    <col min="12291" max="12291" width="3.7109375" style="74" customWidth="1"/>
    <col min="12292" max="12292" width="28.85546875" style="74" customWidth="1"/>
    <col min="12293" max="12293" width="12.7109375" style="74" customWidth="1"/>
    <col min="12294" max="12294" width="7.140625" style="74" customWidth="1"/>
    <col min="12295" max="12295" width="13.7109375" style="74" customWidth="1"/>
    <col min="12296" max="12296" width="10" style="74" customWidth="1"/>
    <col min="12297" max="12297" width="18.42578125" style="74" customWidth="1"/>
    <col min="12298" max="12298" width="7.28515625" style="74" customWidth="1"/>
    <col min="12299" max="12546" width="9.140625" style="74"/>
    <col min="12547" max="12547" width="3.7109375" style="74" customWidth="1"/>
    <col min="12548" max="12548" width="28.85546875" style="74" customWidth="1"/>
    <col min="12549" max="12549" width="12.7109375" style="74" customWidth="1"/>
    <col min="12550" max="12550" width="7.140625" style="74" customWidth="1"/>
    <col min="12551" max="12551" width="13.7109375" style="74" customWidth="1"/>
    <col min="12552" max="12552" width="10" style="74" customWidth="1"/>
    <col min="12553" max="12553" width="18.42578125" style="74" customWidth="1"/>
    <col min="12554" max="12554" width="7.28515625" style="74" customWidth="1"/>
    <col min="12555" max="12802" width="9.140625" style="74"/>
    <col min="12803" max="12803" width="3.7109375" style="74" customWidth="1"/>
    <col min="12804" max="12804" width="28.85546875" style="74" customWidth="1"/>
    <col min="12805" max="12805" width="12.7109375" style="74" customWidth="1"/>
    <col min="12806" max="12806" width="7.140625" style="74" customWidth="1"/>
    <col min="12807" max="12807" width="13.7109375" style="74" customWidth="1"/>
    <col min="12808" max="12808" width="10" style="74" customWidth="1"/>
    <col min="12809" max="12809" width="18.42578125" style="74" customWidth="1"/>
    <col min="12810" max="12810" width="7.28515625" style="74" customWidth="1"/>
    <col min="12811" max="13058" width="9.140625" style="74"/>
    <col min="13059" max="13059" width="3.7109375" style="74" customWidth="1"/>
    <col min="13060" max="13060" width="28.85546875" style="74" customWidth="1"/>
    <col min="13061" max="13061" width="12.7109375" style="74" customWidth="1"/>
    <col min="13062" max="13062" width="7.140625" style="74" customWidth="1"/>
    <col min="13063" max="13063" width="13.7109375" style="74" customWidth="1"/>
    <col min="13064" max="13064" width="10" style="74" customWidth="1"/>
    <col min="13065" max="13065" width="18.42578125" style="74" customWidth="1"/>
    <col min="13066" max="13066" width="7.28515625" style="74" customWidth="1"/>
    <col min="13067" max="13314" width="9.140625" style="74"/>
    <col min="13315" max="13315" width="3.7109375" style="74" customWidth="1"/>
    <col min="13316" max="13316" width="28.85546875" style="74" customWidth="1"/>
    <col min="13317" max="13317" width="12.7109375" style="74" customWidth="1"/>
    <col min="13318" max="13318" width="7.140625" style="74" customWidth="1"/>
    <col min="13319" max="13319" width="13.7109375" style="74" customWidth="1"/>
    <col min="13320" max="13320" width="10" style="74" customWidth="1"/>
    <col min="13321" max="13321" width="18.42578125" style="74" customWidth="1"/>
    <col min="13322" max="13322" width="7.28515625" style="74" customWidth="1"/>
    <col min="13323" max="13570" width="9.140625" style="74"/>
    <col min="13571" max="13571" width="3.7109375" style="74" customWidth="1"/>
    <col min="13572" max="13572" width="28.85546875" style="74" customWidth="1"/>
    <col min="13573" max="13573" width="12.7109375" style="74" customWidth="1"/>
    <col min="13574" max="13574" width="7.140625" style="74" customWidth="1"/>
    <col min="13575" max="13575" width="13.7109375" style="74" customWidth="1"/>
    <col min="13576" max="13576" width="10" style="74" customWidth="1"/>
    <col min="13577" max="13577" width="18.42578125" style="74" customWidth="1"/>
    <col min="13578" max="13578" width="7.28515625" style="74" customWidth="1"/>
    <col min="13579" max="13826" width="9.140625" style="74"/>
    <col min="13827" max="13827" width="3.7109375" style="74" customWidth="1"/>
    <col min="13828" max="13828" width="28.85546875" style="74" customWidth="1"/>
    <col min="13829" max="13829" width="12.7109375" style="74" customWidth="1"/>
    <col min="13830" max="13830" width="7.140625" style="74" customWidth="1"/>
    <col min="13831" max="13831" width="13.7109375" style="74" customWidth="1"/>
    <col min="13832" max="13832" width="10" style="74" customWidth="1"/>
    <col min="13833" max="13833" width="18.42578125" style="74" customWidth="1"/>
    <col min="13834" max="13834" width="7.28515625" style="74" customWidth="1"/>
    <col min="13835" max="14082" width="9.140625" style="74"/>
    <col min="14083" max="14083" width="3.7109375" style="74" customWidth="1"/>
    <col min="14084" max="14084" width="28.85546875" style="74" customWidth="1"/>
    <col min="14085" max="14085" width="12.7109375" style="74" customWidth="1"/>
    <col min="14086" max="14086" width="7.140625" style="74" customWidth="1"/>
    <col min="14087" max="14087" width="13.7109375" style="74" customWidth="1"/>
    <col min="14088" max="14088" width="10" style="74" customWidth="1"/>
    <col min="14089" max="14089" width="18.42578125" style="74" customWidth="1"/>
    <col min="14090" max="14090" width="7.28515625" style="74" customWidth="1"/>
    <col min="14091" max="14338" width="9.140625" style="74"/>
    <col min="14339" max="14339" width="3.7109375" style="74" customWidth="1"/>
    <col min="14340" max="14340" width="28.85546875" style="74" customWidth="1"/>
    <col min="14341" max="14341" width="12.7109375" style="74" customWidth="1"/>
    <col min="14342" max="14342" width="7.140625" style="74" customWidth="1"/>
    <col min="14343" max="14343" width="13.7109375" style="74" customWidth="1"/>
    <col min="14344" max="14344" width="10" style="74" customWidth="1"/>
    <col min="14345" max="14345" width="18.42578125" style="74" customWidth="1"/>
    <col min="14346" max="14346" width="7.28515625" style="74" customWidth="1"/>
    <col min="14347" max="14594" width="9.140625" style="74"/>
    <col min="14595" max="14595" width="3.7109375" style="74" customWidth="1"/>
    <col min="14596" max="14596" width="28.85546875" style="74" customWidth="1"/>
    <col min="14597" max="14597" width="12.7109375" style="74" customWidth="1"/>
    <col min="14598" max="14598" width="7.140625" style="74" customWidth="1"/>
    <col min="14599" max="14599" width="13.7109375" style="74" customWidth="1"/>
    <col min="14600" max="14600" width="10" style="74" customWidth="1"/>
    <col min="14601" max="14601" width="18.42578125" style="74" customWidth="1"/>
    <col min="14602" max="14602" width="7.28515625" style="74" customWidth="1"/>
    <col min="14603" max="14850" width="9.140625" style="74"/>
    <col min="14851" max="14851" width="3.7109375" style="74" customWidth="1"/>
    <col min="14852" max="14852" width="28.85546875" style="74" customWidth="1"/>
    <col min="14853" max="14853" width="12.7109375" style="74" customWidth="1"/>
    <col min="14854" max="14854" width="7.140625" style="74" customWidth="1"/>
    <col min="14855" max="14855" width="13.7109375" style="74" customWidth="1"/>
    <col min="14856" max="14856" width="10" style="74" customWidth="1"/>
    <col min="14857" max="14857" width="18.42578125" style="74" customWidth="1"/>
    <col min="14858" max="14858" width="7.28515625" style="74" customWidth="1"/>
    <col min="14859" max="15106" width="9.140625" style="74"/>
    <col min="15107" max="15107" width="3.7109375" style="74" customWidth="1"/>
    <col min="15108" max="15108" width="28.85546875" style="74" customWidth="1"/>
    <col min="15109" max="15109" width="12.7109375" style="74" customWidth="1"/>
    <col min="15110" max="15110" width="7.140625" style="74" customWidth="1"/>
    <col min="15111" max="15111" width="13.7109375" style="74" customWidth="1"/>
    <col min="15112" max="15112" width="10" style="74" customWidth="1"/>
    <col min="15113" max="15113" width="18.42578125" style="74" customWidth="1"/>
    <col min="15114" max="15114" width="7.28515625" style="74" customWidth="1"/>
    <col min="15115" max="15362" width="9.140625" style="74"/>
    <col min="15363" max="15363" width="3.7109375" style="74" customWidth="1"/>
    <col min="15364" max="15364" width="28.85546875" style="74" customWidth="1"/>
    <col min="15365" max="15365" width="12.7109375" style="74" customWidth="1"/>
    <col min="15366" max="15366" width="7.140625" style="74" customWidth="1"/>
    <col min="15367" max="15367" width="13.7109375" style="74" customWidth="1"/>
    <col min="15368" max="15368" width="10" style="74" customWidth="1"/>
    <col min="15369" max="15369" width="18.42578125" style="74" customWidth="1"/>
    <col min="15370" max="15370" width="7.28515625" style="74" customWidth="1"/>
    <col min="15371" max="15618" width="9.140625" style="74"/>
    <col min="15619" max="15619" width="3.7109375" style="74" customWidth="1"/>
    <col min="15620" max="15620" width="28.85546875" style="74" customWidth="1"/>
    <col min="15621" max="15621" width="12.7109375" style="74" customWidth="1"/>
    <col min="15622" max="15622" width="7.140625" style="74" customWidth="1"/>
    <col min="15623" max="15623" width="13.7109375" style="74" customWidth="1"/>
    <col min="15624" max="15624" width="10" style="74" customWidth="1"/>
    <col min="15625" max="15625" width="18.42578125" style="74" customWidth="1"/>
    <col min="15626" max="15626" width="7.28515625" style="74" customWidth="1"/>
    <col min="15627" max="15874" width="9.140625" style="74"/>
    <col min="15875" max="15875" width="3.7109375" style="74" customWidth="1"/>
    <col min="15876" max="15876" width="28.85546875" style="74" customWidth="1"/>
    <col min="15877" max="15877" width="12.7109375" style="74" customWidth="1"/>
    <col min="15878" max="15878" width="7.140625" style="74" customWidth="1"/>
    <col min="15879" max="15879" width="13.7109375" style="74" customWidth="1"/>
    <col min="15880" max="15880" width="10" style="74" customWidth="1"/>
    <col min="15881" max="15881" width="18.42578125" style="74" customWidth="1"/>
    <col min="15882" max="15882" width="7.28515625" style="74" customWidth="1"/>
    <col min="15883" max="16130" width="9.140625" style="74"/>
    <col min="16131" max="16131" width="3.7109375" style="74" customWidth="1"/>
    <col min="16132" max="16132" width="28.85546875" style="74" customWidth="1"/>
    <col min="16133" max="16133" width="12.7109375" style="74" customWidth="1"/>
    <col min="16134" max="16134" width="7.140625" style="74" customWidth="1"/>
    <col min="16135" max="16135" width="13.7109375" style="74" customWidth="1"/>
    <col min="16136" max="16136" width="10" style="74" customWidth="1"/>
    <col min="16137" max="16137" width="18.42578125" style="74" customWidth="1"/>
    <col min="16138" max="16138" width="7.28515625" style="74" customWidth="1"/>
    <col min="16139" max="16384" width="9.140625" style="74"/>
  </cols>
  <sheetData>
    <row r="1" spans="1:10" ht="30.75">
      <c r="A1" s="286"/>
      <c r="B1" s="287" t="s">
        <v>482</v>
      </c>
      <c r="C1" s="288"/>
      <c r="D1" s="288"/>
      <c r="E1" s="288"/>
      <c r="F1" s="288"/>
      <c r="G1" s="288"/>
      <c r="H1" s="289"/>
      <c r="I1" s="288"/>
      <c r="J1" s="288"/>
    </row>
    <row r="2" spans="1:10" ht="23.25" customHeight="1">
      <c r="A2" s="75"/>
      <c r="H2" s="302"/>
      <c r="I2" s="248"/>
    </row>
    <row r="3" spans="1:10">
      <c r="A3" s="77"/>
      <c r="B3" s="78"/>
      <c r="C3" s="259"/>
      <c r="D3" s="259"/>
      <c r="E3" s="259"/>
      <c r="F3" s="259"/>
      <c r="G3" s="259"/>
      <c r="H3" s="260"/>
      <c r="I3" s="82"/>
    </row>
    <row r="4" spans="1:10" ht="15.75" customHeight="1" thickBot="1">
      <c r="A4" s="77"/>
      <c r="B4" s="261" t="s">
        <v>331</v>
      </c>
      <c r="C4" s="445" t="s">
        <v>533</v>
      </c>
      <c r="D4" s="445"/>
      <c r="E4" s="445"/>
      <c r="F4" s="445"/>
      <c r="G4" s="445"/>
      <c r="H4" s="446"/>
    </row>
    <row r="5" spans="1:10" ht="15.75" thickBot="1">
      <c r="A5" s="77"/>
      <c r="B5" s="80" t="s">
        <v>332</v>
      </c>
      <c r="C5" s="447" t="s">
        <v>526</v>
      </c>
      <c r="D5" s="448"/>
      <c r="E5" s="448"/>
      <c r="F5" s="448"/>
      <c r="G5" s="448"/>
      <c r="H5" s="449"/>
    </row>
    <row r="6" spans="1:10" ht="15">
      <c r="A6" s="77"/>
      <c r="B6" s="80" t="s">
        <v>491</v>
      </c>
      <c r="C6" s="313"/>
      <c r="D6" s="454">
        <v>43441726</v>
      </c>
      <c r="E6" s="454"/>
      <c r="F6" s="454"/>
      <c r="G6" s="454"/>
      <c r="H6" s="313"/>
    </row>
    <row r="7" spans="1:10" ht="15.75" customHeight="1">
      <c r="A7" s="83"/>
      <c r="B7" s="262" t="s">
        <v>333</v>
      </c>
      <c r="C7" s="450" t="s">
        <v>534</v>
      </c>
      <c r="D7" s="450"/>
      <c r="E7" s="450"/>
      <c r="F7" s="450"/>
      <c r="G7" s="450"/>
      <c r="H7" s="450"/>
    </row>
    <row r="8" spans="1:10" ht="13.5" customHeight="1">
      <c r="A8" s="83"/>
      <c r="B8" s="262" t="s">
        <v>334</v>
      </c>
      <c r="C8" s="556" t="s">
        <v>535</v>
      </c>
      <c r="D8" s="451"/>
      <c r="E8" s="451"/>
      <c r="F8" s="451"/>
      <c r="G8" s="451"/>
      <c r="H8" s="452"/>
    </row>
    <row r="9" spans="1:10">
      <c r="A9" s="83"/>
      <c r="B9" s="263" t="s">
        <v>335</v>
      </c>
      <c r="C9" s="453"/>
      <c r="D9" s="453"/>
      <c r="E9" s="453"/>
      <c r="F9" s="453"/>
      <c r="G9" s="453"/>
      <c r="H9" s="453"/>
    </row>
    <row r="10" spans="1:10" ht="15">
      <c r="A10" s="83"/>
      <c r="B10" s="84"/>
      <c r="C10"/>
      <c r="D10"/>
      <c r="E10"/>
      <c r="F10"/>
      <c r="G10"/>
      <c r="H10"/>
    </row>
    <row r="11" spans="1:10" ht="13.5" thickBot="1">
      <c r="A11" s="83" t="s">
        <v>336</v>
      </c>
      <c r="B11" s="85" t="s">
        <v>337</v>
      </c>
      <c r="C11" s="86"/>
      <c r="D11" s="290"/>
      <c r="E11" s="84"/>
      <c r="F11" s="84"/>
      <c r="G11" s="87"/>
      <c r="H11" s="88"/>
      <c r="I11" s="256">
        <f>' Cotizador cliente'!C12+' Cotizador cliente'!C18+' Cotizador cliente'!C19</f>
        <v>133905.76240000001</v>
      </c>
    </row>
    <row r="12" spans="1:10" ht="14.25" thickTop="1" thickBot="1">
      <c r="A12" s="83"/>
      <c r="B12" s="90"/>
      <c r="C12" s="277"/>
      <c r="D12" s="277"/>
      <c r="E12" s="92"/>
      <c r="F12" s="92"/>
      <c r="G12" s="93"/>
      <c r="H12" s="94"/>
      <c r="I12" s="95"/>
    </row>
    <row r="13" spans="1:10">
      <c r="A13" s="83"/>
      <c r="B13" s="90"/>
      <c r="C13" s="84"/>
      <c r="D13" s="84"/>
      <c r="E13" s="96"/>
      <c r="F13" s="293"/>
      <c r="G13" s="97" t="s">
        <v>340</v>
      </c>
      <c r="H13" s="98" t="s">
        <v>341</v>
      </c>
      <c r="I13" s="95"/>
    </row>
    <row r="14" spans="1:10">
      <c r="A14" s="83" t="s">
        <v>339</v>
      </c>
      <c r="B14" s="99" t="s">
        <v>342</v>
      </c>
      <c r="C14" s="250">
        <v>1.4999999999999999E-2</v>
      </c>
      <c r="D14" s="316"/>
      <c r="E14" s="101" t="s">
        <v>343</v>
      </c>
      <c r="F14" s="294"/>
      <c r="G14" s="102">
        <f>(I11*C14)*70%</f>
        <v>1406.0105051999999</v>
      </c>
      <c r="H14" s="103">
        <f>G14*0.12</f>
        <v>168.721260624</v>
      </c>
      <c r="I14" s="104">
        <f>I11*C14*C15</f>
        <v>0</v>
      </c>
    </row>
    <row r="15" spans="1:10" ht="13.5" thickBot="1">
      <c r="A15" s="83" t="s">
        <v>336</v>
      </c>
      <c r="B15" s="105" t="s">
        <v>344</v>
      </c>
      <c r="C15" s="249">
        <v>0</v>
      </c>
      <c r="D15" s="217"/>
      <c r="E15" s="101" t="s">
        <v>345</v>
      </c>
      <c r="F15" s="294"/>
      <c r="G15" s="102">
        <f>(I11*C14)*30%</f>
        <v>602.57593080000004</v>
      </c>
      <c r="H15" s="103">
        <f>G15*0.12</f>
        <v>72.309111696000002</v>
      </c>
      <c r="I15" s="107">
        <f>I14*12/100</f>
        <v>0</v>
      </c>
    </row>
    <row r="16" spans="1:10">
      <c r="A16" s="83"/>
      <c r="B16" s="108"/>
      <c r="E16" s="252" t="s">
        <v>343</v>
      </c>
      <c r="F16" s="295"/>
      <c r="G16" s="253">
        <f>G14+H14</f>
        <v>1574.7317658239999</v>
      </c>
      <c r="H16" s="110"/>
      <c r="I16" s="111">
        <f>SUM(I14:I15)</f>
        <v>0</v>
      </c>
    </row>
    <row r="17" spans="1:10" ht="13.5" thickBot="1">
      <c r="A17" s="84"/>
      <c r="B17" s="84"/>
      <c r="C17" s="84"/>
      <c r="D17" s="84"/>
      <c r="E17" s="254" t="s">
        <v>345</v>
      </c>
      <c r="F17" s="296"/>
      <c r="G17" s="255">
        <f>G15+H15</f>
        <v>674.8850424960001</v>
      </c>
      <c r="H17" s="113"/>
      <c r="I17" s="114"/>
    </row>
    <row r="18" spans="1:10" ht="15.75">
      <c r="A18" s="83" t="s">
        <v>336</v>
      </c>
      <c r="B18" s="115" t="s">
        <v>346</v>
      </c>
      <c r="C18" s="116"/>
      <c r="D18" s="84"/>
      <c r="E18" s="116"/>
      <c r="F18" s="84"/>
      <c r="G18" s="84"/>
      <c r="H18" s="88"/>
      <c r="I18" s="117"/>
    </row>
    <row r="19" spans="1:10" ht="15.75">
      <c r="A19" s="83"/>
      <c r="B19" s="118"/>
      <c r="C19" s="84"/>
      <c r="D19" s="298" t="s">
        <v>485</v>
      </c>
      <c r="E19" s="84"/>
      <c r="F19" s="84"/>
      <c r="G19" s="84"/>
      <c r="H19" s="88"/>
      <c r="I19" s="117"/>
    </row>
    <row r="20" spans="1:10">
      <c r="A20" s="83"/>
      <c r="B20" s="119" t="s">
        <v>347</v>
      </c>
      <c r="C20" s="120"/>
      <c r="D20" s="297" t="s">
        <v>484</v>
      </c>
      <c r="E20" s="84"/>
      <c r="F20" s="84"/>
      <c r="G20" s="250">
        <v>0.04</v>
      </c>
      <c r="H20" s="251">
        <f>' Cotizador cliente'!D22</f>
        <v>5064</v>
      </c>
      <c r="I20" s="122"/>
      <c r="J20" s="123"/>
    </row>
    <row r="21" spans="1:10" s="126" customFormat="1">
      <c r="A21" s="124"/>
      <c r="B21" s="90" t="s">
        <v>348</v>
      </c>
      <c r="C21" s="120"/>
      <c r="D21" s="297" t="s">
        <v>483</v>
      </c>
      <c r="E21" s="84"/>
      <c r="F21" s="84"/>
      <c r="G21" s="250">
        <v>0</v>
      </c>
      <c r="H21" s="251">
        <f>(I11)*G21</f>
        <v>0</v>
      </c>
      <c r="I21" s="125"/>
    </row>
    <row r="22" spans="1:10" s="126" customFormat="1">
      <c r="A22" s="124"/>
      <c r="B22" s="90" t="s">
        <v>349</v>
      </c>
      <c r="C22" s="120"/>
      <c r="D22" s="297" t="s">
        <v>483</v>
      </c>
      <c r="E22" s="84"/>
      <c r="F22" s="84"/>
      <c r="G22" s="250">
        <v>0</v>
      </c>
      <c r="H22" s="251">
        <f>I11*G22</f>
        <v>0</v>
      </c>
      <c r="I22" s="125"/>
    </row>
    <row r="23" spans="1:10" s="126" customFormat="1">
      <c r="A23" s="124"/>
      <c r="B23" s="90" t="s">
        <v>350</v>
      </c>
      <c r="C23" s="120"/>
      <c r="D23" s="297" t="s">
        <v>483</v>
      </c>
      <c r="E23" s="84"/>
      <c r="F23" s="84"/>
      <c r="G23" s="250"/>
      <c r="H23" s="251">
        <v>0</v>
      </c>
      <c r="I23" s="125"/>
    </row>
    <row r="24" spans="1:10" s="126" customFormat="1">
      <c r="A24" s="124"/>
      <c r="B24" s="90" t="s">
        <v>141</v>
      </c>
      <c r="C24" s="120"/>
      <c r="D24" s="297" t="s">
        <v>483</v>
      </c>
      <c r="E24" s="84"/>
      <c r="F24" s="84"/>
      <c r="G24" s="250"/>
      <c r="H24" s="251">
        <v>0</v>
      </c>
      <c r="I24" s="125"/>
    </row>
    <row r="25" spans="1:10" s="126" customFormat="1">
      <c r="A25" s="124"/>
      <c r="B25" s="90" t="s">
        <v>506</v>
      </c>
      <c r="C25" s="120"/>
      <c r="D25" s="297" t="s">
        <v>484</v>
      </c>
      <c r="E25" s="84"/>
      <c r="F25" s="84"/>
      <c r="G25" s="250"/>
      <c r="H25" s="251">
        <f>'Cotizador interno'!C16</f>
        <v>805.56000000000006</v>
      </c>
      <c r="I25" s="125"/>
      <c r="J25" s="127"/>
    </row>
    <row r="26" spans="1:10" s="126" customFormat="1">
      <c r="A26" s="124"/>
      <c r="B26" s="90" t="s">
        <v>496</v>
      </c>
      <c r="C26" s="120"/>
      <c r="D26" s="297" t="s">
        <v>484</v>
      </c>
      <c r="E26" s="84"/>
      <c r="F26" s="84"/>
      <c r="G26" s="250"/>
      <c r="H26" s="251">
        <f>'Cotizador interno'!C19</f>
        <v>537.2023999999999</v>
      </c>
      <c r="I26" s="125"/>
    </row>
    <row r="27" spans="1:10">
      <c r="A27" s="83"/>
      <c r="B27" s="90" t="s">
        <v>351</v>
      </c>
      <c r="C27" s="120"/>
      <c r="D27" s="297" t="s">
        <v>484</v>
      </c>
      <c r="E27" s="84"/>
      <c r="F27" s="84"/>
      <c r="G27" s="250"/>
      <c r="H27" s="251">
        <f>' Cotizador cliente'!F22</f>
        <v>600</v>
      </c>
    </row>
    <row r="28" spans="1:10">
      <c r="A28" s="83"/>
      <c r="B28" s="90" t="s">
        <v>396</v>
      </c>
      <c r="C28" s="120"/>
      <c r="D28" s="297" t="s">
        <v>484</v>
      </c>
      <c r="E28" s="84"/>
      <c r="F28" s="84"/>
      <c r="G28" s="250"/>
      <c r="H28" s="251">
        <f>' Cotizador cliente'!G22-H24-H25-H26</f>
        <v>2254</v>
      </c>
      <c r="I28" s="128">
        <f>H20+H21+H27+H24+H25+H26+H28</f>
        <v>9260.7623999999996</v>
      </c>
      <c r="J28" s="74" t="s">
        <v>353</v>
      </c>
    </row>
    <row r="29" spans="1:10">
      <c r="A29" s="83"/>
      <c r="B29" s="130"/>
      <c r="C29" s="131"/>
      <c r="D29" s="131"/>
      <c r="E29" s="122"/>
      <c r="F29" s="122"/>
      <c r="G29" s="122" t="s">
        <v>339</v>
      </c>
      <c r="H29" s="129"/>
      <c r="I29" s="111"/>
    </row>
    <row r="30" spans="1:10">
      <c r="A30" s="83"/>
      <c r="B30" s="108" t="s">
        <v>354</v>
      </c>
      <c r="C30" s="132"/>
      <c r="D30" s="132"/>
      <c r="E30" s="122"/>
      <c r="F30" s="122"/>
      <c r="G30" s="122"/>
      <c r="H30" s="129"/>
      <c r="I30" s="111"/>
      <c r="J30" s="133"/>
    </row>
    <row r="31" spans="1:10">
      <c r="A31" s="83"/>
      <c r="B31" s="90" t="s">
        <v>536</v>
      </c>
      <c r="C31" s="120"/>
      <c r="D31" s="297" t="s">
        <v>484</v>
      </c>
      <c r="E31" s="84"/>
      <c r="F31" s="84"/>
      <c r="G31" s="250"/>
      <c r="H31" s="251">
        <v>150</v>
      </c>
      <c r="I31" s="111"/>
    </row>
    <row r="32" spans="1:10">
      <c r="A32" s="83"/>
      <c r="B32" s="90" t="s">
        <v>355</v>
      </c>
      <c r="C32" s="120"/>
      <c r="D32" s="297" t="s">
        <v>483</v>
      </c>
      <c r="E32" s="84"/>
      <c r="F32" s="84"/>
      <c r="G32" s="250"/>
      <c r="H32" s="251">
        <v>0</v>
      </c>
      <c r="I32" s="111"/>
    </row>
    <row r="33" spans="1:9">
      <c r="A33" s="83"/>
      <c r="B33" s="90" t="s">
        <v>356</v>
      </c>
      <c r="C33" s="120"/>
      <c r="D33" s="297" t="s">
        <v>483</v>
      </c>
      <c r="E33" s="84"/>
      <c r="F33" s="84"/>
      <c r="G33" s="250"/>
      <c r="H33" s="251">
        <v>0</v>
      </c>
      <c r="I33" s="111"/>
    </row>
    <row r="34" spans="1:9">
      <c r="A34" s="83"/>
      <c r="B34" s="90" t="s">
        <v>514</v>
      </c>
      <c r="C34" s="120"/>
      <c r="D34" s="297" t="s">
        <v>483</v>
      </c>
      <c r="E34" s="84"/>
      <c r="F34" s="84"/>
      <c r="G34" s="250"/>
      <c r="H34" s="251">
        <v>0</v>
      </c>
      <c r="I34" s="111"/>
    </row>
    <row r="35" spans="1:9">
      <c r="A35" s="83"/>
      <c r="B35" s="90" t="s">
        <v>512</v>
      </c>
      <c r="C35" s="120"/>
      <c r="D35" s="297" t="s">
        <v>484</v>
      </c>
      <c r="E35" s="84"/>
      <c r="F35" s="84"/>
      <c r="G35" s="250"/>
      <c r="H35" s="251">
        <v>395</v>
      </c>
      <c r="I35" s="111"/>
    </row>
    <row r="36" spans="1:9">
      <c r="A36" s="83"/>
      <c r="B36" s="90" t="s">
        <v>515</v>
      </c>
      <c r="C36" s="120"/>
      <c r="D36" s="297" t="s">
        <v>483</v>
      </c>
      <c r="E36" s="84"/>
      <c r="F36" s="84"/>
      <c r="G36" s="250"/>
      <c r="H36" s="251">
        <v>0</v>
      </c>
      <c r="I36" s="111"/>
    </row>
    <row r="37" spans="1:9">
      <c r="A37" s="83"/>
      <c r="B37" s="90" t="s">
        <v>476</v>
      </c>
      <c r="C37" s="120"/>
      <c r="D37" s="297" t="s">
        <v>483</v>
      </c>
      <c r="E37" s="84"/>
      <c r="F37" s="84"/>
      <c r="G37" s="250"/>
      <c r="H37" s="251">
        <v>0</v>
      </c>
      <c r="I37" s="111"/>
    </row>
    <row r="38" spans="1:9">
      <c r="A38" s="83"/>
      <c r="B38" s="90" t="s">
        <v>499</v>
      </c>
      <c r="C38" s="120"/>
      <c r="D38" s="297" t="s">
        <v>484</v>
      </c>
      <c r="E38" s="84"/>
      <c r="F38" s="84"/>
      <c r="G38" s="250"/>
      <c r="H38" s="251">
        <f>' Cotizador cliente'!E22</f>
        <v>400</v>
      </c>
      <c r="I38" s="111"/>
    </row>
    <row r="39" spans="1:9">
      <c r="A39" s="83"/>
      <c r="B39" s="130"/>
      <c r="C39" s="135"/>
      <c r="D39" s="135"/>
      <c r="E39" s="87"/>
      <c r="F39" s="87"/>
      <c r="G39" s="84"/>
      <c r="H39" s="88"/>
      <c r="I39" s="128">
        <f>SUM(H31:H38)</f>
        <v>945</v>
      </c>
    </row>
    <row r="40" spans="1:9">
      <c r="A40" s="83"/>
      <c r="B40" s="130"/>
      <c r="C40" s="135"/>
      <c r="D40" s="135"/>
      <c r="E40" s="87"/>
      <c r="F40" s="87"/>
      <c r="G40" s="84"/>
      <c r="H40" s="88"/>
      <c r="I40" s="111"/>
    </row>
    <row r="41" spans="1:9">
      <c r="A41" s="83"/>
      <c r="B41" s="105" t="s">
        <v>357</v>
      </c>
      <c r="C41" s="136"/>
      <c r="D41" s="136"/>
      <c r="E41" s="137"/>
      <c r="F41" s="87"/>
      <c r="G41" s="84"/>
      <c r="H41" s="88"/>
      <c r="I41" s="111"/>
    </row>
    <row r="42" spans="1:9">
      <c r="A42" s="83"/>
      <c r="B42" s="90" t="str">
        <f>IF(B37="Registro de Garantías Mobiliarias","Contrato de Garantía Mobiliaria","Contrato Leasing")</f>
        <v>Contrato Leasing</v>
      </c>
      <c r="C42" s="120"/>
      <c r="D42" s="297" t="s">
        <v>484</v>
      </c>
      <c r="E42" s="84"/>
      <c r="F42" s="84"/>
      <c r="G42" s="299">
        <v>1</v>
      </c>
      <c r="H42" s="251">
        <v>400</v>
      </c>
      <c r="I42" s="111"/>
    </row>
    <row r="43" spans="1:9">
      <c r="A43" s="83"/>
      <c r="B43" s="90" t="s">
        <v>361</v>
      </c>
      <c r="C43" s="120"/>
      <c r="D43" s="320" t="s">
        <v>483</v>
      </c>
      <c r="E43" s="84"/>
      <c r="F43" s="84"/>
      <c r="G43" s="299"/>
      <c r="H43" s="251"/>
      <c r="I43" s="111"/>
    </row>
    <row r="44" spans="1:9" ht="15">
      <c r="A44" s="83"/>
      <c r="B44" s="90"/>
      <c r="C44"/>
      <c r="D44"/>
      <c r="E44"/>
      <c r="F44"/>
      <c r="G44"/>
      <c r="H44"/>
      <c r="I44" s="111"/>
    </row>
    <row r="45" spans="1:9">
      <c r="A45" s="83"/>
      <c r="B45" s="455" t="s">
        <v>493</v>
      </c>
      <c r="C45" s="455"/>
      <c r="E45" s="151"/>
      <c r="F45" s="151"/>
      <c r="G45" s="316"/>
      <c r="H45" s="317"/>
      <c r="I45" s="111"/>
    </row>
    <row r="46" spans="1:9">
      <c r="A46" s="83"/>
      <c r="B46" s="281" t="s">
        <v>481</v>
      </c>
      <c r="C46" s="321">
        <v>137000</v>
      </c>
      <c r="D46" s="291"/>
      <c r="E46" s="84"/>
      <c r="F46" s="84"/>
      <c r="G46" s="318"/>
      <c r="H46" s="319"/>
      <c r="I46" s="111"/>
    </row>
    <row r="47" spans="1:9">
      <c r="A47" s="83"/>
      <c r="B47" s="281" t="s">
        <v>478</v>
      </c>
      <c r="C47" s="321"/>
      <c r="D47" s="291"/>
      <c r="E47" s="84"/>
      <c r="F47" s="84"/>
      <c r="G47" s="318"/>
      <c r="H47" s="319"/>
      <c r="I47" s="111"/>
    </row>
    <row r="48" spans="1:9" ht="15">
      <c r="A48" s="83"/>
      <c r="B48" s="282" t="s">
        <v>479</v>
      </c>
      <c r="C48" s="322"/>
      <c r="D48" s="292"/>
      <c r="E48"/>
      <c r="F48"/>
      <c r="G48"/>
      <c r="H48"/>
      <c r="I48" s="128">
        <f>SUM(H42:H48)</f>
        <v>400</v>
      </c>
    </row>
    <row r="49" spans="1:10">
      <c r="A49" s="83"/>
      <c r="B49" s="108" t="s">
        <v>339</v>
      </c>
      <c r="C49" s="284"/>
      <c r="D49" s="284"/>
      <c r="E49" s="84"/>
      <c r="F49" s="84"/>
      <c r="G49" s="149"/>
      <c r="H49" s="83" t="s">
        <v>366</v>
      </c>
      <c r="I49" s="111"/>
    </row>
    <row r="50" spans="1:10" ht="15">
      <c r="A50" s="148"/>
      <c r="B50" s="283" t="s">
        <v>480</v>
      </c>
      <c r="C50" s="285">
        <v>32329.360000000001</v>
      </c>
      <c r="D50" s="291"/>
      <c r="E50" s="151"/>
      <c r="F50" s="151"/>
      <c r="G50" s="122"/>
      <c r="H50" s="152"/>
      <c r="I50" s="269">
        <f>I28+I39+I48</f>
        <v>10605.7624</v>
      </c>
    </row>
    <row r="51" spans="1:10" ht="15.75">
      <c r="A51" s="83"/>
      <c r="B51" s="283" t="s">
        <v>509</v>
      </c>
      <c r="C51" s="335" t="s">
        <v>519</v>
      </c>
      <c r="D51" s="151"/>
      <c r="E51" s="84"/>
      <c r="F51" s="84"/>
      <c r="G51" s="149"/>
      <c r="H51" s="153" t="s">
        <v>368</v>
      </c>
      <c r="I51" s="111"/>
    </row>
    <row r="52" spans="1:10" ht="15.75" thickBot="1">
      <c r="A52" s="83"/>
      <c r="B52" s="283" t="s">
        <v>510</v>
      </c>
      <c r="C52" s="336">
        <v>44</v>
      </c>
      <c r="E52" s="84"/>
      <c r="F52" s="84"/>
      <c r="G52" s="84"/>
      <c r="H52" s="84"/>
      <c r="I52" s="258">
        <f>I11-I50</f>
        <v>123300</v>
      </c>
    </row>
    <row r="53" spans="1:10" ht="13.5" thickTop="1">
      <c r="A53" s="83"/>
      <c r="B53" s="337" t="s">
        <v>511</v>
      </c>
      <c r="C53" s="338">
        <v>66090</v>
      </c>
      <c r="D53" s="108"/>
      <c r="E53" s="84"/>
      <c r="F53" s="84"/>
      <c r="G53" s="84"/>
      <c r="H53" s="154"/>
      <c r="I53" s="257"/>
    </row>
    <row r="54" spans="1:10" ht="16.5">
      <c r="A54" s="83"/>
      <c r="B54"/>
      <c r="C54"/>
      <c r="D54"/>
      <c r="E54"/>
      <c r="F54"/>
      <c r="G54"/>
      <c r="H54"/>
      <c r="I54" s="150"/>
    </row>
    <row r="55" spans="1:10" ht="15">
      <c r="A55" s="108"/>
      <c r="B55" s="168"/>
      <c r="E55"/>
      <c r="F55"/>
      <c r="G55"/>
      <c r="H55"/>
      <c r="I55"/>
      <c r="J55"/>
    </row>
    <row r="56" spans="1:10" ht="15">
      <c r="A56" s="108"/>
      <c r="C56" s="444"/>
      <c r="D56" s="444"/>
      <c r="E56" s="297"/>
      <c r="F56"/>
      <c r="G56"/>
      <c r="H56"/>
      <c r="I56"/>
      <c r="J56"/>
    </row>
    <row r="57" spans="1:10" ht="15">
      <c r="A57" s="108"/>
      <c r="B57"/>
      <c r="C57"/>
      <c r="D57"/>
      <c r="E57"/>
      <c r="F57"/>
      <c r="G57"/>
      <c r="H57"/>
      <c r="I57"/>
      <c r="J57"/>
    </row>
    <row r="58" spans="1:10" ht="15">
      <c r="A58" s="83"/>
      <c r="B58"/>
      <c r="C58"/>
      <c r="D58"/>
      <c r="E58"/>
      <c r="F58"/>
      <c r="G58"/>
      <c r="H58"/>
      <c r="I58"/>
      <c r="J58"/>
    </row>
    <row r="59" spans="1:10" ht="15">
      <c r="A59" s="151"/>
      <c r="E59"/>
      <c r="F59"/>
      <c r="G59"/>
      <c r="H59"/>
      <c r="I59"/>
      <c r="J59"/>
    </row>
    <row r="60" spans="1:10" ht="15">
      <c r="E60"/>
      <c r="F60"/>
      <c r="G60"/>
      <c r="H60"/>
      <c r="I60"/>
      <c r="J60"/>
    </row>
    <row r="61" spans="1:10" ht="15">
      <c r="B61"/>
      <c r="C61"/>
      <c r="D61"/>
      <c r="E61"/>
      <c r="F61"/>
      <c r="G61"/>
      <c r="H61"/>
      <c r="I61"/>
      <c r="J61"/>
    </row>
    <row r="62" spans="1:10" ht="15">
      <c r="B62"/>
      <c r="C62"/>
      <c r="D62"/>
      <c r="E62"/>
      <c r="F62"/>
      <c r="G62"/>
      <c r="H62"/>
      <c r="I62"/>
      <c r="J62"/>
    </row>
    <row r="63" spans="1:10" ht="15">
      <c r="B63"/>
      <c r="C63"/>
      <c r="D63"/>
      <c r="E63"/>
      <c r="F63"/>
      <c r="G63"/>
      <c r="H63"/>
      <c r="I63"/>
      <c r="J63"/>
    </row>
    <row r="64" spans="1:10" ht="15">
      <c r="B64"/>
      <c r="C64"/>
      <c r="D64"/>
      <c r="E64"/>
      <c r="F64"/>
      <c r="G64"/>
      <c r="H64"/>
      <c r="I64"/>
      <c r="J64"/>
    </row>
    <row r="65" spans="2:10" ht="15">
      <c r="B65"/>
      <c r="C65"/>
      <c r="D65"/>
      <c r="E65"/>
      <c r="F65"/>
      <c r="G65"/>
      <c r="H65"/>
      <c r="I65"/>
      <c r="J65"/>
    </row>
    <row r="66" spans="2:10" ht="15">
      <c r="B66"/>
      <c r="C66"/>
      <c r="D66"/>
      <c r="E66"/>
      <c r="F66"/>
      <c r="G66"/>
      <c r="H66"/>
      <c r="I66"/>
      <c r="J66"/>
    </row>
    <row r="67" spans="2:10" ht="15">
      <c r="I67"/>
      <c r="J67"/>
    </row>
    <row r="68" spans="2:10" ht="15">
      <c r="I68" s="155"/>
    </row>
    <row r="69" spans="2:10" ht="15">
      <c r="I69" s="155"/>
    </row>
    <row r="70" spans="2:10" ht="15">
      <c r="I70" s="155"/>
    </row>
    <row r="71" spans="2:10" ht="15">
      <c r="I71" s="155"/>
    </row>
    <row r="72" spans="2:10" ht="15">
      <c r="I72" s="155"/>
    </row>
    <row r="73" spans="2:10" ht="15">
      <c r="I73" s="155"/>
    </row>
    <row r="74" spans="2:10" ht="15">
      <c r="I74" s="155"/>
    </row>
    <row r="75" spans="2:10" ht="15">
      <c r="I75" s="155"/>
    </row>
    <row r="76" spans="2:10" ht="15">
      <c r="I76" s="155"/>
    </row>
    <row r="77" spans="2:10" ht="15">
      <c r="I77" s="155"/>
    </row>
    <row r="78" spans="2:10" ht="15">
      <c r="I78" s="155"/>
    </row>
    <row r="79" spans="2:10" ht="15">
      <c r="I79" s="155"/>
    </row>
    <row r="80" spans="2:10" ht="15">
      <c r="I80" s="155"/>
    </row>
    <row r="81" spans="9:9" ht="15">
      <c r="I81" s="155"/>
    </row>
  </sheetData>
  <mergeCells count="8">
    <mergeCell ref="C56:D56"/>
    <mergeCell ref="C4:H4"/>
    <mergeCell ref="C5:H5"/>
    <mergeCell ref="C7:H7"/>
    <mergeCell ref="C8:H8"/>
    <mergeCell ref="C9:H9"/>
    <mergeCell ref="D6:G6"/>
    <mergeCell ref="B45:C45"/>
  </mergeCells>
  <conditionalFormatting sqref="B28:G28">
    <cfRule type="expression" dxfId="35" priority="30">
      <formula>$D$28="SI"</formula>
    </cfRule>
  </conditionalFormatting>
  <conditionalFormatting sqref="B20:H20">
    <cfRule type="expression" dxfId="34" priority="38">
      <formula>$D$20="SI"</formula>
    </cfRule>
  </conditionalFormatting>
  <conditionalFormatting sqref="B21:H21">
    <cfRule type="expression" dxfId="33" priority="37">
      <formula>$D$21="SI"</formula>
    </cfRule>
  </conditionalFormatting>
  <conditionalFormatting sqref="B22:H22">
    <cfRule type="expression" dxfId="32" priority="36">
      <formula>$D$22="SI"</formula>
    </cfRule>
  </conditionalFormatting>
  <conditionalFormatting sqref="B23:H23">
    <cfRule type="expression" dxfId="31" priority="35">
      <formula>$D$23="SI"</formula>
    </cfRule>
  </conditionalFormatting>
  <conditionalFormatting sqref="B24:H24">
    <cfRule type="expression" dxfId="30" priority="34">
      <formula>$D$24="SI"</formula>
    </cfRule>
  </conditionalFormatting>
  <conditionalFormatting sqref="B25:H25">
    <cfRule type="expression" dxfId="29" priority="33">
      <formula>$D$25="SI"</formula>
    </cfRule>
  </conditionalFormatting>
  <conditionalFormatting sqref="B26:H26">
    <cfRule type="expression" dxfId="28" priority="32">
      <formula>$D$26="SI"</formula>
    </cfRule>
  </conditionalFormatting>
  <conditionalFormatting sqref="B27:H27 H28">
    <cfRule type="expression" dxfId="27" priority="31">
      <formula>$D$27="SI"</formula>
    </cfRule>
  </conditionalFormatting>
  <conditionalFormatting sqref="B31:H31">
    <cfRule type="expression" dxfId="26" priority="25">
      <formula>$D$31="SI"</formula>
    </cfRule>
  </conditionalFormatting>
  <conditionalFormatting sqref="B32:H32">
    <cfRule type="expression" dxfId="25" priority="24">
      <formula>$D$32="SI"</formula>
    </cfRule>
  </conditionalFormatting>
  <conditionalFormatting sqref="B33:H34">
    <cfRule type="expression" dxfId="24" priority="23">
      <formula>$D$33="SI"</formula>
    </cfRule>
  </conditionalFormatting>
  <conditionalFormatting sqref="B35:H35">
    <cfRule type="expression" dxfId="23" priority="22">
      <formula>$D$35="SI"</formula>
    </cfRule>
  </conditionalFormatting>
  <conditionalFormatting sqref="B36:H36">
    <cfRule type="expression" dxfId="22" priority="21">
      <formula>$D$36="SI"</formula>
    </cfRule>
  </conditionalFormatting>
  <conditionalFormatting sqref="B37:H37">
    <cfRule type="expression" dxfId="21" priority="20">
      <formula>$D$37="SI"</formula>
    </cfRule>
  </conditionalFormatting>
  <conditionalFormatting sqref="B38:H38">
    <cfRule type="expression" dxfId="20" priority="19">
      <formula>$D$38="SI"</formula>
    </cfRule>
  </conditionalFormatting>
  <conditionalFormatting sqref="B42:H42">
    <cfRule type="expression" dxfId="19" priority="6">
      <formula>$D$42="SI"</formula>
    </cfRule>
  </conditionalFormatting>
  <conditionalFormatting sqref="B43:H43">
    <cfRule type="expression" dxfId="18" priority="9">
      <formula>$D$43="SI"</formula>
    </cfRule>
  </conditionalFormatting>
  <conditionalFormatting sqref="C47">
    <cfRule type="expression" dxfId="17" priority="1">
      <formula>$B$45="Vehículo comercial"</formula>
    </cfRule>
  </conditionalFormatting>
  <conditionalFormatting sqref="C48">
    <cfRule type="expression" dxfId="16" priority="2">
      <formula>$B$45="Vehículo NO comercial"</formula>
    </cfRule>
  </conditionalFormatting>
  <conditionalFormatting sqref="E56">
    <cfRule type="cellIs" dxfId="15" priority="12" operator="equal">
      <formula>"NO"</formula>
    </cfRule>
    <cfRule type="expression" dxfId="14" priority="13">
      <formula>$E$56="SI"</formula>
    </cfRule>
  </conditionalFormatting>
  <dataValidations count="3">
    <dataValidation type="list" allowBlank="1" showInputMessage="1" showErrorMessage="1" sqref="B37">
      <formula1>"Traspaso de vehículo, Registro de Garantías Mobiliarias"</formula1>
    </dataValidation>
    <dataValidation type="list" allowBlank="1" showInputMessage="1" showErrorMessage="1" sqref="D20:D28 D31:D38 E56 D42:D43">
      <formula1>"SI,NO"</formula1>
    </dataValidation>
    <dataValidation type="list" allowBlank="1" showInputMessage="1" showErrorMessage="1" sqref="B45:C45">
      <formula1>"Vehículo comercial,Vehículo NO comercial"</formula1>
    </dataValidation>
  </dataValidations>
  <pageMargins left="0.74803149606299213" right="0.74803149606299213" top="0.98425196850393704" bottom="0.83" header="0.31496062992125984" footer="0.19685039370078741"/>
  <pageSetup paperSize="5" scale="67" orientation="portrait" r:id="rId1"/>
  <headerFooter alignWithMargins="0">
    <oddHeader>&amp;L&amp;G&amp;R&amp;G</oddHeader>
    <oddFooter>&amp;L&amp;G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C000"/>
  </sheetPr>
  <dimension ref="A1:F33"/>
  <sheetViews>
    <sheetView showGridLines="0" view="pageLayout" topLeftCell="A10" zoomScaleNormal="100" zoomScaleSheetLayoutView="100" workbookViewId="0">
      <selection activeCell="C16" sqref="C16:E16"/>
    </sheetView>
  </sheetViews>
  <sheetFormatPr baseColWidth="10" defaultColWidth="9.140625" defaultRowHeight="12.75"/>
  <cols>
    <col min="1" max="1" width="9.140625" style="74"/>
    <col min="2" max="2" width="37.28515625" style="74" customWidth="1"/>
    <col min="3" max="3" width="12.42578125" style="74" customWidth="1"/>
    <col min="4" max="4" width="17.7109375" style="74" customWidth="1"/>
    <col min="5" max="5" width="4.28515625" style="74" customWidth="1"/>
    <col min="6" max="6" width="12.7109375" style="74" customWidth="1"/>
    <col min="7" max="7" width="17.7109375" style="74" customWidth="1"/>
    <col min="8" max="257" width="9.140625" style="74"/>
    <col min="258" max="258" width="37.28515625" style="74" customWidth="1"/>
    <col min="259" max="259" width="12.42578125" style="74" customWidth="1"/>
    <col min="260" max="260" width="17.7109375" style="74" customWidth="1"/>
    <col min="261" max="261" width="4.28515625" style="74" customWidth="1"/>
    <col min="262" max="262" width="12.7109375" style="74" customWidth="1"/>
    <col min="263" max="263" width="17.7109375" style="74" customWidth="1"/>
    <col min="264" max="513" width="9.140625" style="74"/>
    <col min="514" max="514" width="37.28515625" style="74" customWidth="1"/>
    <col min="515" max="515" width="12.42578125" style="74" customWidth="1"/>
    <col min="516" max="516" width="17.7109375" style="74" customWidth="1"/>
    <col min="517" max="517" width="4.28515625" style="74" customWidth="1"/>
    <col min="518" max="518" width="12.7109375" style="74" customWidth="1"/>
    <col min="519" max="519" width="17.7109375" style="74" customWidth="1"/>
    <col min="520" max="769" width="9.140625" style="74"/>
    <col min="770" max="770" width="37.28515625" style="74" customWidth="1"/>
    <col min="771" max="771" width="12.42578125" style="74" customWidth="1"/>
    <col min="772" max="772" width="17.7109375" style="74" customWidth="1"/>
    <col min="773" max="773" width="4.28515625" style="74" customWidth="1"/>
    <col min="774" max="774" width="12.7109375" style="74" customWidth="1"/>
    <col min="775" max="775" width="17.7109375" style="74" customWidth="1"/>
    <col min="776" max="1025" width="9.140625" style="74"/>
    <col min="1026" max="1026" width="37.28515625" style="74" customWidth="1"/>
    <col min="1027" max="1027" width="12.42578125" style="74" customWidth="1"/>
    <col min="1028" max="1028" width="17.7109375" style="74" customWidth="1"/>
    <col min="1029" max="1029" width="4.28515625" style="74" customWidth="1"/>
    <col min="1030" max="1030" width="12.7109375" style="74" customWidth="1"/>
    <col min="1031" max="1031" width="17.7109375" style="74" customWidth="1"/>
    <col min="1032" max="1281" width="9.140625" style="74"/>
    <col min="1282" max="1282" width="37.28515625" style="74" customWidth="1"/>
    <col min="1283" max="1283" width="12.42578125" style="74" customWidth="1"/>
    <col min="1284" max="1284" width="17.7109375" style="74" customWidth="1"/>
    <col min="1285" max="1285" width="4.28515625" style="74" customWidth="1"/>
    <col min="1286" max="1286" width="12.7109375" style="74" customWidth="1"/>
    <col min="1287" max="1287" width="17.7109375" style="74" customWidth="1"/>
    <col min="1288" max="1537" width="9.140625" style="74"/>
    <col min="1538" max="1538" width="37.28515625" style="74" customWidth="1"/>
    <col min="1539" max="1539" width="12.42578125" style="74" customWidth="1"/>
    <col min="1540" max="1540" width="17.7109375" style="74" customWidth="1"/>
    <col min="1541" max="1541" width="4.28515625" style="74" customWidth="1"/>
    <col min="1542" max="1542" width="12.7109375" style="74" customWidth="1"/>
    <col min="1543" max="1543" width="17.7109375" style="74" customWidth="1"/>
    <col min="1544" max="1793" width="9.140625" style="74"/>
    <col min="1794" max="1794" width="37.28515625" style="74" customWidth="1"/>
    <col min="1795" max="1795" width="12.42578125" style="74" customWidth="1"/>
    <col min="1796" max="1796" width="17.7109375" style="74" customWidth="1"/>
    <col min="1797" max="1797" width="4.28515625" style="74" customWidth="1"/>
    <col min="1798" max="1798" width="12.7109375" style="74" customWidth="1"/>
    <col min="1799" max="1799" width="17.7109375" style="74" customWidth="1"/>
    <col min="1800" max="2049" width="9.140625" style="74"/>
    <col min="2050" max="2050" width="37.28515625" style="74" customWidth="1"/>
    <col min="2051" max="2051" width="12.42578125" style="74" customWidth="1"/>
    <col min="2052" max="2052" width="17.7109375" style="74" customWidth="1"/>
    <col min="2053" max="2053" width="4.28515625" style="74" customWidth="1"/>
    <col min="2054" max="2054" width="12.7109375" style="74" customWidth="1"/>
    <col min="2055" max="2055" width="17.7109375" style="74" customWidth="1"/>
    <col min="2056" max="2305" width="9.140625" style="74"/>
    <col min="2306" max="2306" width="37.28515625" style="74" customWidth="1"/>
    <col min="2307" max="2307" width="12.42578125" style="74" customWidth="1"/>
    <col min="2308" max="2308" width="17.7109375" style="74" customWidth="1"/>
    <col min="2309" max="2309" width="4.28515625" style="74" customWidth="1"/>
    <col min="2310" max="2310" width="12.7109375" style="74" customWidth="1"/>
    <col min="2311" max="2311" width="17.7109375" style="74" customWidth="1"/>
    <col min="2312" max="2561" width="9.140625" style="74"/>
    <col min="2562" max="2562" width="37.28515625" style="74" customWidth="1"/>
    <col min="2563" max="2563" width="12.42578125" style="74" customWidth="1"/>
    <col min="2564" max="2564" width="17.7109375" style="74" customWidth="1"/>
    <col min="2565" max="2565" width="4.28515625" style="74" customWidth="1"/>
    <col min="2566" max="2566" width="12.7109375" style="74" customWidth="1"/>
    <col min="2567" max="2567" width="17.7109375" style="74" customWidth="1"/>
    <col min="2568" max="2817" width="9.140625" style="74"/>
    <col min="2818" max="2818" width="37.28515625" style="74" customWidth="1"/>
    <col min="2819" max="2819" width="12.42578125" style="74" customWidth="1"/>
    <col min="2820" max="2820" width="17.7109375" style="74" customWidth="1"/>
    <col min="2821" max="2821" width="4.28515625" style="74" customWidth="1"/>
    <col min="2822" max="2822" width="12.7109375" style="74" customWidth="1"/>
    <col min="2823" max="2823" width="17.7109375" style="74" customWidth="1"/>
    <col min="2824" max="3073" width="9.140625" style="74"/>
    <col min="3074" max="3074" width="37.28515625" style="74" customWidth="1"/>
    <col min="3075" max="3075" width="12.42578125" style="74" customWidth="1"/>
    <col min="3076" max="3076" width="17.7109375" style="74" customWidth="1"/>
    <col min="3077" max="3077" width="4.28515625" style="74" customWidth="1"/>
    <col min="3078" max="3078" width="12.7109375" style="74" customWidth="1"/>
    <col min="3079" max="3079" width="17.7109375" style="74" customWidth="1"/>
    <col min="3080" max="3329" width="9.140625" style="74"/>
    <col min="3330" max="3330" width="37.28515625" style="74" customWidth="1"/>
    <col min="3331" max="3331" width="12.42578125" style="74" customWidth="1"/>
    <col min="3332" max="3332" width="17.7109375" style="74" customWidth="1"/>
    <col min="3333" max="3333" width="4.28515625" style="74" customWidth="1"/>
    <col min="3334" max="3334" width="12.7109375" style="74" customWidth="1"/>
    <col min="3335" max="3335" width="17.7109375" style="74" customWidth="1"/>
    <col min="3336" max="3585" width="9.140625" style="74"/>
    <col min="3586" max="3586" width="37.28515625" style="74" customWidth="1"/>
    <col min="3587" max="3587" width="12.42578125" style="74" customWidth="1"/>
    <col min="3588" max="3588" width="17.7109375" style="74" customWidth="1"/>
    <col min="3589" max="3589" width="4.28515625" style="74" customWidth="1"/>
    <col min="3590" max="3590" width="12.7109375" style="74" customWidth="1"/>
    <col min="3591" max="3591" width="17.7109375" style="74" customWidth="1"/>
    <col min="3592" max="3841" width="9.140625" style="74"/>
    <col min="3842" max="3842" width="37.28515625" style="74" customWidth="1"/>
    <col min="3843" max="3843" width="12.42578125" style="74" customWidth="1"/>
    <col min="3844" max="3844" width="17.7109375" style="74" customWidth="1"/>
    <col min="3845" max="3845" width="4.28515625" style="74" customWidth="1"/>
    <col min="3846" max="3846" width="12.7109375" style="74" customWidth="1"/>
    <col min="3847" max="3847" width="17.7109375" style="74" customWidth="1"/>
    <col min="3848" max="4097" width="9.140625" style="74"/>
    <col min="4098" max="4098" width="37.28515625" style="74" customWidth="1"/>
    <col min="4099" max="4099" width="12.42578125" style="74" customWidth="1"/>
    <col min="4100" max="4100" width="17.7109375" style="74" customWidth="1"/>
    <col min="4101" max="4101" width="4.28515625" style="74" customWidth="1"/>
    <col min="4102" max="4102" width="12.7109375" style="74" customWidth="1"/>
    <col min="4103" max="4103" width="17.7109375" style="74" customWidth="1"/>
    <col min="4104" max="4353" width="9.140625" style="74"/>
    <col min="4354" max="4354" width="37.28515625" style="74" customWidth="1"/>
    <col min="4355" max="4355" width="12.42578125" style="74" customWidth="1"/>
    <col min="4356" max="4356" width="17.7109375" style="74" customWidth="1"/>
    <col min="4357" max="4357" width="4.28515625" style="74" customWidth="1"/>
    <col min="4358" max="4358" width="12.7109375" style="74" customWidth="1"/>
    <col min="4359" max="4359" width="17.7109375" style="74" customWidth="1"/>
    <col min="4360" max="4609" width="9.140625" style="74"/>
    <col min="4610" max="4610" width="37.28515625" style="74" customWidth="1"/>
    <col min="4611" max="4611" width="12.42578125" style="74" customWidth="1"/>
    <col min="4612" max="4612" width="17.7109375" style="74" customWidth="1"/>
    <col min="4613" max="4613" width="4.28515625" style="74" customWidth="1"/>
    <col min="4614" max="4614" width="12.7109375" style="74" customWidth="1"/>
    <col min="4615" max="4615" width="17.7109375" style="74" customWidth="1"/>
    <col min="4616" max="4865" width="9.140625" style="74"/>
    <col min="4866" max="4866" width="37.28515625" style="74" customWidth="1"/>
    <col min="4867" max="4867" width="12.42578125" style="74" customWidth="1"/>
    <col min="4868" max="4868" width="17.7109375" style="74" customWidth="1"/>
    <col min="4869" max="4869" width="4.28515625" style="74" customWidth="1"/>
    <col min="4870" max="4870" width="12.7109375" style="74" customWidth="1"/>
    <col min="4871" max="4871" width="17.7109375" style="74" customWidth="1"/>
    <col min="4872" max="5121" width="9.140625" style="74"/>
    <col min="5122" max="5122" width="37.28515625" style="74" customWidth="1"/>
    <col min="5123" max="5123" width="12.42578125" style="74" customWidth="1"/>
    <col min="5124" max="5124" width="17.7109375" style="74" customWidth="1"/>
    <col min="5125" max="5125" width="4.28515625" style="74" customWidth="1"/>
    <col min="5126" max="5126" width="12.7109375" style="74" customWidth="1"/>
    <col min="5127" max="5127" width="17.7109375" style="74" customWidth="1"/>
    <col min="5128" max="5377" width="9.140625" style="74"/>
    <col min="5378" max="5378" width="37.28515625" style="74" customWidth="1"/>
    <col min="5379" max="5379" width="12.42578125" style="74" customWidth="1"/>
    <col min="5380" max="5380" width="17.7109375" style="74" customWidth="1"/>
    <col min="5381" max="5381" width="4.28515625" style="74" customWidth="1"/>
    <col min="5382" max="5382" width="12.7109375" style="74" customWidth="1"/>
    <col min="5383" max="5383" width="17.7109375" style="74" customWidth="1"/>
    <col min="5384" max="5633" width="9.140625" style="74"/>
    <col min="5634" max="5634" width="37.28515625" style="74" customWidth="1"/>
    <col min="5635" max="5635" width="12.42578125" style="74" customWidth="1"/>
    <col min="5636" max="5636" width="17.7109375" style="74" customWidth="1"/>
    <col min="5637" max="5637" width="4.28515625" style="74" customWidth="1"/>
    <col min="5638" max="5638" width="12.7109375" style="74" customWidth="1"/>
    <col min="5639" max="5639" width="17.7109375" style="74" customWidth="1"/>
    <col min="5640" max="5889" width="9.140625" style="74"/>
    <col min="5890" max="5890" width="37.28515625" style="74" customWidth="1"/>
    <col min="5891" max="5891" width="12.42578125" style="74" customWidth="1"/>
    <col min="5892" max="5892" width="17.7109375" style="74" customWidth="1"/>
    <col min="5893" max="5893" width="4.28515625" style="74" customWidth="1"/>
    <col min="5894" max="5894" width="12.7109375" style="74" customWidth="1"/>
    <col min="5895" max="5895" width="17.7109375" style="74" customWidth="1"/>
    <col min="5896" max="6145" width="9.140625" style="74"/>
    <col min="6146" max="6146" width="37.28515625" style="74" customWidth="1"/>
    <col min="6147" max="6147" width="12.42578125" style="74" customWidth="1"/>
    <col min="6148" max="6148" width="17.7109375" style="74" customWidth="1"/>
    <col min="6149" max="6149" width="4.28515625" style="74" customWidth="1"/>
    <col min="6150" max="6150" width="12.7109375" style="74" customWidth="1"/>
    <col min="6151" max="6151" width="17.7109375" style="74" customWidth="1"/>
    <col min="6152" max="6401" width="9.140625" style="74"/>
    <col min="6402" max="6402" width="37.28515625" style="74" customWidth="1"/>
    <col min="6403" max="6403" width="12.42578125" style="74" customWidth="1"/>
    <col min="6404" max="6404" width="17.7109375" style="74" customWidth="1"/>
    <col min="6405" max="6405" width="4.28515625" style="74" customWidth="1"/>
    <col min="6406" max="6406" width="12.7109375" style="74" customWidth="1"/>
    <col min="6407" max="6407" width="17.7109375" style="74" customWidth="1"/>
    <col min="6408" max="6657" width="9.140625" style="74"/>
    <col min="6658" max="6658" width="37.28515625" style="74" customWidth="1"/>
    <col min="6659" max="6659" width="12.42578125" style="74" customWidth="1"/>
    <col min="6660" max="6660" width="17.7109375" style="74" customWidth="1"/>
    <col min="6661" max="6661" width="4.28515625" style="74" customWidth="1"/>
    <col min="6662" max="6662" width="12.7109375" style="74" customWidth="1"/>
    <col min="6663" max="6663" width="17.7109375" style="74" customWidth="1"/>
    <col min="6664" max="6913" width="9.140625" style="74"/>
    <col min="6914" max="6914" width="37.28515625" style="74" customWidth="1"/>
    <col min="6915" max="6915" width="12.42578125" style="74" customWidth="1"/>
    <col min="6916" max="6916" width="17.7109375" style="74" customWidth="1"/>
    <col min="6917" max="6917" width="4.28515625" style="74" customWidth="1"/>
    <col min="6918" max="6918" width="12.7109375" style="74" customWidth="1"/>
    <col min="6919" max="6919" width="17.7109375" style="74" customWidth="1"/>
    <col min="6920" max="7169" width="9.140625" style="74"/>
    <col min="7170" max="7170" width="37.28515625" style="74" customWidth="1"/>
    <col min="7171" max="7171" width="12.42578125" style="74" customWidth="1"/>
    <col min="7172" max="7172" width="17.7109375" style="74" customWidth="1"/>
    <col min="7173" max="7173" width="4.28515625" style="74" customWidth="1"/>
    <col min="7174" max="7174" width="12.7109375" style="74" customWidth="1"/>
    <col min="7175" max="7175" width="17.7109375" style="74" customWidth="1"/>
    <col min="7176" max="7425" width="9.140625" style="74"/>
    <col min="7426" max="7426" width="37.28515625" style="74" customWidth="1"/>
    <col min="7427" max="7427" width="12.42578125" style="74" customWidth="1"/>
    <col min="7428" max="7428" width="17.7109375" style="74" customWidth="1"/>
    <col min="7429" max="7429" width="4.28515625" style="74" customWidth="1"/>
    <col min="7430" max="7430" width="12.7109375" style="74" customWidth="1"/>
    <col min="7431" max="7431" width="17.7109375" style="74" customWidth="1"/>
    <col min="7432" max="7681" width="9.140625" style="74"/>
    <col min="7682" max="7682" width="37.28515625" style="74" customWidth="1"/>
    <col min="7683" max="7683" width="12.42578125" style="74" customWidth="1"/>
    <col min="7684" max="7684" width="17.7109375" style="74" customWidth="1"/>
    <col min="7685" max="7685" width="4.28515625" style="74" customWidth="1"/>
    <col min="7686" max="7686" width="12.7109375" style="74" customWidth="1"/>
    <col min="7687" max="7687" width="17.7109375" style="74" customWidth="1"/>
    <col min="7688" max="7937" width="9.140625" style="74"/>
    <col min="7938" max="7938" width="37.28515625" style="74" customWidth="1"/>
    <col min="7939" max="7939" width="12.42578125" style="74" customWidth="1"/>
    <col min="7940" max="7940" width="17.7109375" style="74" customWidth="1"/>
    <col min="7941" max="7941" width="4.28515625" style="74" customWidth="1"/>
    <col min="7942" max="7942" width="12.7109375" style="74" customWidth="1"/>
    <col min="7943" max="7943" width="17.7109375" style="74" customWidth="1"/>
    <col min="7944" max="8193" width="9.140625" style="74"/>
    <col min="8194" max="8194" width="37.28515625" style="74" customWidth="1"/>
    <col min="8195" max="8195" width="12.42578125" style="74" customWidth="1"/>
    <col min="8196" max="8196" width="17.7109375" style="74" customWidth="1"/>
    <col min="8197" max="8197" width="4.28515625" style="74" customWidth="1"/>
    <col min="8198" max="8198" width="12.7109375" style="74" customWidth="1"/>
    <col min="8199" max="8199" width="17.7109375" style="74" customWidth="1"/>
    <col min="8200" max="8449" width="9.140625" style="74"/>
    <col min="8450" max="8450" width="37.28515625" style="74" customWidth="1"/>
    <col min="8451" max="8451" width="12.42578125" style="74" customWidth="1"/>
    <col min="8452" max="8452" width="17.7109375" style="74" customWidth="1"/>
    <col min="8453" max="8453" width="4.28515625" style="74" customWidth="1"/>
    <col min="8454" max="8454" width="12.7109375" style="74" customWidth="1"/>
    <col min="8455" max="8455" width="17.7109375" style="74" customWidth="1"/>
    <col min="8456" max="8705" width="9.140625" style="74"/>
    <col min="8706" max="8706" width="37.28515625" style="74" customWidth="1"/>
    <col min="8707" max="8707" width="12.42578125" style="74" customWidth="1"/>
    <col min="8708" max="8708" width="17.7109375" style="74" customWidth="1"/>
    <col min="8709" max="8709" width="4.28515625" style="74" customWidth="1"/>
    <col min="8710" max="8710" width="12.7109375" style="74" customWidth="1"/>
    <col min="8711" max="8711" width="17.7109375" style="74" customWidth="1"/>
    <col min="8712" max="8961" width="9.140625" style="74"/>
    <col min="8962" max="8962" width="37.28515625" style="74" customWidth="1"/>
    <col min="8963" max="8963" width="12.42578125" style="74" customWidth="1"/>
    <col min="8964" max="8964" width="17.7109375" style="74" customWidth="1"/>
    <col min="8965" max="8965" width="4.28515625" style="74" customWidth="1"/>
    <col min="8966" max="8966" width="12.7109375" style="74" customWidth="1"/>
    <col min="8967" max="8967" width="17.7109375" style="74" customWidth="1"/>
    <col min="8968" max="9217" width="9.140625" style="74"/>
    <col min="9218" max="9218" width="37.28515625" style="74" customWidth="1"/>
    <col min="9219" max="9219" width="12.42578125" style="74" customWidth="1"/>
    <col min="9220" max="9220" width="17.7109375" style="74" customWidth="1"/>
    <col min="9221" max="9221" width="4.28515625" style="74" customWidth="1"/>
    <col min="9222" max="9222" width="12.7109375" style="74" customWidth="1"/>
    <col min="9223" max="9223" width="17.7109375" style="74" customWidth="1"/>
    <col min="9224" max="9473" width="9.140625" style="74"/>
    <col min="9474" max="9474" width="37.28515625" style="74" customWidth="1"/>
    <col min="9475" max="9475" width="12.42578125" style="74" customWidth="1"/>
    <col min="9476" max="9476" width="17.7109375" style="74" customWidth="1"/>
    <col min="9477" max="9477" width="4.28515625" style="74" customWidth="1"/>
    <col min="9478" max="9478" width="12.7109375" style="74" customWidth="1"/>
    <col min="9479" max="9479" width="17.7109375" style="74" customWidth="1"/>
    <col min="9480" max="9729" width="9.140625" style="74"/>
    <col min="9730" max="9730" width="37.28515625" style="74" customWidth="1"/>
    <col min="9731" max="9731" width="12.42578125" style="74" customWidth="1"/>
    <col min="9732" max="9732" width="17.7109375" style="74" customWidth="1"/>
    <col min="9733" max="9733" width="4.28515625" style="74" customWidth="1"/>
    <col min="9734" max="9734" width="12.7109375" style="74" customWidth="1"/>
    <col min="9735" max="9735" width="17.7109375" style="74" customWidth="1"/>
    <col min="9736" max="9985" width="9.140625" style="74"/>
    <col min="9986" max="9986" width="37.28515625" style="74" customWidth="1"/>
    <col min="9987" max="9987" width="12.42578125" style="74" customWidth="1"/>
    <col min="9988" max="9988" width="17.7109375" style="74" customWidth="1"/>
    <col min="9989" max="9989" width="4.28515625" style="74" customWidth="1"/>
    <col min="9990" max="9990" width="12.7109375" style="74" customWidth="1"/>
    <col min="9991" max="9991" width="17.7109375" style="74" customWidth="1"/>
    <col min="9992" max="10241" width="9.140625" style="74"/>
    <col min="10242" max="10242" width="37.28515625" style="74" customWidth="1"/>
    <col min="10243" max="10243" width="12.42578125" style="74" customWidth="1"/>
    <col min="10244" max="10244" width="17.7109375" style="74" customWidth="1"/>
    <col min="10245" max="10245" width="4.28515625" style="74" customWidth="1"/>
    <col min="10246" max="10246" width="12.7109375" style="74" customWidth="1"/>
    <col min="10247" max="10247" width="17.7109375" style="74" customWidth="1"/>
    <col min="10248" max="10497" width="9.140625" style="74"/>
    <col min="10498" max="10498" width="37.28515625" style="74" customWidth="1"/>
    <col min="10499" max="10499" width="12.42578125" style="74" customWidth="1"/>
    <col min="10500" max="10500" width="17.7109375" style="74" customWidth="1"/>
    <col min="10501" max="10501" width="4.28515625" style="74" customWidth="1"/>
    <col min="10502" max="10502" width="12.7109375" style="74" customWidth="1"/>
    <col min="10503" max="10503" width="17.7109375" style="74" customWidth="1"/>
    <col min="10504" max="10753" width="9.140625" style="74"/>
    <col min="10754" max="10754" width="37.28515625" style="74" customWidth="1"/>
    <col min="10755" max="10755" width="12.42578125" style="74" customWidth="1"/>
    <col min="10756" max="10756" width="17.7109375" style="74" customWidth="1"/>
    <col min="10757" max="10757" width="4.28515625" style="74" customWidth="1"/>
    <col min="10758" max="10758" width="12.7109375" style="74" customWidth="1"/>
    <col min="10759" max="10759" width="17.7109375" style="74" customWidth="1"/>
    <col min="10760" max="11009" width="9.140625" style="74"/>
    <col min="11010" max="11010" width="37.28515625" style="74" customWidth="1"/>
    <col min="11011" max="11011" width="12.42578125" style="74" customWidth="1"/>
    <col min="11012" max="11012" width="17.7109375" style="74" customWidth="1"/>
    <col min="11013" max="11013" width="4.28515625" style="74" customWidth="1"/>
    <col min="11014" max="11014" width="12.7109375" style="74" customWidth="1"/>
    <col min="11015" max="11015" width="17.7109375" style="74" customWidth="1"/>
    <col min="11016" max="11265" width="9.140625" style="74"/>
    <col min="11266" max="11266" width="37.28515625" style="74" customWidth="1"/>
    <col min="11267" max="11267" width="12.42578125" style="74" customWidth="1"/>
    <col min="11268" max="11268" width="17.7109375" style="74" customWidth="1"/>
    <col min="11269" max="11269" width="4.28515625" style="74" customWidth="1"/>
    <col min="11270" max="11270" width="12.7109375" style="74" customWidth="1"/>
    <col min="11271" max="11271" width="17.7109375" style="74" customWidth="1"/>
    <col min="11272" max="11521" width="9.140625" style="74"/>
    <col min="11522" max="11522" width="37.28515625" style="74" customWidth="1"/>
    <col min="11523" max="11523" width="12.42578125" style="74" customWidth="1"/>
    <col min="11524" max="11524" width="17.7109375" style="74" customWidth="1"/>
    <col min="11525" max="11525" width="4.28515625" style="74" customWidth="1"/>
    <col min="11526" max="11526" width="12.7109375" style="74" customWidth="1"/>
    <col min="11527" max="11527" width="17.7109375" style="74" customWidth="1"/>
    <col min="11528" max="11777" width="9.140625" style="74"/>
    <col min="11778" max="11778" width="37.28515625" style="74" customWidth="1"/>
    <col min="11779" max="11779" width="12.42578125" style="74" customWidth="1"/>
    <col min="11780" max="11780" width="17.7109375" style="74" customWidth="1"/>
    <col min="11781" max="11781" width="4.28515625" style="74" customWidth="1"/>
    <col min="11782" max="11782" width="12.7109375" style="74" customWidth="1"/>
    <col min="11783" max="11783" width="17.7109375" style="74" customWidth="1"/>
    <col min="11784" max="12033" width="9.140625" style="74"/>
    <col min="12034" max="12034" width="37.28515625" style="74" customWidth="1"/>
    <col min="12035" max="12035" width="12.42578125" style="74" customWidth="1"/>
    <col min="12036" max="12036" width="17.7109375" style="74" customWidth="1"/>
    <col min="12037" max="12037" width="4.28515625" style="74" customWidth="1"/>
    <col min="12038" max="12038" width="12.7109375" style="74" customWidth="1"/>
    <col min="12039" max="12039" width="17.7109375" style="74" customWidth="1"/>
    <col min="12040" max="12289" width="9.140625" style="74"/>
    <col min="12290" max="12290" width="37.28515625" style="74" customWidth="1"/>
    <col min="12291" max="12291" width="12.42578125" style="74" customWidth="1"/>
    <col min="12292" max="12292" width="17.7109375" style="74" customWidth="1"/>
    <col min="12293" max="12293" width="4.28515625" style="74" customWidth="1"/>
    <col min="12294" max="12294" width="12.7109375" style="74" customWidth="1"/>
    <col min="12295" max="12295" width="17.7109375" style="74" customWidth="1"/>
    <col min="12296" max="12545" width="9.140625" style="74"/>
    <col min="12546" max="12546" width="37.28515625" style="74" customWidth="1"/>
    <col min="12547" max="12547" width="12.42578125" style="74" customWidth="1"/>
    <col min="12548" max="12548" width="17.7109375" style="74" customWidth="1"/>
    <col min="12549" max="12549" width="4.28515625" style="74" customWidth="1"/>
    <col min="12550" max="12550" width="12.7109375" style="74" customWidth="1"/>
    <col min="12551" max="12551" width="17.7109375" style="74" customWidth="1"/>
    <col min="12552" max="12801" width="9.140625" style="74"/>
    <col min="12802" max="12802" width="37.28515625" style="74" customWidth="1"/>
    <col min="12803" max="12803" width="12.42578125" style="74" customWidth="1"/>
    <col min="12804" max="12804" width="17.7109375" style="74" customWidth="1"/>
    <col min="12805" max="12805" width="4.28515625" style="74" customWidth="1"/>
    <col min="12806" max="12806" width="12.7109375" style="74" customWidth="1"/>
    <col min="12807" max="12807" width="17.7109375" style="74" customWidth="1"/>
    <col min="12808" max="13057" width="9.140625" style="74"/>
    <col min="13058" max="13058" width="37.28515625" style="74" customWidth="1"/>
    <col min="13059" max="13059" width="12.42578125" style="74" customWidth="1"/>
    <col min="13060" max="13060" width="17.7109375" style="74" customWidth="1"/>
    <col min="13061" max="13061" width="4.28515625" style="74" customWidth="1"/>
    <col min="13062" max="13062" width="12.7109375" style="74" customWidth="1"/>
    <col min="13063" max="13063" width="17.7109375" style="74" customWidth="1"/>
    <col min="13064" max="13313" width="9.140625" style="74"/>
    <col min="13314" max="13314" width="37.28515625" style="74" customWidth="1"/>
    <col min="13315" max="13315" width="12.42578125" style="74" customWidth="1"/>
    <col min="13316" max="13316" width="17.7109375" style="74" customWidth="1"/>
    <col min="13317" max="13317" width="4.28515625" style="74" customWidth="1"/>
    <col min="13318" max="13318" width="12.7109375" style="74" customWidth="1"/>
    <col min="13319" max="13319" width="17.7109375" style="74" customWidth="1"/>
    <col min="13320" max="13569" width="9.140625" style="74"/>
    <col min="13570" max="13570" width="37.28515625" style="74" customWidth="1"/>
    <col min="13571" max="13571" width="12.42578125" style="74" customWidth="1"/>
    <col min="13572" max="13572" width="17.7109375" style="74" customWidth="1"/>
    <col min="13573" max="13573" width="4.28515625" style="74" customWidth="1"/>
    <col min="13574" max="13574" width="12.7109375" style="74" customWidth="1"/>
    <col min="13575" max="13575" width="17.7109375" style="74" customWidth="1"/>
    <col min="13576" max="13825" width="9.140625" style="74"/>
    <col min="13826" max="13826" width="37.28515625" style="74" customWidth="1"/>
    <col min="13827" max="13827" width="12.42578125" style="74" customWidth="1"/>
    <col min="13828" max="13828" width="17.7109375" style="74" customWidth="1"/>
    <col min="13829" max="13829" width="4.28515625" style="74" customWidth="1"/>
    <col min="13830" max="13830" width="12.7109375" style="74" customWidth="1"/>
    <col min="13831" max="13831" width="17.7109375" style="74" customWidth="1"/>
    <col min="13832" max="14081" width="9.140625" style="74"/>
    <col min="14082" max="14082" width="37.28515625" style="74" customWidth="1"/>
    <col min="14083" max="14083" width="12.42578125" style="74" customWidth="1"/>
    <col min="14084" max="14084" width="17.7109375" style="74" customWidth="1"/>
    <col min="14085" max="14085" width="4.28515625" style="74" customWidth="1"/>
    <col min="14086" max="14086" width="12.7109375" style="74" customWidth="1"/>
    <col min="14087" max="14087" width="17.7109375" style="74" customWidth="1"/>
    <col min="14088" max="14337" width="9.140625" style="74"/>
    <col min="14338" max="14338" width="37.28515625" style="74" customWidth="1"/>
    <col min="14339" max="14339" width="12.42578125" style="74" customWidth="1"/>
    <col min="14340" max="14340" width="17.7109375" style="74" customWidth="1"/>
    <col min="14341" max="14341" width="4.28515625" style="74" customWidth="1"/>
    <col min="14342" max="14342" width="12.7109375" style="74" customWidth="1"/>
    <col min="14343" max="14343" width="17.7109375" style="74" customWidth="1"/>
    <col min="14344" max="14593" width="9.140625" style="74"/>
    <col min="14594" max="14594" width="37.28515625" style="74" customWidth="1"/>
    <col min="14595" max="14595" width="12.42578125" style="74" customWidth="1"/>
    <col min="14596" max="14596" width="17.7109375" style="74" customWidth="1"/>
    <col min="14597" max="14597" width="4.28515625" style="74" customWidth="1"/>
    <col min="14598" max="14598" width="12.7109375" style="74" customWidth="1"/>
    <col min="14599" max="14599" width="17.7109375" style="74" customWidth="1"/>
    <col min="14600" max="14849" width="9.140625" style="74"/>
    <col min="14850" max="14850" width="37.28515625" style="74" customWidth="1"/>
    <col min="14851" max="14851" width="12.42578125" style="74" customWidth="1"/>
    <col min="14852" max="14852" width="17.7109375" style="74" customWidth="1"/>
    <col min="14853" max="14853" width="4.28515625" style="74" customWidth="1"/>
    <col min="14854" max="14854" width="12.7109375" style="74" customWidth="1"/>
    <col min="14855" max="14855" width="17.7109375" style="74" customWidth="1"/>
    <col min="14856" max="15105" width="9.140625" style="74"/>
    <col min="15106" max="15106" width="37.28515625" style="74" customWidth="1"/>
    <col min="15107" max="15107" width="12.42578125" style="74" customWidth="1"/>
    <col min="15108" max="15108" width="17.7109375" style="74" customWidth="1"/>
    <col min="15109" max="15109" width="4.28515625" style="74" customWidth="1"/>
    <col min="15110" max="15110" width="12.7109375" style="74" customWidth="1"/>
    <col min="15111" max="15111" width="17.7109375" style="74" customWidth="1"/>
    <col min="15112" max="15361" width="9.140625" style="74"/>
    <col min="15362" max="15362" width="37.28515625" style="74" customWidth="1"/>
    <col min="15363" max="15363" width="12.42578125" style="74" customWidth="1"/>
    <col min="15364" max="15364" width="17.7109375" style="74" customWidth="1"/>
    <col min="15365" max="15365" width="4.28515625" style="74" customWidth="1"/>
    <col min="15366" max="15366" width="12.7109375" style="74" customWidth="1"/>
    <col min="15367" max="15367" width="17.7109375" style="74" customWidth="1"/>
    <col min="15368" max="15617" width="9.140625" style="74"/>
    <col min="15618" max="15618" width="37.28515625" style="74" customWidth="1"/>
    <col min="15619" max="15619" width="12.42578125" style="74" customWidth="1"/>
    <col min="15620" max="15620" width="17.7109375" style="74" customWidth="1"/>
    <col min="15621" max="15621" width="4.28515625" style="74" customWidth="1"/>
    <col min="15622" max="15622" width="12.7109375" style="74" customWidth="1"/>
    <col min="15623" max="15623" width="17.7109375" style="74" customWidth="1"/>
    <col min="15624" max="15873" width="9.140625" style="74"/>
    <col min="15874" max="15874" width="37.28515625" style="74" customWidth="1"/>
    <col min="15875" max="15875" width="12.42578125" style="74" customWidth="1"/>
    <col min="15876" max="15876" width="17.7109375" style="74" customWidth="1"/>
    <col min="15877" max="15877" width="4.28515625" style="74" customWidth="1"/>
    <col min="15878" max="15878" width="12.7109375" style="74" customWidth="1"/>
    <col min="15879" max="15879" width="17.7109375" style="74" customWidth="1"/>
    <col min="15880" max="16129" width="9.140625" style="74"/>
    <col min="16130" max="16130" width="37.28515625" style="74" customWidth="1"/>
    <col min="16131" max="16131" width="12.42578125" style="74" customWidth="1"/>
    <col min="16132" max="16132" width="17.7109375" style="74" customWidth="1"/>
    <col min="16133" max="16133" width="4.28515625" style="74" customWidth="1"/>
    <col min="16134" max="16134" width="12.7109375" style="74" customWidth="1"/>
    <col min="16135" max="16135" width="17.7109375" style="74" customWidth="1"/>
    <col min="16136" max="16384" width="9.140625" style="74"/>
  </cols>
  <sheetData>
    <row r="1" spans="2:6">
      <c r="D1" s="165"/>
    </row>
    <row r="2" spans="2:6">
      <c r="D2" s="165"/>
    </row>
    <row r="3" spans="2:6">
      <c r="D3" s="165"/>
    </row>
    <row r="10" spans="2:6">
      <c r="C10" s="166"/>
    </row>
    <row r="11" spans="2:6" ht="18.75" customHeight="1"/>
    <row r="13" spans="2:6">
      <c r="D13" s="230"/>
    </row>
    <row r="14" spans="2:6">
      <c r="E14" s="167"/>
    </row>
    <row r="15" spans="2:6">
      <c r="B15" s="74" t="s">
        <v>382</v>
      </c>
      <c r="C15" s="456" t="s">
        <v>526</v>
      </c>
      <c r="D15" s="456"/>
      <c r="E15" s="456"/>
      <c r="F15" s="264"/>
    </row>
    <row r="16" spans="2:6">
      <c r="B16" s="74" t="s">
        <v>430</v>
      </c>
      <c r="C16" s="456" t="s">
        <v>535</v>
      </c>
      <c r="D16" s="456"/>
      <c r="E16" s="456"/>
    </row>
    <row r="17" spans="1:5">
      <c r="B17" s="74" t="s">
        <v>335</v>
      </c>
      <c r="C17" s="74">
        <f>'Detalle vehiculo'!C9</f>
        <v>0</v>
      </c>
    </row>
    <row r="19" spans="1:5" ht="15.75" thickBot="1">
      <c r="B19" s="168" t="s">
        <v>383</v>
      </c>
      <c r="C19" s="155"/>
      <c r="D19" s="265">
        <f>'Detalle vehiculo'!I11</f>
        <v>133905.76240000001</v>
      </c>
    </row>
    <row r="20" spans="1:5" ht="15">
      <c r="C20" s="170"/>
      <c r="D20" s="155"/>
    </row>
    <row r="21" spans="1:5" ht="15">
      <c r="B21" s="168" t="s">
        <v>384</v>
      </c>
      <c r="C21" s="155"/>
      <c r="D21" s="155"/>
    </row>
    <row r="22" spans="1:5" ht="15">
      <c r="B22" s="74" t="s">
        <v>458</v>
      </c>
      <c r="C22" s="155">
        <f>'Detalle vehiculo'!I16</f>
        <v>0</v>
      </c>
      <c r="D22" s="155"/>
    </row>
    <row r="23" spans="1:5" ht="15">
      <c r="B23" s="74" t="s">
        <v>385</v>
      </c>
      <c r="C23" s="155">
        <f>'Detalle vehiculo'!H20</f>
        <v>5064</v>
      </c>
      <c r="D23" s="171"/>
    </row>
    <row r="24" spans="1:5" ht="15">
      <c r="B24" s="172" t="s">
        <v>477</v>
      </c>
      <c r="C24" s="155">
        <f>'Detalle vehiculo'!H21+'Detalle vehiculo'!H27+'Detalle vehiculo'!I39</f>
        <v>1545</v>
      </c>
      <c r="D24" s="155"/>
    </row>
    <row r="25" spans="1:5" ht="15">
      <c r="A25" s="173" t="s">
        <v>386</v>
      </c>
      <c r="B25" s="172" t="s">
        <v>459</v>
      </c>
      <c r="C25" s="155">
        <v>496.53</v>
      </c>
      <c r="D25" s="155"/>
    </row>
    <row r="26" spans="1:5" ht="15">
      <c r="A26" s="173" t="s">
        <v>386</v>
      </c>
      <c r="B26" s="172" t="s">
        <v>460</v>
      </c>
      <c r="C26" s="155">
        <v>148.19999999999999</v>
      </c>
      <c r="D26" s="155"/>
    </row>
    <row r="27" spans="1:5" ht="15">
      <c r="B27" s="74" t="s">
        <v>387</v>
      </c>
      <c r="C27" s="174">
        <f>'Detalle vehiculo'!I48</f>
        <v>400</v>
      </c>
      <c r="D27" s="174">
        <f>SUM(C22:C27)</f>
        <v>7653.73</v>
      </c>
    </row>
    <row r="28" spans="1:5" ht="20.25" customHeight="1" thickBot="1">
      <c r="B28" s="74" t="s">
        <v>388</v>
      </c>
      <c r="C28" s="155"/>
      <c r="D28" s="175">
        <f>D19-D27</f>
        <v>126252.03240000001</v>
      </c>
    </row>
    <row r="29" spans="1:5" ht="20.25" customHeight="1">
      <c r="B29" s="172"/>
      <c r="C29" s="176"/>
      <c r="D29" s="177"/>
    </row>
    <row r="30" spans="1:5" ht="22.5" customHeight="1">
      <c r="B30" s="457" t="s">
        <v>461</v>
      </c>
      <c r="C30" s="457"/>
      <c r="D30" s="457"/>
      <c r="E30" s="457"/>
    </row>
    <row r="31" spans="1:5" ht="15">
      <c r="B31" s="178" t="s">
        <v>389</v>
      </c>
      <c r="C31" s="155"/>
      <c r="D31" s="177"/>
    </row>
    <row r="32" spans="1:5" ht="15">
      <c r="B32" s="178"/>
      <c r="C32" s="155"/>
      <c r="D32" s="177"/>
    </row>
    <row r="33" spans="2:4" ht="15">
      <c r="B33" s="178" t="s">
        <v>390</v>
      </c>
      <c r="C33" s="155"/>
      <c r="D33" s="177"/>
    </row>
  </sheetData>
  <mergeCells count="3">
    <mergeCell ref="C16:E16"/>
    <mergeCell ref="B30:E30"/>
    <mergeCell ref="C15:E15"/>
  </mergeCells>
  <pageMargins left="0.47244094488188981" right="0.47244094488188981" top="1.37" bottom="1.05" header="0.59055118110236227" footer="0.24"/>
  <pageSetup orientation="portrait" horizontalDpi="4294967294" verticalDpi="4294967294" r:id="rId1"/>
  <headerFooter alignWithMargins="0">
    <oddHeader>&amp;L&amp;G</oddHeader>
    <oddFooter>&amp;L&amp;G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5" tint="-0.249977111117893"/>
  </sheetPr>
  <dimension ref="A1:I99"/>
  <sheetViews>
    <sheetView showGridLines="0" view="pageBreakPreview" topLeftCell="A9" zoomScaleNormal="115" zoomScaleSheetLayoutView="100" workbookViewId="0">
      <selection activeCell="C14" sqref="C14:G14"/>
    </sheetView>
  </sheetViews>
  <sheetFormatPr baseColWidth="10" defaultRowHeight="12.75"/>
  <cols>
    <col min="1" max="1" width="3.42578125" style="74" customWidth="1"/>
    <col min="2" max="2" width="28.85546875" style="74" customWidth="1"/>
    <col min="3" max="3" width="12.7109375" style="74" customWidth="1"/>
    <col min="4" max="4" width="7" style="74" customWidth="1"/>
    <col min="5" max="5" width="13.7109375" style="74" customWidth="1"/>
    <col min="6" max="6" width="10" style="74" customWidth="1"/>
    <col min="7" max="7" width="15" style="74" customWidth="1"/>
    <col min="8" max="8" width="6.85546875" style="74" customWidth="1"/>
    <col min="9" max="9" width="14.28515625" style="74" bestFit="1" customWidth="1"/>
    <col min="10" max="256" width="11.42578125" style="74"/>
    <col min="257" max="257" width="3.42578125" style="74" customWidth="1"/>
    <col min="258" max="258" width="28.85546875" style="74" customWidth="1"/>
    <col min="259" max="259" width="12.7109375" style="74" customWidth="1"/>
    <col min="260" max="260" width="7" style="74" customWidth="1"/>
    <col min="261" max="261" width="13.7109375" style="74" customWidth="1"/>
    <col min="262" max="262" width="10" style="74" customWidth="1"/>
    <col min="263" max="263" width="15" style="74" customWidth="1"/>
    <col min="264" max="264" width="6.85546875" style="74" customWidth="1"/>
    <col min="265" max="265" width="14.28515625" style="74" bestFit="1" customWidth="1"/>
    <col min="266" max="512" width="11.42578125" style="74"/>
    <col min="513" max="513" width="3.42578125" style="74" customWidth="1"/>
    <col min="514" max="514" width="28.85546875" style="74" customWidth="1"/>
    <col min="515" max="515" width="12.7109375" style="74" customWidth="1"/>
    <col min="516" max="516" width="7" style="74" customWidth="1"/>
    <col min="517" max="517" width="13.7109375" style="74" customWidth="1"/>
    <col min="518" max="518" width="10" style="74" customWidth="1"/>
    <col min="519" max="519" width="15" style="74" customWidth="1"/>
    <col min="520" max="520" width="6.85546875" style="74" customWidth="1"/>
    <col min="521" max="521" width="14.28515625" style="74" bestFit="1" customWidth="1"/>
    <col min="522" max="768" width="11.42578125" style="74"/>
    <col min="769" max="769" width="3.42578125" style="74" customWidth="1"/>
    <col min="770" max="770" width="28.85546875" style="74" customWidth="1"/>
    <col min="771" max="771" width="12.7109375" style="74" customWidth="1"/>
    <col min="772" max="772" width="7" style="74" customWidth="1"/>
    <col min="773" max="773" width="13.7109375" style="74" customWidth="1"/>
    <col min="774" max="774" width="10" style="74" customWidth="1"/>
    <col min="775" max="775" width="15" style="74" customWidth="1"/>
    <col min="776" max="776" width="6.85546875" style="74" customWidth="1"/>
    <col min="777" max="777" width="14.28515625" style="74" bestFit="1" customWidth="1"/>
    <col min="778" max="1024" width="11.42578125" style="74"/>
    <col min="1025" max="1025" width="3.42578125" style="74" customWidth="1"/>
    <col min="1026" max="1026" width="28.85546875" style="74" customWidth="1"/>
    <col min="1027" max="1027" width="12.7109375" style="74" customWidth="1"/>
    <col min="1028" max="1028" width="7" style="74" customWidth="1"/>
    <col min="1029" max="1029" width="13.7109375" style="74" customWidth="1"/>
    <col min="1030" max="1030" width="10" style="74" customWidth="1"/>
    <col min="1031" max="1031" width="15" style="74" customWidth="1"/>
    <col min="1032" max="1032" width="6.85546875" style="74" customWidth="1"/>
    <col min="1033" max="1033" width="14.28515625" style="74" bestFit="1" customWidth="1"/>
    <col min="1034" max="1280" width="11.42578125" style="74"/>
    <col min="1281" max="1281" width="3.42578125" style="74" customWidth="1"/>
    <col min="1282" max="1282" width="28.85546875" style="74" customWidth="1"/>
    <col min="1283" max="1283" width="12.7109375" style="74" customWidth="1"/>
    <col min="1284" max="1284" width="7" style="74" customWidth="1"/>
    <col min="1285" max="1285" width="13.7109375" style="74" customWidth="1"/>
    <col min="1286" max="1286" width="10" style="74" customWidth="1"/>
    <col min="1287" max="1287" width="15" style="74" customWidth="1"/>
    <col min="1288" max="1288" width="6.85546875" style="74" customWidth="1"/>
    <col min="1289" max="1289" width="14.28515625" style="74" bestFit="1" customWidth="1"/>
    <col min="1290" max="1536" width="11.42578125" style="74"/>
    <col min="1537" max="1537" width="3.42578125" style="74" customWidth="1"/>
    <col min="1538" max="1538" width="28.85546875" style="74" customWidth="1"/>
    <col min="1539" max="1539" width="12.7109375" style="74" customWidth="1"/>
    <col min="1540" max="1540" width="7" style="74" customWidth="1"/>
    <col min="1541" max="1541" width="13.7109375" style="74" customWidth="1"/>
    <col min="1542" max="1542" width="10" style="74" customWidth="1"/>
    <col min="1543" max="1543" width="15" style="74" customWidth="1"/>
    <col min="1544" max="1544" width="6.85546875" style="74" customWidth="1"/>
    <col min="1545" max="1545" width="14.28515625" style="74" bestFit="1" customWidth="1"/>
    <col min="1546" max="1792" width="11.42578125" style="74"/>
    <col min="1793" max="1793" width="3.42578125" style="74" customWidth="1"/>
    <col min="1794" max="1794" width="28.85546875" style="74" customWidth="1"/>
    <col min="1795" max="1795" width="12.7109375" style="74" customWidth="1"/>
    <col min="1796" max="1796" width="7" style="74" customWidth="1"/>
    <col min="1797" max="1797" width="13.7109375" style="74" customWidth="1"/>
    <col min="1798" max="1798" width="10" style="74" customWidth="1"/>
    <col min="1799" max="1799" width="15" style="74" customWidth="1"/>
    <col min="1800" max="1800" width="6.85546875" style="74" customWidth="1"/>
    <col min="1801" max="1801" width="14.28515625" style="74" bestFit="1" customWidth="1"/>
    <col min="1802" max="2048" width="11.42578125" style="74"/>
    <col min="2049" max="2049" width="3.42578125" style="74" customWidth="1"/>
    <col min="2050" max="2050" width="28.85546875" style="74" customWidth="1"/>
    <col min="2051" max="2051" width="12.7109375" style="74" customWidth="1"/>
    <col min="2052" max="2052" width="7" style="74" customWidth="1"/>
    <col min="2053" max="2053" width="13.7109375" style="74" customWidth="1"/>
    <col min="2054" max="2054" width="10" style="74" customWidth="1"/>
    <col min="2055" max="2055" width="15" style="74" customWidth="1"/>
    <col min="2056" max="2056" width="6.85546875" style="74" customWidth="1"/>
    <col min="2057" max="2057" width="14.28515625" style="74" bestFit="1" customWidth="1"/>
    <col min="2058" max="2304" width="11.42578125" style="74"/>
    <col min="2305" max="2305" width="3.42578125" style="74" customWidth="1"/>
    <col min="2306" max="2306" width="28.85546875" style="74" customWidth="1"/>
    <col min="2307" max="2307" width="12.7109375" style="74" customWidth="1"/>
    <col min="2308" max="2308" width="7" style="74" customWidth="1"/>
    <col min="2309" max="2309" width="13.7109375" style="74" customWidth="1"/>
    <col min="2310" max="2310" width="10" style="74" customWidth="1"/>
    <col min="2311" max="2311" width="15" style="74" customWidth="1"/>
    <col min="2312" max="2312" width="6.85546875" style="74" customWidth="1"/>
    <col min="2313" max="2313" width="14.28515625" style="74" bestFit="1" customWidth="1"/>
    <col min="2314" max="2560" width="11.42578125" style="74"/>
    <col min="2561" max="2561" width="3.42578125" style="74" customWidth="1"/>
    <col min="2562" max="2562" width="28.85546875" style="74" customWidth="1"/>
    <col min="2563" max="2563" width="12.7109375" style="74" customWidth="1"/>
    <col min="2564" max="2564" width="7" style="74" customWidth="1"/>
    <col min="2565" max="2565" width="13.7109375" style="74" customWidth="1"/>
    <col min="2566" max="2566" width="10" style="74" customWidth="1"/>
    <col min="2567" max="2567" width="15" style="74" customWidth="1"/>
    <col min="2568" max="2568" width="6.85546875" style="74" customWidth="1"/>
    <col min="2569" max="2569" width="14.28515625" style="74" bestFit="1" customWidth="1"/>
    <col min="2570" max="2816" width="11.42578125" style="74"/>
    <col min="2817" max="2817" width="3.42578125" style="74" customWidth="1"/>
    <col min="2818" max="2818" width="28.85546875" style="74" customWidth="1"/>
    <col min="2819" max="2819" width="12.7109375" style="74" customWidth="1"/>
    <col min="2820" max="2820" width="7" style="74" customWidth="1"/>
    <col min="2821" max="2821" width="13.7109375" style="74" customWidth="1"/>
    <col min="2822" max="2822" width="10" style="74" customWidth="1"/>
    <col min="2823" max="2823" width="15" style="74" customWidth="1"/>
    <col min="2824" max="2824" width="6.85546875" style="74" customWidth="1"/>
    <col min="2825" max="2825" width="14.28515625" style="74" bestFit="1" customWidth="1"/>
    <col min="2826" max="3072" width="11.42578125" style="74"/>
    <col min="3073" max="3073" width="3.42578125" style="74" customWidth="1"/>
    <col min="3074" max="3074" width="28.85546875" style="74" customWidth="1"/>
    <col min="3075" max="3075" width="12.7109375" style="74" customWidth="1"/>
    <col min="3076" max="3076" width="7" style="74" customWidth="1"/>
    <col min="3077" max="3077" width="13.7109375" style="74" customWidth="1"/>
    <col min="3078" max="3078" width="10" style="74" customWidth="1"/>
    <col min="3079" max="3079" width="15" style="74" customWidth="1"/>
    <col min="3080" max="3080" width="6.85546875" style="74" customWidth="1"/>
    <col min="3081" max="3081" width="14.28515625" style="74" bestFit="1" customWidth="1"/>
    <col min="3082" max="3328" width="11.42578125" style="74"/>
    <col min="3329" max="3329" width="3.42578125" style="74" customWidth="1"/>
    <col min="3330" max="3330" width="28.85546875" style="74" customWidth="1"/>
    <col min="3331" max="3331" width="12.7109375" style="74" customWidth="1"/>
    <col min="3332" max="3332" width="7" style="74" customWidth="1"/>
    <col min="3333" max="3333" width="13.7109375" style="74" customWidth="1"/>
    <col min="3334" max="3334" width="10" style="74" customWidth="1"/>
    <col min="3335" max="3335" width="15" style="74" customWidth="1"/>
    <col min="3336" max="3336" width="6.85546875" style="74" customWidth="1"/>
    <col min="3337" max="3337" width="14.28515625" style="74" bestFit="1" customWidth="1"/>
    <col min="3338" max="3584" width="11.42578125" style="74"/>
    <col min="3585" max="3585" width="3.42578125" style="74" customWidth="1"/>
    <col min="3586" max="3586" width="28.85546875" style="74" customWidth="1"/>
    <col min="3587" max="3587" width="12.7109375" style="74" customWidth="1"/>
    <col min="3588" max="3588" width="7" style="74" customWidth="1"/>
    <col min="3589" max="3589" width="13.7109375" style="74" customWidth="1"/>
    <col min="3590" max="3590" width="10" style="74" customWidth="1"/>
    <col min="3591" max="3591" width="15" style="74" customWidth="1"/>
    <col min="3592" max="3592" width="6.85546875" style="74" customWidth="1"/>
    <col min="3593" max="3593" width="14.28515625" style="74" bestFit="1" customWidth="1"/>
    <col min="3594" max="3840" width="11.42578125" style="74"/>
    <col min="3841" max="3841" width="3.42578125" style="74" customWidth="1"/>
    <col min="3842" max="3842" width="28.85546875" style="74" customWidth="1"/>
    <col min="3843" max="3843" width="12.7109375" style="74" customWidth="1"/>
    <col min="3844" max="3844" width="7" style="74" customWidth="1"/>
    <col min="3845" max="3845" width="13.7109375" style="74" customWidth="1"/>
    <col min="3846" max="3846" width="10" style="74" customWidth="1"/>
    <col min="3847" max="3847" width="15" style="74" customWidth="1"/>
    <col min="3848" max="3848" width="6.85546875" style="74" customWidth="1"/>
    <col min="3849" max="3849" width="14.28515625" style="74" bestFit="1" customWidth="1"/>
    <col min="3850" max="4096" width="11.42578125" style="74"/>
    <col min="4097" max="4097" width="3.42578125" style="74" customWidth="1"/>
    <col min="4098" max="4098" width="28.85546875" style="74" customWidth="1"/>
    <col min="4099" max="4099" width="12.7109375" style="74" customWidth="1"/>
    <col min="4100" max="4100" width="7" style="74" customWidth="1"/>
    <col min="4101" max="4101" width="13.7109375" style="74" customWidth="1"/>
    <col min="4102" max="4102" width="10" style="74" customWidth="1"/>
    <col min="4103" max="4103" width="15" style="74" customWidth="1"/>
    <col min="4104" max="4104" width="6.85546875" style="74" customWidth="1"/>
    <col min="4105" max="4105" width="14.28515625" style="74" bestFit="1" customWidth="1"/>
    <col min="4106" max="4352" width="11.42578125" style="74"/>
    <col min="4353" max="4353" width="3.42578125" style="74" customWidth="1"/>
    <col min="4354" max="4354" width="28.85546875" style="74" customWidth="1"/>
    <col min="4355" max="4355" width="12.7109375" style="74" customWidth="1"/>
    <col min="4356" max="4356" width="7" style="74" customWidth="1"/>
    <col min="4357" max="4357" width="13.7109375" style="74" customWidth="1"/>
    <col min="4358" max="4358" width="10" style="74" customWidth="1"/>
    <col min="4359" max="4359" width="15" style="74" customWidth="1"/>
    <col min="4360" max="4360" width="6.85546875" style="74" customWidth="1"/>
    <col min="4361" max="4361" width="14.28515625" style="74" bestFit="1" customWidth="1"/>
    <col min="4362" max="4608" width="11.42578125" style="74"/>
    <col min="4609" max="4609" width="3.42578125" style="74" customWidth="1"/>
    <col min="4610" max="4610" width="28.85546875" style="74" customWidth="1"/>
    <col min="4611" max="4611" width="12.7109375" style="74" customWidth="1"/>
    <col min="4612" max="4612" width="7" style="74" customWidth="1"/>
    <col min="4613" max="4613" width="13.7109375" style="74" customWidth="1"/>
    <col min="4614" max="4614" width="10" style="74" customWidth="1"/>
    <col min="4615" max="4615" width="15" style="74" customWidth="1"/>
    <col min="4616" max="4616" width="6.85546875" style="74" customWidth="1"/>
    <col min="4617" max="4617" width="14.28515625" style="74" bestFit="1" customWidth="1"/>
    <col min="4618" max="4864" width="11.42578125" style="74"/>
    <col min="4865" max="4865" width="3.42578125" style="74" customWidth="1"/>
    <col min="4866" max="4866" width="28.85546875" style="74" customWidth="1"/>
    <col min="4867" max="4867" width="12.7109375" style="74" customWidth="1"/>
    <col min="4868" max="4868" width="7" style="74" customWidth="1"/>
    <col min="4869" max="4869" width="13.7109375" style="74" customWidth="1"/>
    <col min="4870" max="4870" width="10" style="74" customWidth="1"/>
    <col min="4871" max="4871" width="15" style="74" customWidth="1"/>
    <col min="4872" max="4872" width="6.85546875" style="74" customWidth="1"/>
    <col min="4873" max="4873" width="14.28515625" style="74" bestFit="1" customWidth="1"/>
    <col min="4874" max="5120" width="11.42578125" style="74"/>
    <col min="5121" max="5121" width="3.42578125" style="74" customWidth="1"/>
    <col min="5122" max="5122" width="28.85546875" style="74" customWidth="1"/>
    <col min="5123" max="5123" width="12.7109375" style="74" customWidth="1"/>
    <col min="5124" max="5124" width="7" style="74" customWidth="1"/>
    <col min="5125" max="5125" width="13.7109375" style="74" customWidth="1"/>
    <col min="5126" max="5126" width="10" style="74" customWidth="1"/>
    <col min="5127" max="5127" width="15" style="74" customWidth="1"/>
    <col min="5128" max="5128" width="6.85546875" style="74" customWidth="1"/>
    <col min="5129" max="5129" width="14.28515625" style="74" bestFit="1" customWidth="1"/>
    <col min="5130" max="5376" width="11.42578125" style="74"/>
    <col min="5377" max="5377" width="3.42578125" style="74" customWidth="1"/>
    <col min="5378" max="5378" width="28.85546875" style="74" customWidth="1"/>
    <col min="5379" max="5379" width="12.7109375" style="74" customWidth="1"/>
    <col min="5380" max="5380" width="7" style="74" customWidth="1"/>
    <col min="5381" max="5381" width="13.7109375" style="74" customWidth="1"/>
    <col min="5382" max="5382" width="10" style="74" customWidth="1"/>
    <col min="5383" max="5383" width="15" style="74" customWidth="1"/>
    <col min="5384" max="5384" width="6.85546875" style="74" customWidth="1"/>
    <col min="5385" max="5385" width="14.28515625" style="74" bestFit="1" customWidth="1"/>
    <col min="5386" max="5632" width="11.42578125" style="74"/>
    <col min="5633" max="5633" width="3.42578125" style="74" customWidth="1"/>
    <col min="5634" max="5634" width="28.85546875" style="74" customWidth="1"/>
    <col min="5635" max="5635" width="12.7109375" style="74" customWidth="1"/>
    <col min="5636" max="5636" width="7" style="74" customWidth="1"/>
    <col min="5637" max="5637" width="13.7109375" style="74" customWidth="1"/>
    <col min="5638" max="5638" width="10" style="74" customWidth="1"/>
    <col min="5639" max="5639" width="15" style="74" customWidth="1"/>
    <col min="5640" max="5640" width="6.85546875" style="74" customWidth="1"/>
    <col min="5641" max="5641" width="14.28515625" style="74" bestFit="1" customWidth="1"/>
    <col min="5642" max="5888" width="11.42578125" style="74"/>
    <col min="5889" max="5889" width="3.42578125" style="74" customWidth="1"/>
    <col min="5890" max="5890" width="28.85546875" style="74" customWidth="1"/>
    <col min="5891" max="5891" width="12.7109375" style="74" customWidth="1"/>
    <col min="5892" max="5892" width="7" style="74" customWidth="1"/>
    <col min="5893" max="5893" width="13.7109375" style="74" customWidth="1"/>
    <col min="5894" max="5894" width="10" style="74" customWidth="1"/>
    <col min="5895" max="5895" width="15" style="74" customWidth="1"/>
    <col min="5896" max="5896" width="6.85546875" style="74" customWidth="1"/>
    <col min="5897" max="5897" width="14.28515625" style="74" bestFit="1" customWidth="1"/>
    <col min="5898" max="6144" width="11.42578125" style="74"/>
    <col min="6145" max="6145" width="3.42578125" style="74" customWidth="1"/>
    <col min="6146" max="6146" width="28.85546875" style="74" customWidth="1"/>
    <col min="6147" max="6147" width="12.7109375" style="74" customWidth="1"/>
    <col min="6148" max="6148" width="7" style="74" customWidth="1"/>
    <col min="6149" max="6149" width="13.7109375" style="74" customWidth="1"/>
    <col min="6150" max="6150" width="10" style="74" customWidth="1"/>
    <col min="6151" max="6151" width="15" style="74" customWidth="1"/>
    <col min="6152" max="6152" width="6.85546875" style="74" customWidth="1"/>
    <col min="6153" max="6153" width="14.28515625" style="74" bestFit="1" customWidth="1"/>
    <col min="6154" max="6400" width="11.42578125" style="74"/>
    <col min="6401" max="6401" width="3.42578125" style="74" customWidth="1"/>
    <col min="6402" max="6402" width="28.85546875" style="74" customWidth="1"/>
    <col min="6403" max="6403" width="12.7109375" style="74" customWidth="1"/>
    <col min="6404" max="6404" width="7" style="74" customWidth="1"/>
    <col min="6405" max="6405" width="13.7109375" style="74" customWidth="1"/>
    <col min="6406" max="6406" width="10" style="74" customWidth="1"/>
    <col min="6407" max="6407" width="15" style="74" customWidth="1"/>
    <col min="6408" max="6408" width="6.85546875" style="74" customWidth="1"/>
    <col min="6409" max="6409" width="14.28515625" style="74" bestFit="1" customWidth="1"/>
    <col min="6410" max="6656" width="11.42578125" style="74"/>
    <col min="6657" max="6657" width="3.42578125" style="74" customWidth="1"/>
    <col min="6658" max="6658" width="28.85546875" style="74" customWidth="1"/>
    <col min="6659" max="6659" width="12.7109375" style="74" customWidth="1"/>
    <col min="6660" max="6660" width="7" style="74" customWidth="1"/>
    <col min="6661" max="6661" width="13.7109375" style="74" customWidth="1"/>
    <col min="6662" max="6662" width="10" style="74" customWidth="1"/>
    <col min="6663" max="6663" width="15" style="74" customWidth="1"/>
    <col min="6664" max="6664" width="6.85546875" style="74" customWidth="1"/>
    <col min="6665" max="6665" width="14.28515625" style="74" bestFit="1" customWidth="1"/>
    <col min="6666" max="6912" width="11.42578125" style="74"/>
    <col min="6913" max="6913" width="3.42578125" style="74" customWidth="1"/>
    <col min="6914" max="6914" width="28.85546875" style="74" customWidth="1"/>
    <col min="6915" max="6915" width="12.7109375" style="74" customWidth="1"/>
    <col min="6916" max="6916" width="7" style="74" customWidth="1"/>
    <col min="6917" max="6917" width="13.7109375" style="74" customWidth="1"/>
    <col min="6918" max="6918" width="10" style="74" customWidth="1"/>
    <col min="6919" max="6919" width="15" style="74" customWidth="1"/>
    <col min="6920" max="6920" width="6.85546875" style="74" customWidth="1"/>
    <col min="6921" max="6921" width="14.28515625" style="74" bestFit="1" customWidth="1"/>
    <col min="6922" max="7168" width="11.42578125" style="74"/>
    <col min="7169" max="7169" width="3.42578125" style="74" customWidth="1"/>
    <col min="7170" max="7170" width="28.85546875" style="74" customWidth="1"/>
    <col min="7171" max="7171" width="12.7109375" style="74" customWidth="1"/>
    <col min="7172" max="7172" width="7" style="74" customWidth="1"/>
    <col min="7173" max="7173" width="13.7109375" style="74" customWidth="1"/>
    <col min="7174" max="7174" width="10" style="74" customWidth="1"/>
    <col min="7175" max="7175" width="15" style="74" customWidth="1"/>
    <col min="7176" max="7176" width="6.85546875" style="74" customWidth="1"/>
    <col min="7177" max="7177" width="14.28515625" style="74" bestFit="1" customWidth="1"/>
    <col min="7178" max="7424" width="11.42578125" style="74"/>
    <col min="7425" max="7425" width="3.42578125" style="74" customWidth="1"/>
    <col min="7426" max="7426" width="28.85546875" style="74" customWidth="1"/>
    <col min="7427" max="7427" width="12.7109375" style="74" customWidth="1"/>
    <col min="7428" max="7428" width="7" style="74" customWidth="1"/>
    <col min="7429" max="7429" width="13.7109375" style="74" customWidth="1"/>
    <col min="7430" max="7430" width="10" style="74" customWidth="1"/>
    <col min="7431" max="7431" width="15" style="74" customWidth="1"/>
    <col min="7432" max="7432" width="6.85546875" style="74" customWidth="1"/>
    <col min="7433" max="7433" width="14.28515625" style="74" bestFit="1" customWidth="1"/>
    <col min="7434" max="7680" width="11.42578125" style="74"/>
    <col min="7681" max="7681" width="3.42578125" style="74" customWidth="1"/>
    <col min="7682" max="7682" width="28.85546875" style="74" customWidth="1"/>
    <col min="7683" max="7683" width="12.7109375" style="74" customWidth="1"/>
    <col min="7684" max="7684" width="7" style="74" customWidth="1"/>
    <col min="7685" max="7685" width="13.7109375" style="74" customWidth="1"/>
    <col min="7686" max="7686" width="10" style="74" customWidth="1"/>
    <col min="7687" max="7687" width="15" style="74" customWidth="1"/>
    <col min="7688" max="7688" width="6.85546875" style="74" customWidth="1"/>
    <col min="7689" max="7689" width="14.28515625" style="74" bestFit="1" customWidth="1"/>
    <col min="7690" max="7936" width="11.42578125" style="74"/>
    <col min="7937" max="7937" width="3.42578125" style="74" customWidth="1"/>
    <col min="7938" max="7938" width="28.85546875" style="74" customWidth="1"/>
    <col min="7939" max="7939" width="12.7109375" style="74" customWidth="1"/>
    <col min="7940" max="7940" width="7" style="74" customWidth="1"/>
    <col min="7941" max="7941" width="13.7109375" style="74" customWidth="1"/>
    <col min="7942" max="7942" width="10" style="74" customWidth="1"/>
    <col min="7943" max="7943" width="15" style="74" customWidth="1"/>
    <col min="7944" max="7944" width="6.85546875" style="74" customWidth="1"/>
    <col min="7945" max="7945" width="14.28515625" style="74" bestFit="1" customWidth="1"/>
    <col min="7946" max="8192" width="11.42578125" style="74"/>
    <col min="8193" max="8193" width="3.42578125" style="74" customWidth="1"/>
    <col min="8194" max="8194" width="28.85546875" style="74" customWidth="1"/>
    <col min="8195" max="8195" width="12.7109375" style="74" customWidth="1"/>
    <col min="8196" max="8196" width="7" style="74" customWidth="1"/>
    <col min="8197" max="8197" width="13.7109375" style="74" customWidth="1"/>
    <col min="8198" max="8198" width="10" style="74" customWidth="1"/>
    <col min="8199" max="8199" width="15" style="74" customWidth="1"/>
    <col min="8200" max="8200" width="6.85546875" style="74" customWidth="1"/>
    <col min="8201" max="8201" width="14.28515625" style="74" bestFit="1" customWidth="1"/>
    <col min="8202" max="8448" width="11.42578125" style="74"/>
    <col min="8449" max="8449" width="3.42578125" style="74" customWidth="1"/>
    <col min="8450" max="8450" width="28.85546875" style="74" customWidth="1"/>
    <col min="8451" max="8451" width="12.7109375" style="74" customWidth="1"/>
    <col min="8452" max="8452" width="7" style="74" customWidth="1"/>
    <col min="8453" max="8453" width="13.7109375" style="74" customWidth="1"/>
    <col min="8454" max="8454" width="10" style="74" customWidth="1"/>
    <col min="8455" max="8455" width="15" style="74" customWidth="1"/>
    <col min="8456" max="8456" width="6.85546875" style="74" customWidth="1"/>
    <col min="8457" max="8457" width="14.28515625" style="74" bestFit="1" customWidth="1"/>
    <col min="8458" max="8704" width="11.42578125" style="74"/>
    <col min="8705" max="8705" width="3.42578125" style="74" customWidth="1"/>
    <col min="8706" max="8706" width="28.85546875" style="74" customWidth="1"/>
    <col min="8707" max="8707" width="12.7109375" style="74" customWidth="1"/>
    <col min="8708" max="8708" width="7" style="74" customWidth="1"/>
    <col min="8709" max="8709" width="13.7109375" style="74" customWidth="1"/>
    <col min="8710" max="8710" width="10" style="74" customWidth="1"/>
    <col min="8711" max="8711" width="15" style="74" customWidth="1"/>
    <col min="8712" max="8712" width="6.85546875" style="74" customWidth="1"/>
    <col min="8713" max="8713" width="14.28515625" style="74" bestFit="1" customWidth="1"/>
    <col min="8714" max="8960" width="11.42578125" style="74"/>
    <col min="8961" max="8961" width="3.42578125" style="74" customWidth="1"/>
    <col min="8962" max="8962" width="28.85546875" style="74" customWidth="1"/>
    <col min="8963" max="8963" width="12.7109375" style="74" customWidth="1"/>
    <col min="8964" max="8964" width="7" style="74" customWidth="1"/>
    <col min="8965" max="8965" width="13.7109375" style="74" customWidth="1"/>
    <col min="8966" max="8966" width="10" style="74" customWidth="1"/>
    <col min="8967" max="8967" width="15" style="74" customWidth="1"/>
    <col min="8968" max="8968" width="6.85546875" style="74" customWidth="1"/>
    <col min="8969" max="8969" width="14.28515625" style="74" bestFit="1" customWidth="1"/>
    <col min="8970" max="9216" width="11.42578125" style="74"/>
    <col min="9217" max="9217" width="3.42578125" style="74" customWidth="1"/>
    <col min="9218" max="9218" width="28.85546875" style="74" customWidth="1"/>
    <col min="9219" max="9219" width="12.7109375" style="74" customWidth="1"/>
    <col min="9220" max="9220" width="7" style="74" customWidth="1"/>
    <col min="9221" max="9221" width="13.7109375" style="74" customWidth="1"/>
    <col min="9222" max="9222" width="10" style="74" customWidth="1"/>
    <col min="9223" max="9223" width="15" style="74" customWidth="1"/>
    <col min="9224" max="9224" width="6.85546875" style="74" customWidth="1"/>
    <col min="9225" max="9225" width="14.28515625" style="74" bestFit="1" customWidth="1"/>
    <col min="9226" max="9472" width="11.42578125" style="74"/>
    <col min="9473" max="9473" width="3.42578125" style="74" customWidth="1"/>
    <col min="9474" max="9474" width="28.85546875" style="74" customWidth="1"/>
    <col min="9475" max="9475" width="12.7109375" style="74" customWidth="1"/>
    <col min="9476" max="9476" width="7" style="74" customWidth="1"/>
    <col min="9477" max="9477" width="13.7109375" style="74" customWidth="1"/>
    <col min="9478" max="9478" width="10" style="74" customWidth="1"/>
    <col min="9479" max="9479" width="15" style="74" customWidth="1"/>
    <col min="9480" max="9480" width="6.85546875" style="74" customWidth="1"/>
    <col min="9481" max="9481" width="14.28515625" style="74" bestFit="1" customWidth="1"/>
    <col min="9482" max="9728" width="11.42578125" style="74"/>
    <col min="9729" max="9729" width="3.42578125" style="74" customWidth="1"/>
    <col min="9730" max="9730" width="28.85546875" style="74" customWidth="1"/>
    <col min="9731" max="9731" width="12.7109375" style="74" customWidth="1"/>
    <col min="9732" max="9732" width="7" style="74" customWidth="1"/>
    <col min="9733" max="9733" width="13.7109375" style="74" customWidth="1"/>
    <col min="9734" max="9734" width="10" style="74" customWidth="1"/>
    <col min="9735" max="9735" width="15" style="74" customWidth="1"/>
    <col min="9736" max="9736" width="6.85546875" style="74" customWidth="1"/>
    <col min="9737" max="9737" width="14.28515625" style="74" bestFit="1" customWidth="1"/>
    <col min="9738" max="9984" width="11.42578125" style="74"/>
    <col min="9985" max="9985" width="3.42578125" style="74" customWidth="1"/>
    <col min="9986" max="9986" width="28.85546875" style="74" customWidth="1"/>
    <col min="9987" max="9987" width="12.7109375" style="74" customWidth="1"/>
    <col min="9988" max="9988" width="7" style="74" customWidth="1"/>
    <col min="9989" max="9989" width="13.7109375" style="74" customWidth="1"/>
    <col min="9990" max="9990" width="10" style="74" customWidth="1"/>
    <col min="9991" max="9991" width="15" style="74" customWidth="1"/>
    <col min="9992" max="9992" width="6.85546875" style="74" customWidth="1"/>
    <col min="9993" max="9993" width="14.28515625" style="74" bestFit="1" customWidth="1"/>
    <col min="9994" max="10240" width="11.42578125" style="74"/>
    <col min="10241" max="10241" width="3.42578125" style="74" customWidth="1"/>
    <col min="10242" max="10242" width="28.85546875" style="74" customWidth="1"/>
    <col min="10243" max="10243" width="12.7109375" style="74" customWidth="1"/>
    <col min="10244" max="10244" width="7" style="74" customWidth="1"/>
    <col min="10245" max="10245" width="13.7109375" style="74" customWidth="1"/>
    <col min="10246" max="10246" width="10" style="74" customWidth="1"/>
    <col min="10247" max="10247" width="15" style="74" customWidth="1"/>
    <col min="10248" max="10248" width="6.85546875" style="74" customWidth="1"/>
    <col min="10249" max="10249" width="14.28515625" style="74" bestFit="1" customWidth="1"/>
    <col min="10250" max="10496" width="11.42578125" style="74"/>
    <col min="10497" max="10497" width="3.42578125" style="74" customWidth="1"/>
    <col min="10498" max="10498" width="28.85546875" style="74" customWidth="1"/>
    <col min="10499" max="10499" width="12.7109375" style="74" customWidth="1"/>
    <col min="10500" max="10500" width="7" style="74" customWidth="1"/>
    <col min="10501" max="10501" width="13.7109375" style="74" customWidth="1"/>
    <col min="10502" max="10502" width="10" style="74" customWidth="1"/>
    <col min="10503" max="10503" width="15" style="74" customWidth="1"/>
    <col min="10504" max="10504" width="6.85546875" style="74" customWidth="1"/>
    <col min="10505" max="10505" width="14.28515625" style="74" bestFit="1" customWidth="1"/>
    <col min="10506" max="10752" width="11.42578125" style="74"/>
    <col min="10753" max="10753" width="3.42578125" style="74" customWidth="1"/>
    <col min="10754" max="10754" width="28.85546875" style="74" customWidth="1"/>
    <col min="10755" max="10755" width="12.7109375" style="74" customWidth="1"/>
    <col min="10756" max="10756" width="7" style="74" customWidth="1"/>
    <col min="10757" max="10757" width="13.7109375" style="74" customWidth="1"/>
    <col min="10758" max="10758" width="10" style="74" customWidth="1"/>
    <col min="10759" max="10759" width="15" style="74" customWidth="1"/>
    <col min="10760" max="10760" width="6.85546875" style="74" customWidth="1"/>
    <col min="10761" max="10761" width="14.28515625" style="74" bestFit="1" customWidth="1"/>
    <col min="10762" max="11008" width="11.42578125" style="74"/>
    <col min="11009" max="11009" width="3.42578125" style="74" customWidth="1"/>
    <col min="11010" max="11010" width="28.85546875" style="74" customWidth="1"/>
    <col min="11011" max="11011" width="12.7109375" style="74" customWidth="1"/>
    <col min="11012" max="11012" width="7" style="74" customWidth="1"/>
    <col min="11013" max="11013" width="13.7109375" style="74" customWidth="1"/>
    <col min="11014" max="11014" width="10" style="74" customWidth="1"/>
    <col min="11015" max="11015" width="15" style="74" customWidth="1"/>
    <col min="11016" max="11016" width="6.85546875" style="74" customWidth="1"/>
    <col min="11017" max="11017" width="14.28515625" style="74" bestFit="1" customWidth="1"/>
    <col min="11018" max="11264" width="11.42578125" style="74"/>
    <col min="11265" max="11265" width="3.42578125" style="74" customWidth="1"/>
    <col min="11266" max="11266" width="28.85546875" style="74" customWidth="1"/>
    <col min="11267" max="11267" width="12.7109375" style="74" customWidth="1"/>
    <col min="11268" max="11268" width="7" style="74" customWidth="1"/>
    <col min="11269" max="11269" width="13.7109375" style="74" customWidth="1"/>
    <col min="11270" max="11270" width="10" style="74" customWidth="1"/>
    <col min="11271" max="11271" width="15" style="74" customWidth="1"/>
    <col min="11272" max="11272" width="6.85546875" style="74" customWidth="1"/>
    <col min="11273" max="11273" width="14.28515625" style="74" bestFit="1" customWidth="1"/>
    <col min="11274" max="11520" width="11.42578125" style="74"/>
    <col min="11521" max="11521" width="3.42578125" style="74" customWidth="1"/>
    <col min="11522" max="11522" width="28.85546875" style="74" customWidth="1"/>
    <col min="11523" max="11523" width="12.7109375" style="74" customWidth="1"/>
    <col min="11524" max="11524" width="7" style="74" customWidth="1"/>
    <col min="11525" max="11525" width="13.7109375" style="74" customWidth="1"/>
    <col min="11526" max="11526" width="10" style="74" customWidth="1"/>
    <col min="11527" max="11527" width="15" style="74" customWidth="1"/>
    <col min="11528" max="11528" width="6.85546875" style="74" customWidth="1"/>
    <col min="11529" max="11529" width="14.28515625" style="74" bestFit="1" customWidth="1"/>
    <col min="11530" max="11776" width="11.42578125" style="74"/>
    <col min="11777" max="11777" width="3.42578125" style="74" customWidth="1"/>
    <col min="11778" max="11778" width="28.85546875" style="74" customWidth="1"/>
    <col min="11779" max="11779" width="12.7109375" style="74" customWidth="1"/>
    <col min="11780" max="11780" width="7" style="74" customWidth="1"/>
    <col min="11781" max="11781" width="13.7109375" style="74" customWidth="1"/>
    <col min="11782" max="11782" width="10" style="74" customWidth="1"/>
    <col min="11783" max="11783" width="15" style="74" customWidth="1"/>
    <col min="11784" max="11784" width="6.85546875" style="74" customWidth="1"/>
    <col min="11785" max="11785" width="14.28515625" style="74" bestFit="1" customWidth="1"/>
    <col min="11786" max="12032" width="11.42578125" style="74"/>
    <col min="12033" max="12033" width="3.42578125" style="74" customWidth="1"/>
    <col min="12034" max="12034" width="28.85546875" style="74" customWidth="1"/>
    <col min="12035" max="12035" width="12.7109375" style="74" customWidth="1"/>
    <col min="12036" max="12036" width="7" style="74" customWidth="1"/>
    <col min="12037" max="12037" width="13.7109375" style="74" customWidth="1"/>
    <col min="12038" max="12038" width="10" style="74" customWidth="1"/>
    <col min="12039" max="12039" width="15" style="74" customWidth="1"/>
    <col min="12040" max="12040" width="6.85546875" style="74" customWidth="1"/>
    <col min="12041" max="12041" width="14.28515625" style="74" bestFit="1" customWidth="1"/>
    <col min="12042" max="12288" width="11.42578125" style="74"/>
    <col min="12289" max="12289" width="3.42578125" style="74" customWidth="1"/>
    <col min="12290" max="12290" width="28.85546875" style="74" customWidth="1"/>
    <col min="12291" max="12291" width="12.7109375" style="74" customWidth="1"/>
    <col min="12292" max="12292" width="7" style="74" customWidth="1"/>
    <col min="12293" max="12293" width="13.7109375" style="74" customWidth="1"/>
    <col min="12294" max="12294" width="10" style="74" customWidth="1"/>
    <col min="12295" max="12295" width="15" style="74" customWidth="1"/>
    <col min="12296" max="12296" width="6.85546875" style="74" customWidth="1"/>
    <col min="12297" max="12297" width="14.28515625" style="74" bestFit="1" customWidth="1"/>
    <col min="12298" max="12544" width="11.42578125" style="74"/>
    <col min="12545" max="12545" width="3.42578125" style="74" customWidth="1"/>
    <col min="12546" max="12546" width="28.85546875" style="74" customWidth="1"/>
    <col min="12547" max="12547" width="12.7109375" style="74" customWidth="1"/>
    <col min="12548" max="12548" width="7" style="74" customWidth="1"/>
    <col min="12549" max="12549" width="13.7109375" style="74" customWidth="1"/>
    <col min="12550" max="12550" width="10" style="74" customWidth="1"/>
    <col min="12551" max="12551" width="15" style="74" customWidth="1"/>
    <col min="12552" max="12552" width="6.85546875" style="74" customWidth="1"/>
    <col min="12553" max="12553" width="14.28515625" style="74" bestFit="1" customWidth="1"/>
    <col min="12554" max="12800" width="11.42578125" style="74"/>
    <col min="12801" max="12801" width="3.42578125" style="74" customWidth="1"/>
    <col min="12802" max="12802" width="28.85546875" style="74" customWidth="1"/>
    <col min="12803" max="12803" width="12.7109375" style="74" customWidth="1"/>
    <col min="12804" max="12804" width="7" style="74" customWidth="1"/>
    <col min="12805" max="12805" width="13.7109375" style="74" customWidth="1"/>
    <col min="12806" max="12806" width="10" style="74" customWidth="1"/>
    <col min="12807" max="12807" width="15" style="74" customWidth="1"/>
    <col min="12808" max="12808" width="6.85546875" style="74" customWidth="1"/>
    <col min="12809" max="12809" width="14.28515625" style="74" bestFit="1" customWidth="1"/>
    <col min="12810" max="13056" width="11.42578125" style="74"/>
    <col min="13057" max="13057" width="3.42578125" style="74" customWidth="1"/>
    <col min="13058" max="13058" width="28.85546875" style="74" customWidth="1"/>
    <col min="13059" max="13059" width="12.7109375" style="74" customWidth="1"/>
    <col min="13060" max="13060" width="7" style="74" customWidth="1"/>
    <col min="13061" max="13061" width="13.7109375" style="74" customWidth="1"/>
    <col min="13062" max="13062" width="10" style="74" customWidth="1"/>
    <col min="13063" max="13063" width="15" style="74" customWidth="1"/>
    <col min="13064" max="13064" width="6.85546875" style="74" customWidth="1"/>
    <col min="13065" max="13065" width="14.28515625" style="74" bestFit="1" customWidth="1"/>
    <col min="13066" max="13312" width="11.42578125" style="74"/>
    <col min="13313" max="13313" width="3.42578125" style="74" customWidth="1"/>
    <col min="13314" max="13314" width="28.85546875" style="74" customWidth="1"/>
    <col min="13315" max="13315" width="12.7109375" style="74" customWidth="1"/>
    <col min="13316" max="13316" width="7" style="74" customWidth="1"/>
    <col min="13317" max="13317" width="13.7109375" style="74" customWidth="1"/>
    <col min="13318" max="13318" width="10" style="74" customWidth="1"/>
    <col min="13319" max="13319" width="15" style="74" customWidth="1"/>
    <col min="13320" max="13320" width="6.85546875" style="74" customWidth="1"/>
    <col min="13321" max="13321" width="14.28515625" style="74" bestFit="1" customWidth="1"/>
    <col min="13322" max="13568" width="11.42578125" style="74"/>
    <col min="13569" max="13569" width="3.42578125" style="74" customWidth="1"/>
    <col min="13570" max="13570" width="28.85546875" style="74" customWidth="1"/>
    <col min="13571" max="13571" width="12.7109375" style="74" customWidth="1"/>
    <col min="13572" max="13572" width="7" style="74" customWidth="1"/>
    <col min="13573" max="13573" width="13.7109375" style="74" customWidth="1"/>
    <col min="13574" max="13574" width="10" style="74" customWidth="1"/>
    <col min="13575" max="13575" width="15" style="74" customWidth="1"/>
    <col min="13576" max="13576" width="6.85546875" style="74" customWidth="1"/>
    <col min="13577" max="13577" width="14.28515625" style="74" bestFit="1" customWidth="1"/>
    <col min="13578" max="13824" width="11.42578125" style="74"/>
    <col min="13825" max="13825" width="3.42578125" style="74" customWidth="1"/>
    <col min="13826" max="13826" width="28.85546875" style="74" customWidth="1"/>
    <col min="13827" max="13827" width="12.7109375" style="74" customWidth="1"/>
    <col min="13828" max="13828" width="7" style="74" customWidth="1"/>
    <col min="13829" max="13829" width="13.7109375" style="74" customWidth="1"/>
    <col min="13830" max="13830" width="10" style="74" customWidth="1"/>
    <col min="13831" max="13831" width="15" style="74" customWidth="1"/>
    <col min="13832" max="13832" width="6.85546875" style="74" customWidth="1"/>
    <col min="13833" max="13833" width="14.28515625" style="74" bestFit="1" customWidth="1"/>
    <col min="13834" max="14080" width="11.42578125" style="74"/>
    <col min="14081" max="14081" width="3.42578125" style="74" customWidth="1"/>
    <col min="14082" max="14082" width="28.85546875" style="74" customWidth="1"/>
    <col min="14083" max="14083" width="12.7109375" style="74" customWidth="1"/>
    <col min="14084" max="14084" width="7" style="74" customWidth="1"/>
    <col min="14085" max="14085" width="13.7109375" style="74" customWidth="1"/>
    <col min="14086" max="14086" width="10" style="74" customWidth="1"/>
    <col min="14087" max="14087" width="15" style="74" customWidth="1"/>
    <col min="14088" max="14088" width="6.85546875" style="74" customWidth="1"/>
    <col min="14089" max="14089" width="14.28515625" style="74" bestFit="1" customWidth="1"/>
    <col min="14090" max="14336" width="11.42578125" style="74"/>
    <col min="14337" max="14337" width="3.42578125" style="74" customWidth="1"/>
    <col min="14338" max="14338" width="28.85546875" style="74" customWidth="1"/>
    <col min="14339" max="14339" width="12.7109375" style="74" customWidth="1"/>
    <col min="14340" max="14340" width="7" style="74" customWidth="1"/>
    <col min="14341" max="14341" width="13.7109375" style="74" customWidth="1"/>
    <col min="14342" max="14342" width="10" style="74" customWidth="1"/>
    <col min="14343" max="14343" width="15" style="74" customWidth="1"/>
    <col min="14344" max="14344" width="6.85546875" style="74" customWidth="1"/>
    <col min="14345" max="14345" width="14.28515625" style="74" bestFit="1" customWidth="1"/>
    <col min="14346" max="14592" width="11.42578125" style="74"/>
    <col min="14593" max="14593" width="3.42578125" style="74" customWidth="1"/>
    <col min="14594" max="14594" width="28.85546875" style="74" customWidth="1"/>
    <col min="14595" max="14595" width="12.7109375" style="74" customWidth="1"/>
    <col min="14596" max="14596" width="7" style="74" customWidth="1"/>
    <col min="14597" max="14597" width="13.7109375" style="74" customWidth="1"/>
    <col min="14598" max="14598" width="10" style="74" customWidth="1"/>
    <col min="14599" max="14599" width="15" style="74" customWidth="1"/>
    <col min="14600" max="14600" width="6.85546875" style="74" customWidth="1"/>
    <col min="14601" max="14601" width="14.28515625" style="74" bestFit="1" customWidth="1"/>
    <col min="14602" max="14848" width="11.42578125" style="74"/>
    <col min="14849" max="14849" width="3.42578125" style="74" customWidth="1"/>
    <col min="14850" max="14850" width="28.85546875" style="74" customWidth="1"/>
    <col min="14851" max="14851" width="12.7109375" style="74" customWidth="1"/>
    <col min="14852" max="14852" width="7" style="74" customWidth="1"/>
    <col min="14853" max="14853" width="13.7109375" style="74" customWidth="1"/>
    <col min="14854" max="14854" width="10" style="74" customWidth="1"/>
    <col min="14855" max="14855" width="15" style="74" customWidth="1"/>
    <col min="14856" max="14856" width="6.85546875" style="74" customWidth="1"/>
    <col min="14857" max="14857" width="14.28515625" style="74" bestFit="1" customWidth="1"/>
    <col min="14858" max="15104" width="11.42578125" style="74"/>
    <col min="15105" max="15105" width="3.42578125" style="74" customWidth="1"/>
    <col min="15106" max="15106" width="28.85546875" style="74" customWidth="1"/>
    <col min="15107" max="15107" width="12.7109375" style="74" customWidth="1"/>
    <col min="15108" max="15108" width="7" style="74" customWidth="1"/>
    <col min="15109" max="15109" width="13.7109375" style="74" customWidth="1"/>
    <col min="15110" max="15110" width="10" style="74" customWidth="1"/>
    <col min="15111" max="15111" width="15" style="74" customWidth="1"/>
    <col min="15112" max="15112" width="6.85546875" style="74" customWidth="1"/>
    <col min="15113" max="15113" width="14.28515625" style="74" bestFit="1" customWidth="1"/>
    <col min="15114" max="15360" width="11.42578125" style="74"/>
    <col min="15361" max="15361" width="3.42578125" style="74" customWidth="1"/>
    <col min="15362" max="15362" width="28.85546875" style="74" customWidth="1"/>
    <col min="15363" max="15363" width="12.7109375" style="74" customWidth="1"/>
    <col min="15364" max="15364" width="7" style="74" customWidth="1"/>
    <col min="15365" max="15365" width="13.7109375" style="74" customWidth="1"/>
    <col min="15366" max="15366" width="10" style="74" customWidth="1"/>
    <col min="15367" max="15367" width="15" style="74" customWidth="1"/>
    <col min="15368" max="15368" width="6.85546875" style="74" customWidth="1"/>
    <col min="15369" max="15369" width="14.28515625" style="74" bestFit="1" customWidth="1"/>
    <col min="15370" max="15616" width="11.42578125" style="74"/>
    <col min="15617" max="15617" width="3.42578125" style="74" customWidth="1"/>
    <col min="15618" max="15618" width="28.85546875" style="74" customWidth="1"/>
    <col min="15619" max="15619" width="12.7109375" style="74" customWidth="1"/>
    <col min="15620" max="15620" width="7" style="74" customWidth="1"/>
    <col min="15621" max="15621" width="13.7109375" style="74" customWidth="1"/>
    <col min="15622" max="15622" width="10" style="74" customWidth="1"/>
    <col min="15623" max="15623" width="15" style="74" customWidth="1"/>
    <col min="15624" max="15624" width="6.85546875" style="74" customWidth="1"/>
    <col min="15625" max="15625" width="14.28515625" style="74" bestFit="1" customWidth="1"/>
    <col min="15626" max="15872" width="11.42578125" style="74"/>
    <col min="15873" max="15873" width="3.42578125" style="74" customWidth="1"/>
    <col min="15874" max="15874" width="28.85546875" style="74" customWidth="1"/>
    <col min="15875" max="15875" width="12.7109375" style="74" customWidth="1"/>
    <col min="15876" max="15876" width="7" style="74" customWidth="1"/>
    <col min="15877" max="15877" width="13.7109375" style="74" customWidth="1"/>
    <col min="15878" max="15878" width="10" style="74" customWidth="1"/>
    <col min="15879" max="15879" width="15" style="74" customWidth="1"/>
    <col min="15880" max="15880" width="6.85546875" style="74" customWidth="1"/>
    <col min="15881" max="15881" width="14.28515625" style="74" bestFit="1" customWidth="1"/>
    <col min="15882" max="16128" width="11.42578125" style="74"/>
    <col min="16129" max="16129" width="3.42578125" style="74" customWidth="1"/>
    <col min="16130" max="16130" width="28.85546875" style="74" customWidth="1"/>
    <col min="16131" max="16131" width="12.7109375" style="74" customWidth="1"/>
    <col min="16132" max="16132" width="7" style="74" customWidth="1"/>
    <col min="16133" max="16133" width="13.7109375" style="74" customWidth="1"/>
    <col min="16134" max="16134" width="10" style="74" customWidth="1"/>
    <col min="16135" max="16135" width="15" style="74" customWidth="1"/>
    <col min="16136" max="16136" width="6.85546875" style="74" customWidth="1"/>
    <col min="16137" max="16137" width="14.28515625" style="74" bestFit="1" customWidth="1"/>
    <col min="16138" max="16384" width="11.42578125" style="74"/>
  </cols>
  <sheetData>
    <row r="1" spans="1:7" ht="12.75" customHeight="1">
      <c r="A1" s="200"/>
      <c r="B1" s="73"/>
      <c r="F1" s="201"/>
      <c r="G1" s="167"/>
    </row>
    <row r="2" spans="1:7" ht="12.75" customHeight="1">
      <c r="A2" s="200"/>
      <c r="B2" s="73"/>
      <c r="F2" s="201"/>
      <c r="G2" s="167"/>
    </row>
    <row r="3" spans="1:7" ht="12.75" customHeight="1">
      <c r="A3" s="200"/>
      <c r="B3" s="73"/>
      <c r="F3" s="201"/>
      <c r="G3" s="167"/>
    </row>
    <row r="4" spans="1:7" ht="12.75" customHeight="1">
      <c r="A4" s="200"/>
      <c r="B4" s="73"/>
      <c r="C4" s="458" t="s">
        <v>406</v>
      </c>
      <c r="D4" s="458"/>
      <c r="E4" s="458"/>
      <c r="F4" s="458"/>
      <c r="G4" s="458"/>
    </row>
    <row r="5" spans="1:7" ht="12.75" customHeight="1">
      <c r="A5" s="200"/>
      <c r="B5" s="73"/>
      <c r="C5" s="458"/>
      <c r="D5" s="458"/>
      <c r="E5" s="458"/>
      <c r="F5" s="458"/>
      <c r="G5" s="458"/>
    </row>
    <row r="6" spans="1:7" ht="12.75" customHeight="1">
      <c r="A6" s="200"/>
      <c r="B6" s="73"/>
      <c r="C6" s="458"/>
      <c r="D6" s="458"/>
      <c r="E6" s="458"/>
      <c r="F6" s="458"/>
      <c r="G6" s="458"/>
    </row>
    <row r="7" spans="1:7" ht="12.75" customHeight="1">
      <c r="A7" s="200"/>
      <c r="B7" s="73"/>
      <c r="C7" s="458"/>
      <c r="D7" s="458"/>
      <c r="E7" s="458"/>
      <c r="F7" s="458"/>
      <c r="G7" s="458"/>
    </row>
    <row r="8" spans="1:7" ht="12.75" customHeight="1">
      <c r="A8" s="200"/>
      <c r="B8" s="73"/>
      <c r="C8" s="458"/>
      <c r="D8" s="458"/>
      <c r="E8" s="458"/>
      <c r="F8" s="458"/>
      <c r="G8" s="458"/>
    </row>
    <row r="9" spans="1:7" ht="12.75" customHeight="1">
      <c r="A9" s="200"/>
      <c r="B9" s="73"/>
      <c r="C9" s="458"/>
      <c r="D9" s="458"/>
      <c r="E9" s="458"/>
      <c r="F9" s="458"/>
      <c r="G9" s="458"/>
    </row>
    <row r="10" spans="1:7" ht="12.75" customHeight="1">
      <c r="A10" s="200"/>
      <c r="B10" s="73"/>
      <c r="C10" s="458"/>
      <c r="D10" s="458"/>
      <c r="E10" s="458"/>
      <c r="F10" s="458"/>
      <c r="G10" s="458"/>
    </row>
    <row r="11" spans="1:7" ht="12.75" customHeight="1">
      <c r="A11" s="200"/>
      <c r="B11" s="73"/>
      <c r="C11" s="202"/>
      <c r="D11" s="202"/>
      <c r="E11" s="202"/>
      <c r="F11" s="202"/>
      <c r="G11" s="203">
        <v>43790</v>
      </c>
    </row>
    <row r="12" spans="1:7" ht="12.75" customHeight="1">
      <c r="A12" s="200"/>
      <c r="B12" s="73"/>
      <c r="F12" s="201"/>
      <c r="G12" s="167"/>
    </row>
    <row r="13" spans="1:7">
      <c r="A13" s="77"/>
      <c r="B13" s="78"/>
      <c r="C13" s="79"/>
      <c r="D13" s="80"/>
      <c r="E13" s="80"/>
      <c r="F13" s="81"/>
      <c r="G13" s="82"/>
    </row>
    <row r="14" spans="1:7" ht="15" thickBot="1">
      <c r="A14" s="77"/>
      <c r="B14" s="80" t="s">
        <v>331</v>
      </c>
      <c r="C14" s="463">
        <f>FORMULARIO!I73</f>
        <v>0</v>
      </c>
      <c r="D14" s="463"/>
      <c r="E14" s="463"/>
      <c r="F14" s="463"/>
      <c r="G14" s="463"/>
    </row>
    <row r="15" spans="1:7" ht="15.75" thickBot="1">
      <c r="A15" s="77"/>
      <c r="B15" s="80" t="s">
        <v>407</v>
      </c>
      <c r="C15" s="459" t="s">
        <v>446</v>
      </c>
      <c r="D15" s="460"/>
      <c r="E15" s="460"/>
      <c r="F15" s="460"/>
      <c r="G15" s="461"/>
    </row>
    <row r="16" spans="1:7">
      <c r="A16" s="83"/>
      <c r="B16" s="84" t="s">
        <v>408</v>
      </c>
      <c r="C16" s="464">
        <f>FORMULARIO!I86</f>
        <v>0</v>
      </c>
      <c r="D16" s="464"/>
      <c r="E16" s="464"/>
      <c r="F16" s="464"/>
      <c r="G16" s="464"/>
    </row>
    <row r="17" spans="1:9">
      <c r="A17" s="83"/>
      <c r="B17" s="84" t="s">
        <v>421</v>
      </c>
      <c r="C17" s="466" t="s">
        <v>443</v>
      </c>
      <c r="D17" s="466"/>
      <c r="E17" s="466"/>
      <c r="F17" s="466"/>
      <c r="G17" s="466"/>
    </row>
    <row r="18" spans="1:9">
      <c r="A18" s="83"/>
      <c r="B18" s="84"/>
      <c r="C18" s="235" t="s">
        <v>335</v>
      </c>
      <c r="D18" s="465"/>
      <c r="E18" s="465"/>
      <c r="F18" s="465"/>
      <c r="G18" s="465"/>
    </row>
    <row r="19" spans="1:9">
      <c r="A19" s="83"/>
      <c r="B19" s="84"/>
    </row>
    <row r="20" spans="1:9">
      <c r="A20" s="83" t="s">
        <v>409</v>
      </c>
      <c r="B20" s="85" t="s">
        <v>337</v>
      </c>
      <c r="C20" s="86"/>
      <c r="D20" s="84"/>
      <c r="E20" s="87"/>
      <c r="F20" s="88"/>
      <c r="G20" s="89">
        <f>C21*E21</f>
        <v>300000.00800000003</v>
      </c>
      <c r="I20" s="204"/>
    </row>
    <row r="21" spans="1:9">
      <c r="A21" s="83"/>
      <c r="B21" s="90" t="s">
        <v>338</v>
      </c>
      <c r="C21" s="91">
        <v>7.7</v>
      </c>
      <c r="D21" s="92"/>
      <c r="E21" s="93">
        <v>38961.040000000001</v>
      </c>
      <c r="F21" s="94"/>
      <c r="G21" s="95"/>
      <c r="I21" s="205"/>
    </row>
    <row r="22" spans="1:9" ht="13.5" thickBot="1">
      <c r="A22" s="83"/>
      <c r="B22" s="84"/>
      <c r="C22" s="84"/>
      <c r="D22" s="84"/>
      <c r="E22" s="206" t="s">
        <v>340</v>
      </c>
      <c r="F22" s="207" t="s">
        <v>341</v>
      </c>
      <c r="G22" s="95"/>
      <c r="I22" s="204"/>
    </row>
    <row r="23" spans="1:9">
      <c r="A23" s="83" t="s">
        <v>339</v>
      </c>
      <c r="B23" s="99" t="s">
        <v>342</v>
      </c>
      <c r="C23" s="100">
        <v>0.03</v>
      </c>
      <c r="D23" s="208" t="s">
        <v>410</v>
      </c>
      <c r="E23" s="209">
        <f>G20*1.5/100</f>
        <v>4500.0001200000006</v>
      </c>
      <c r="F23" s="210">
        <f>(E23)*12/100</f>
        <v>540.00001440000005</v>
      </c>
      <c r="G23" s="104"/>
    </row>
    <row r="24" spans="1:9" ht="13.5" thickBot="1">
      <c r="A24" s="83" t="s">
        <v>336</v>
      </c>
      <c r="B24" s="105" t="s">
        <v>344</v>
      </c>
      <c r="C24" s="106">
        <v>1</v>
      </c>
      <c r="D24" s="213" t="s">
        <v>411</v>
      </c>
      <c r="E24" s="102">
        <f>G20*0.5/100</f>
        <v>1500.0000400000001</v>
      </c>
      <c r="F24" s="103">
        <f>(E24)*12/100</f>
        <v>180.00000480000003</v>
      </c>
      <c r="G24" s="211">
        <f>G20*C23*C24</f>
        <v>9000.0002400000012</v>
      </c>
    </row>
    <row r="25" spans="1:9" ht="13.5" thickBot="1">
      <c r="A25" s="83"/>
      <c r="C25" s="212" t="s">
        <v>341</v>
      </c>
      <c r="D25" s="213"/>
      <c r="E25" s="214"/>
      <c r="F25" s="215">
        <f>(E25)*12/100</f>
        <v>0</v>
      </c>
      <c r="G25" s="216">
        <f>G24*12/100</f>
        <v>1080.0000288000001</v>
      </c>
      <c r="I25" s="165"/>
    </row>
    <row r="26" spans="1:9">
      <c r="A26" s="83"/>
      <c r="B26" s="108"/>
      <c r="C26" s="217"/>
      <c r="D26" s="109" t="str">
        <f>D23</f>
        <v xml:space="preserve">Inversionista </v>
      </c>
      <c r="E26" s="218">
        <f>E23+F23</f>
        <v>5040.0001344000011</v>
      </c>
      <c r="F26" s="219"/>
      <c r="G26" s="211">
        <f>SUM(G24:G25)</f>
        <v>10080.000268800002</v>
      </c>
      <c r="I26" s="165"/>
    </row>
    <row r="27" spans="1:9">
      <c r="A27" s="83"/>
      <c r="B27" s="84"/>
      <c r="C27" s="84"/>
      <c r="D27" s="220" t="str">
        <f>D24</f>
        <v>Empresa Club C</v>
      </c>
      <c r="E27" s="221">
        <f>SUM(E24:F24)</f>
        <v>1680.0000448000001</v>
      </c>
      <c r="F27" s="110"/>
      <c r="I27" s="165"/>
    </row>
    <row r="28" spans="1:9" ht="13.5" thickBot="1">
      <c r="D28" s="112">
        <f>D25</f>
        <v>0</v>
      </c>
      <c r="E28" s="222">
        <f>(E25)+(F25)</f>
        <v>0</v>
      </c>
      <c r="F28" s="113"/>
      <c r="G28" s="211"/>
      <c r="I28" s="165"/>
    </row>
    <row r="29" spans="1:9" ht="15.75">
      <c r="A29" s="83" t="s">
        <v>336</v>
      </c>
      <c r="B29" s="115" t="s">
        <v>346</v>
      </c>
      <c r="C29" s="116"/>
      <c r="D29" s="84"/>
      <c r="E29" s="223"/>
      <c r="F29" s="88"/>
      <c r="G29" s="211"/>
    </row>
    <row r="30" spans="1:9">
      <c r="A30" s="83"/>
      <c r="B30" s="84"/>
      <c r="C30" s="84"/>
      <c r="D30" s="84"/>
      <c r="E30" s="87"/>
      <c r="F30" s="88"/>
      <c r="G30" s="111"/>
    </row>
    <row r="31" spans="1:9">
      <c r="A31" s="83"/>
      <c r="B31" s="90" t="s">
        <v>385</v>
      </c>
      <c r="C31" s="84"/>
      <c r="D31" s="84"/>
      <c r="E31" s="100">
        <v>0.04</v>
      </c>
      <c r="F31" s="121">
        <f>G20*E31</f>
        <v>12000.000320000001</v>
      </c>
      <c r="G31" s="211">
        <f>SUM(F31:F36)</f>
        <v>16591.250400000001</v>
      </c>
      <c r="H31" s="133"/>
    </row>
    <row r="32" spans="1:9">
      <c r="A32" s="83"/>
      <c r="B32" s="90" t="s">
        <v>352</v>
      </c>
      <c r="C32" s="122"/>
      <c r="D32" s="122"/>
      <c r="E32" s="100">
        <v>0.01</v>
      </c>
      <c r="F32" s="121">
        <f>G20*E32</f>
        <v>3000.0000800000003</v>
      </c>
      <c r="G32" s="111"/>
      <c r="H32" s="133"/>
    </row>
    <row r="33" spans="1:9">
      <c r="A33" s="83"/>
      <c r="B33" s="90" t="s">
        <v>412</v>
      </c>
      <c r="C33" s="122"/>
      <c r="D33" s="122"/>
      <c r="E33" s="121"/>
      <c r="F33" s="121">
        <v>0</v>
      </c>
      <c r="G33" s="111"/>
    </row>
    <row r="34" spans="1:9">
      <c r="A34" s="83"/>
      <c r="B34" s="90" t="s">
        <v>413</v>
      </c>
      <c r="C34" s="122"/>
      <c r="D34" s="122"/>
      <c r="E34" s="224"/>
      <c r="F34" s="121">
        <v>600</v>
      </c>
      <c r="G34" s="111"/>
      <c r="I34" s="133"/>
    </row>
    <row r="35" spans="1:9">
      <c r="A35" s="83"/>
      <c r="B35" s="90" t="s">
        <v>142</v>
      </c>
      <c r="C35" s="122"/>
      <c r="D35" s="122"/>
      <c r="E35" s="121"/>
      <c r="F35" s="121">
        <v>0</v>
      </c>
      <c r="G35" s="111"/>
      <c r="H35" s="133"/>
    </row>
    <row r="36" spans="1:9" ht="13.5" thickBot="1">
      <c r="A36" s="83"/>
      <c r="B36" s="90" t="s">
        <v>414</v>
      </c>
      <c r="C36" s="122"/>
      <c r="D36" s="122"/>
      <c r="E36" s="121"/>
      <c r="F36" s="121">
        <f>'Cálculo RGPI'!C26</f>
        <v>991.25</v>
      </c>
      <c r="G36" s="111"/>
    </row>
    <row r="37" spans="1:9" ht="13.5" thickBot="1">
      <c r="A37" s="83"/>
      <c r="B37" s="225" t="s">
        <v>352</v>
      </c>
      <c r="C37" s="122"/>
      <c r="D37" s="122"/>
      <c r="E37" s="122"/>
      <c r="F37" s="129"/>
      <c r="G37" s="111"/>
    </row>
    <row r="38" spans="1:9">
      <c r="A38" s="83"/>
      <c r="B38" s="130"/>
      <c r="C38" s="131"/>
      <c r="D38" s="122"/>
      <c r="E38" s="122" t="s">
        <v>339</v>
      </c>
      <c r="F38" s="129"/>
      <c r="G38" s="111"/>
    </row>
    <row r="39" spans="1:9">
      <c r="A39" s="83"/>
      <c r="B39" s="108" t="s">
        <v>415</v>
      </c>
      <c r="C39" s="132"/>
      <c r="D39" s="122"/>
      <c r="E39" s="122"/>
      <c r="F39" s="129"/>
      <c r="G39" s="111"/>
    </row>
    <row r="40" spans="1:9">
      <c r="A40" s="83"/>
      <c r="B40" s="130" t="s">
        <v>416</v>
      </c>
      <c r="C40" s="157"/>
      <c r="D40" s="87"/>
      <c r="E40" s="121"/>
      <c r="F40" s="134">
        <v>0</v>
      </c>
      <c r="G40" s="111"/>
    </row>
    <row r="41" spans="1:9">
      <c r="A41" s="83"/>
      <c r="B41" s="130" t="s">
        <v>417</v>
      </c>
      <c r="D41" s="87"/>
      <c r="E41" s="121"/>
      <c r="F41" s="134">
        <v>0</v>
      </c>
      <c r="G41" s="216"/>
      <c r="I41" s="165"/>
    </row>
    <row r="42" spans="1:9">
      <c r="A42" s="83"/>
      <c r="B42" s="130"/>
      <c r="C42" s="123"/>
      <c r="D42" s="87"/>
      <c r="E42" s="84"/>
      <c r="F42" s="88"/>
      <c r="G42" s="226">
        <f>SUM(F40:F41)</f>
        <v>0</v>
      </c>
    </row>
    <row r="43" spans="1:9">
      <c r="A43" s="83"/>
      <c r="B43" s="130"/>
      <c r="C43" s="123"/>
      <c r="D43" s="87"/>
      <c r="E43" s="84"/>
      <c r="F43" s="88"/>
      <c r="G43" s="111"/>
    </row>
    <row r="44" spans="1:9">
      <c r="A44" s="83" t="s">
        <v>336</v>
      </c>
      <c r="B44" s="105" t="s">
        <v>357</v>
      </c>
      <c r="C44" s="136"/>
      <c r="D44" s="137"/>
      <c r="E44" s="84"/>
      <c r="F44" s="88"/>
      <c r="G44" s="216">
        <f>SUM(F45:F50)</f>
        <v>4060.0001056000001</v>
      </c>
    </row>
    <row r="45" spans="1:9">
      <c r="A45" s="83"/>
      <c r="B45" s="90" t="s">
        <v>358</v>
      </c>
      <c r="C45" s="84"/>
      <c r="D45" s="84"/>
      <c r="E45" s="100">
        <v>0.01</v>
      </c>
      <c r="F45" s="138">
        <f>(G20)*(E45)+(100)</f>
        <v>3100.0000800000003</v>
      </c>
      <c r="G45" s="111"/>
    </row>
    <row r="46" spans="1:9">
      <c r="A46" s="83"/>
      <c r="B46" s="90" t="s">
        <v>341</v>
      </c>
      <c r="C46" s="84"/>
      <c r="D46" s="84"/>
      <c r="E46" s="138">
        <f>G16*0.3/100</f>
        <v>0</v>
      </c>
      <c r="F46" s="138">
        <f>(G20)*1/100*12/100</f>
        <v>360.00000960000006</v>
      </c>
      <c r="G46" s="111"/>
    </row>
    <row r="47" spans="1:9">
      <c r="A47" s="83"/>
      <c r="B47" s="90" t="s">
        <v>359</v>
      </c>
      <c r="C47" s="139">
        <v>2</v>
      </c>
      <c r="D47" s="140" t="s">
        <v>360</v>
      </c>
      <c r="E47" s="138">
        <v>0</v>
      </c>
      <c r="F47" s="138">
        <f>G20*0.2/100</f>
        <v>600.00001600000007</v>
      </c>
      <c r="G47" s="111"/>
    </row>
    <row r="48" spans="1:9">
      <c r="A48" s="83"/>
      <c r="B48" s="130" t="s">
        <v>418</v>
      </c>
      <c r="C48" s="84"/>
      <c r="D48" s="84"/>
      <c r="E48" s="134">
        <v>0</v>
      </c>
      <c r="F48" s="134">
        <v>0</v>
      </c>
      <c r="G48" s="111"/>
      <c r="H48" s="133"/>
    </row>
    <row r="49" spans="1:8">
      <c r="A49" s="83"/>
      <c r="B49" s="130" t="s">
        <v>419</v>
      </c>
      <c r="C49" s="84"/>
      <c r="D49" s="84"/>
      <c r="E49" s="134">
        <v>0</v>
      </c>
      <c r="F49" s="134">
        <v>0</v>
      </c>
      <c r="G49" s="111"/>
    </row>
    <row r="50" spans="1:8">
      <c r="A50" s="83"/>
      <c r="B50" s="130" t="s">
        <v>420</v>
      </c>
      <c r="C50" s="84"/>
      <c r="D50" s="84"/>
      <c r="E50" s="134">
        <v>0</v>
      </c>
      <c r="F50" s="134">
        <v>0</v>
      </c>
      <c r="G50" s="111"/>
    </row>
    <row r="51" spans="1:8">
      <c r="A51" s="83" t="s">
        <v>339</v>
      </c>
      <c r="B51" s="105" t="s">
        <v>362</v>
      </c>
      <c r="C51" s="116"/>
      <c r="D51" s="116"/>
      <c r="E51" s="87"/>
      <c r="F51" s="88"/>
      <c r="G51" s="227"/>
    </row>
    <row r="52" spans="1:8">
      <c r="A52" s="148"/>
      <c r="B52" s="84"/>
      <c r="C52" s="141"/>
      <c r="D52" s="142" t="s">
        <v>363</v>
      </c>
      <c r="E52" s="100">
        <v>0</v>
      </c>
      <c r="F52" s="134"/>
      <c r="G52" s="146"/>
    </row>
    <row r="53" spans="1:8">
      <c r="A53" s="83"/>
      <c r="B53" s="143"/>
      <c r="C53" s="141"/>
      <c r="D53" s="142" t="s">
        <v>363</v>
      </c>
      <c r="E53" s="100">
        <v>0</v>
      </c>
      <c r="F53" s="134"/>
      <c r="G53" s="111"/>
    </row>
    <row r="54" spans="1:8">
      <c r="A54" s="83"/>
      <c r="B54" s="143" t="s">
        <v>364</v>
      </c>
      <c r="C54" s="144"/>
      <c r="D54" s="142"/>
      <c r="E54" s="145"/>
      <c r="G54" s="111"/>
    </row>
    <row r="55" spans="1:8">
      <c r="A55" s="83"/>
      <c r="B55" s="108" t="s">
        <v>365</v>
      </c>
      <c r="C55" s="147"/>
      <c r="D55" s="87"/>
      <c r="E55" s="84"/>
      <c r="F55" s="88"/>
      <c r="G55" s="211"/>
    </row>
    <row r="56" spans="1:8" ht="15.75" thickBot="1">
      <c r="A56" s="83"/>
      <c r="B56" s="108" t="s">
        <v>339</v>
      </c>
      <c r="C56" s="84"/>
      <c r="D56" s="84"/>
      <c r="E56" s="149"/>
      <c r="F56" s="83" t="s">
        <v>366</v>
      </c>
      <c r="G56" s="228">
        <f>SUM(G26)+SUM(G31)+SUM(G44)</f>
        <v>30731.250774400003</v>
      </c>
    </row>
    <row r="57" spans="1:8">
      <c r="A57" s="108" t="s">
        <v>370</v>
      </c>
      <c r="B57" s="151"/>
      <c r="C57" s="108" t="s">
        <v>367</v>
      </c>
      <c r="D57" s="151"/>
      <c r="E57" s="122"/>
      <c r="F57" s="152"/>
      <c r="G57" s="111"/>
    </row>
    <row r="58" spans="1:8" ht="18">
      <c r="A58" s="108" t="s">
        <v>371</v>
      </c>
      <c r="B58" s="151"/>
      <c r="C58" s="151"/>
      <c r="D58" s="84"/>
      <c r="E58" s="153" t="s">
        <v>368</v>
      </c>
      <c r="F58" s="462">
        <f>(G20)-SUM(G56)</f>
        <v>269268.75722560001</v>
      </c>
      <c r="G58" s="462"/>
    </row>
    <row r="59" spans="1:8" ht="19.5" customHeight="1">
      <c r="A59" s="108" t="s">
        <v>372</v>
      </c>
      <c r="B59" s="151"/>
      <c r="C59" s="108" t="s">
        <v>369</v>
      </c>
      <c r="D59" s="84"/>
      <c r="E59" s="84"/>
      <c r="F59" s="84"/>
      <c r="G59" s="104"/>
      <c r="H59" s="165"/>
    </row>
    <row r="60" spans="1:8" ht="15">
      <c r="A60" s="108"/>
      <c r="B60" s="151"/>
      <c r="C60" s="108"/>
      <c r="D60" s="84"/>
      <c r="E60" s="84"/>
      <c r="F60" s="84"/>
      <c r="G60" s="155"/>
    </row>
    <row r="61" spans="1:8" ht="15">
      <c r="G61" s="155"/>
      <c r="H61" s="165"/>
    </row>
    <row r="62" spans="1:8" ht="15">
      <c r="G62" s="155"/>
    </row>
    <row r="63" spans="1:8" ht="15">
      <c r="G63" s="155"/>
    </row>
    <row r="64" spans="1:8" ht="15">
      <c r="G64" s="155"/>
    </row>
    <row r="65" spans="7:7" ht="15">
      <c r="G65" s="155"/>
    </row>
    <row r="66" spans="7:7" ht="15">
      <c r="G66" s="155"/>
    </row>
    <row r="67" spans="7:7" ht="15">
      <c r="G67" s="155"/>
    </row>
    <row r="68" spans="7:7" ht="15">
      <c r="G68" s="155"/>
    </row>
    <row r="69" spans="7:7" ht="15">
      <c r="G69" s="155"/>
    </row>
    <row r="70" spans="7:7" ht="15">
      <c r="G70" s="155"/>
    </row>
    <row r="71" spans="7:7" ht="15">
      <c r="G71" s="155"/>
    </row>
    <row r="72" spans="7:7" ht="15">
      <c r="G72" s="155"/>
    </row>
    <row r="73" spans="7:7" ht="15">
      <c r="G73" s="155"/>
    </row>
    <row r="74" spans="7:7" ht="15">
      <c r="G74" s="155"/>
    </row>
    <row r="75" spans="7:7" ht="15">
      <c r="G75" s="155"/>
    </row>
    <row r="76" spans="7:7" ht="15">
      <c r="G76" s="155"/>
    </row>
    <row r="77" spans="7:7" ht="15">
      <c r="G77" s="155"/>
    </row>
    <row r="78" spans="7:7" ht="15">
      <c r="G78" s="155"/>
    </row>
    <row r="79" spans="7:7" ht="15">
      <c r="G79" s="155"/>
    </row>
    <row r="80" spans="7:7">
      <c r="G80" s="229"/>
    </row>
    <row r="81" spans="7:7">
      <c r="G81" s="229"/>
    </row>
    <row r="82" spans="7:7">
      <c r="G82" s="229"/>
    </row>
    <row r="83" spans="7:7">
      <c r="G83" s="229"/>
    </row>
    <row r="84" spans="7:7">
      <c r="G84" s="229"/>
    </row>
    <row r="85" spans="7:7">
      <c r="G85" s="229"/>
    </row>
    <row r="86" spans="7:7">
      <c r="G86" s="229"/>
    </row>
    <row r="87" spans="7:7">
      <c r="G87" s="229"/>
    </row>
    <row r="88" spans="7:7">
      <c r="G88" s="229"/>
    </row>
    <row r="89" spans="7:7">
      <c r="G89" s="229"/>
    </row>
    <row r="90" spans="7:7">
      <c r="G90" s="229"/>
    </row>
    <row r="91" spans="7:7">
      <c r="G91" s="229"/>
    </row>
    <row r="92" spans="7:7">
      <c r="G92" s="229"/>
    </row>
    <row r="93" spans="7:7">
      <c r="G93" s="229"/>
    </row>
    <row r="94" spans="7:7">
      <c r="G94" s="229"/>
    </row>
    <row r="95" spans="7:7">
      <c r="G95" s="229"/>
    </row>
    <row r="96" spans="7:7">
      <c r="G96" s="229"/>
    </row>
    <row r="97" spans="7:7">
      <c r="G97" s="229"/>
    </row>
    <row r="98" spans="7:7">
      <c r="G98" s="229"/>
    </row>
    <row r="99" spans="7:7">
      <c r="G99" s="229"/>
    </row>
  </sheetData>
  <mergeCells count="7">
    <mergeCell ref="C4:G10"/>
    <mergeCell ref="C15:G15"/>
    <mergeCell ref="F58:G58"/>
    <mergeCell ref="C14:G14"/>
    <mergeCell ref="C16:G16"/>
    <mergeCell ref="D18:G18"/>
    <mergeCell ref="C17:G17"/>
  </mergeCells>
  <pageMargins left="0.62" right="0.22" top="0.12" bottom="0.25" header="0" footer="0.2"/>
  <pageSetup paperSize="5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Hoja1!$C$3:$C$3</xm:f>
          </x14:formula1>
          <xm:sqref>C15:G15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5" tint="-0.249977111117893"/>
  </sheetPr>
  <dimension ref="A8:E30"/>
  <sheetViews>
    <sheetView showGridLines="0" view="pageBreakPreview" topLeftCell="A7" zoomScaleNormal="100" zoomScaleSheetLayoutView="100" workbookViewId="0">
      <selection activeCell="C16" sqref="C16"/>
    </sheetView>
  </sheetViews>
  <sheetFormatPr baseColWidth="10" defaultRowHeight="12.75"/>
  <cols>
    <col min="1" max="1" width="33.28515625" style="74" bestFit="1" customWidth="1"/>
    <col min="2" max="2" width="12" style="74" bestFit="1" customWidth="1"/>
    <col min="3" max="3" width="14.42578125" style="74" bestFit="1" customWidth="1"/>
    <col min="4" max="4" width="9.7109375" style="74" customWidth="1"/>
    <col min="5" max="5" width="12" style="74" bestFit="1" customWidth="1"/>
    <col min="6" max="256" width="11.42578125" style="74"/>
    <col min="257" max="257" width="33.28515625" style="74" bestFit="1" customWidth="1"/>
    <col min="258" max="258" width="11.7109375" style="74" bestFit="1" customWidth="1"/>
    <col min="259" max="259" width="14.42578125" style="74" bestFit="1" customWidth="1"/>
    <col min="260" max="260" width="9.7109375" style="74" customWidth="1"/>
    <col min="261" max="512" width="11.42578125" style="74"/>
    <col min="513" max="513" width="33.28515625" style="74" bestFit="1" customWidth="1"/>
    <col min="514" max="514" width="11.7109375" style="74" bestFit="1" customWidth="1"/>
    <col min="515" max="515" width="14.42578125" style="74" bestFit="1" customWidth="1"/>
    <col min="516" max="516" width="9.7109375" style="74" customWidth="1"/>
    <col min="517" max="768" width="11.42578125" style="74"/>
    <col min="769" max="769" width="33.28515625" style="74" bestFit="1" customWidth="1"/>
    <col min="770" max="770" width="11.7109375" style="74" bestFit="1" customWidth="1"/>
    <col min="771" max="771" width="14.42578125" style="74" bestFit="1" customWidth="1"/>
    <col min="772" max="772" width="9.7109375" style="74" customWidth="1"/>
    <col min="773" max="1024" width="11.42578125" style="74"/>
    <col min="1025" max="1025" width="33.28515625" style="74" bestFit="1" customWidth="1"/>
    <col min="1026" max="1026" width="11.7109375" style="74" bestFit="1" customWidth="1"/>
    <col min="1027" max="1027" width="14.42578125" style="74" bestFit="1" customWidth="1"/>
    <col min="1028" max="1028" width="9.7109375" style="74" customWidth="1"/>
    <col min="1029" max="1280" width="11.42578125" style="74"/>
    <col min="1281" max="1281" width="33.28515625" style="74" bestFit="1" customWidth="1"/>
    <col min="1282" max="1282" width="11.7109375" style="74" bestFit="1" customWidth="1"/>
    <col min="1283" max="1283" width="14.42578125" style="74" bestFit="1" customWidth="1"/>
    <col min="1284" max="1284" width="9.7109375" style="74" customWidth="1"/>
    <col min="1285" max="1536" width="11.42578125" style="74"/>
    <col min="1537" max="1537" width="33.28515625" style="74" bestFit="1" customWidth="1"/>
    <col min="1538" max="1538" width="11.7109375" style="74" bestFit="1" customWidth="1"/>
    <col min="1539" max="1539" width="14.42578125" style="74" bestFit="1" customWidth="1"/>
    <col min="1540" max="1540" width="9.7109375" style="74" customWidth="1"/>
    <col min="1541" max="1792" width="11.42578125" style="74"/>
    <col min="1793" max="1793" width="33.28515625" style="74" bestFit="1" customWidth="1"/>
    <col min="1794" max="1794" width="11.7109375" style="74" bestFit="1" customWidth="1"/>
    <col min="1795" max="1795" width="14.42578125" style="74" bestFit="1" customWidth="1"/>
    <col min="1796" max="1796" width="9.7109375" style="74" customWidth="1"/>
    <col min="1797" max="2048" width="11.42578125" style="74"/>
    <col min="2049" max="2049" width="33.28515625" style="74" bestFit="1" customWidth="1"/>
    <col min="2050" max="2050" width="11.7109375" style="74" bestFit="1" customWidth="1"/>
    <col min="2051" max="2051" width="14.42578125" style="74" bestFit="1" customWidth="1"/>
    <col min="2052" max="2052" width="9.7109375" style="74" customWidth="1"/>
    <col min="2053" max="2304" width="11.42578125" style="74"/>
    <col min="2305" max="2305" width="33.28515625" style="74" bestFit="1" customWidth="1"/>
    <col min="2306" max="2306" width="11.7109375" style="74" bestFit="1" customWidth="1"/>
    <col min="2307" max="2307" width="14.42578125" style="74" bestFit="1" customWidth="1"/>
    <col min="2308" max="2308" width="9.7109375" style="74" customWidth="1"/>
    <col min="2309" max="2560" width="11.42578125" style="74"/>
    <col min="2561" max="2561" width="33.28515625" style="74" bestFit="1" customWidth="1"/>
    <col min="2562" max="2562" width="11.7109375" style="74" bestFit="1" customWidth="1"/>
    <col min="2563" max="2563" width="14.42578125" style="74" bestFit="1" customWidth="1"/>
    <col min="2564" max="2564" width="9.7109375" style="74" customWidth="1"/>
    <col min="2565" max="2816" width="11.42578125" style="74"/>
    <col min="2817" max="2817" width="33.28515625" style="74" bestFit="1" customWidth="1"/>
    <col min="2818" max="2818" width="11.7109375" style="74" bestFit="1" customWidth="1"/>
    <col min="2819" max="2819" width="14.42578125" style="74" bestFit="1" customWidth="1"/>
    <col min="2820" max="2820" width="9.7109375" style="74" customWidth="1"/>
    <col min="2821" max="3072" width="11.42578125" style="74"/>
    <col min="3073" max="3073" width="33.28515625" style="74" bestFit="1" customWidth="1"/>
    <col min="3074" max="3074" width="11.7109375" style="74" bestFit="1" customWidth="1"/>
    <col min="3075" max="3075" width="14.42578125" style="74" bestFit="1" customWidth="1"/>
    <col min="3076" max="3076" width="9.7109375" style="74" customWidth="1"/>
    <col min="3077" max="3328" width="11.42578125" style="74"/>
    <col min="3329" max="3329" width="33.28515625" style="74" bestFit="1" customWidth="1"/>
    <col min="3330" max="3330" width="11.7109375" style="74" bestFit="1" customWidth="1"/>
    <col min="3331" max="3331" width="14.42578125" style="74" bestFit="1" customWidth="1"/>
    <col min="3332" max="3332" width="9.7109375" style="74" customWidth="1"/>
    <col min="3333" max="3584" width="11.42578125" style="74"/>
    <col min="3585" max="3585" width="33.28515625" style="74" bestFit="1" customWidth="1"/>
    <col min="3586" max="3586" width="11.7109375" style="74" bestFit="1" customWidth="1"/>
    <col min="3587" max="3587" width="14.42578125" style="74" bestFit="1" customWidth="1"/>
    <col min="3588" max="3588" width="9.7109375" style="74" customWidth="1"/>
    <col min="3589" max="3840" width="11.42578125" style="74"/>
    <col min="3841" max="3841" width="33.28515625" style="74" bestFit="1" customWidth="1"/>
    <col min="3842" max="3842" width="11.7109375" style="74" bestFit="1" customWidth="1"/>
    <col min="3843" max="3843" width="14.42578125" style="74" bestFit="1" customWidth="1"/>
    <col min="3844" max="3844" width="9.7109375" style="74" customWidth="1"/>
    <col min="3845" max="4096" width="11.42578125" style="74"/>
    <col min="4097" max="4097" width="33.28515625" style="74" bestFit="1" customWidth="1"/>
    <col min="4098" max="4098" width="11.7109375" style="74" bestFit="1" customWidth="1"/>
    <col min="4099" max="4099" width="14.42578125" style="74" bestFit="1" customWidth="1"/>
    <col min="4100" max="4100" width="9.7109375" style="74" customWidth="1"/>
    <col min="4101" max="4352" width="11.42578125" style="74"/>
    <col min="4353" max="4353" width="33.28515625" style="74" bestFit="1" customWidth="1"/>
    <col min="4354" max="4354" width="11.7109375" style="74" bestFit="1" customWidth="1"/>
    <col min="4355" max="4355" width="14.42578125" style="74" bestFit="1" customWidth="1"/>
    <col min="4356" max="4356" width="9.7109375" style="74" customWidth="1"/>
    <col min="4357" max="4608" width="11.42578125" style="74"/>
    <col min="4609" max="4609" width="33.28515625" style="74" bestFit="1" customWidth="1"/>
    <col min="4610" max="4610" width="11.7109375" style="74" bestFit="1" customWidth="1"/>
    <col min="4611" max="4611" width="14.42578125" style="74" bestFit="1" customWidth="1"/>
    <col min="4612" max="4612" width="9.7109375" style="74" customWidth="1"/>
    <col min="4613" max="4864" width="11.42578125" style="74"/>
    <col min="4865" max="4865" width="33.28515625" style="74" bestFit="1" customWidth="1"/>
    <col min="4866" max="4866" width="11.7109375" style="74" bestFit="1" customWidth="1"/>
    <col min="4867" max="4867" width="14.42578125" style="74" bestFit="1" customWidth="1"/>
    <col min="4868" max="4868" width="9.7109375" style="74" customWidth="1"/>
    <col min="4869" max="5120" width="11.42578125" style="74"/>
    <col min="5121" max="5121" width="33.28515625" style="74" bestFit="1" customWidth="1"/>
    <col min="5122" max="5122" width="11.7109375" style="74" bestFit="1" customWidth="1"/>
    <col min="5123" max="5123" width="14.42578125" style="74" bestFit="1" customWidth="1"/>
    <col min="5124" max="5124" width="9.7109375" style="74" customWidth="1"/>
    <col min="5125" max="5376" width="11.42578125" style="74"/>
    <col min="5377" max="5377" width="33.28515625" style="74" bestFit="1" customWidth="1"/>
    <col min="5378" max="5378" width="11.7109375" style="74" bestFit="1" customWidth="1"/>
    <col min="5379" max="5379" width="14.42578125" style="74" bestFit="1" customWidth="1"/>
    <col min="5380" max="5380" width="9.7109375" style="74" customWidth="1"/>
    <col min="5381" max="5632" width="11.42578125" style="74"/>
    <col min="5633" max="5633" width="33.28515625" style="74" bestFit="1" customWidth="1"/>
    <col min="5634" max="5634" width="11.7109375" style="74" bestFit="1" customWidth="1"/>
    <col min="5635" max="5635" width="14.42578125" style="74" bestFit="1" customWidth="1"/>
    <col min="5636" max="5636" width="9.7109375" style="74" customWidth="1"/>
    <col min="5637" max="5888" width="11.42578125" style="74"/>
    <col min="5889" max="5889" width="33.28515625" style="74" bestFit="1" customWidth="1"/>
    <col min="5890" max="5890" width="11.7109375" style="74" bestFit="1" customWidth="1"/>
    <col min="5891" max="5891" width="14.42578125" style="74" bestFit="1" customWidth="1"/>
    <col min="5892" max="5892" width="9.7109375" style="74" customWidth="1"/>
    <col min="5893" max="6144" width="11.42578125" style="74"/>
    <col min="6145" max="6145" width="33.28515625" style="74" bestFit="1" customWidth="1"/>
    <col min="6146" max="6146" width="11.7109375" style="74" bestFit="1" customWidth="1"/>
    <col min="6147" max="6147" width="14.42578125" style="74" bestFit="1" customWidth="1"/>
    <col min="6148" max="6148" width="9.7109375" style="74" customWidth="1"/>
    <col min="6149" max="6400" width="11.42578125" style="74"/>
    <col min="6401" max="6401" width="33.28515625" style="74" bestFit="1" customWidth="1"/>
    <col min="6402" max="6402" width="11.7109375" style="74" bestFit="1" customWidth="1"/>
    <col min="6403" max="6403" width="14.42578125" style="74" bestFit="1" customWidth="1"/>
    <col min="6404" max="6404" width="9.7109375" style="74" customWidth="1"/>
    <col min="6405" max="6656" width="11.42578125" style="74"/>
    <col min="6657" max="6657" width="33.28515625" style="74" bestFit="1" customWidth="1"/>
    <col min="6658" max="6658" width="11.7109375" style="74" bestFit="1" customWidth="1"/>
    <col min="6659" max="6659" width="14.42578125" style="74" bestFit="1" customWidth="1"/>
    <col min="6660" max="6660" width="9.7109375" style="74" customWidth="1"/>
    <col min="6661" max="6912" width="11.42578125" style="74"/>
    <col min="6913" max="6913" width="33.28515625" style="74" bestFit="1" customWidth="1"/>
    <col min="6914" max="6914" width="11.7109375" style="74" bestFit="1" customWidth="1"/>
    <col min="6915" max="6915" width="14.42578125" style="74" bestFit="1" customWidth="1"/>
    <col min="6916" max="6916" width="9.7109375" style="74" customWidth="1"/>
    <col min="6917" max="7168" width="11.42578125" style="74"/>
    <col min="7169" max="7169" width="33.28515625" style="74" bestFit="1" customWidth="1"/>
    <col min="7170" max="7170" width="11.7109375" style="74" bestFit="1" customWidth="1"/>
    <col min="7171" max="7171" width="14.42578125" style="74" bestFit="1" customWidth="1"/>
    <col min="7172" max="7172" width="9.7109375" style="74" customWidth="1"/>
    <col min="7173" max="7424" width="11.42578125" style="74"/>
    <col min="7425" max="7425" width="33.28515625" style="74" bestFit="1" customWidth="1"/>
    <col min="7426" max="7426" width="11.7109375" style="74" bestFit="1" customWidth="1"/>
    <col min="7427" max="7427" width="14.42578125" style="74" bestFit="1" customWidth="1"/>
    <col min="7428" max="7428" width="9.7109375" style="74" customWidth="1"/>
    <col min="7429" max="7680" width="11.42578125" style="74"/>
    <col min="7681" max="7681" width="33.28515625" style="74" bestFit="1" customWidth="1"/>
    <col min="7682" max="7682" width="11.7109375" style="74" bestFit="1" customWidth="1"/>
    <col min="7683" max="7683" width="14.42578125" style="74" bestFit="1" customWidth="1"/>
    <col min="7684" max="7684" width="9.7109375" style="74" customWidth="1"/>
    <col min="7685" max="7936" width="11.42578125" style="74"/>
    <col min="7937" max="7937" width="33.28515625" style="74" bestFit="1" customWidth="1"/>
    <col min="7938" max="7938" width="11.7109375" style="74" bestFit="1" customWidth="1"/>
    <col min="7939" max="7939" width="14.42578125" style="74" bestFit="1" customWidth="1"/>
    <col min="7940" max="7940" width="9.7109375" style="74" customWidth="1"/>
    <col min="7941" max="8192" width="11.42578125" style="74"/>
    <col min="8193" max="8193" width="33.28515625" style="74" bestFit="1" customWidth="1"/>
    <col min="8194" max="8194" width="11.7109375" style="74" bestFit="1" customWidth="1"/>
    <col min="8195" max="8195" width="14.42578125" style="74" bestFit="1" customWidth="1"/>
    <col min="8196" max="8196" width="9.7109375" style="74" customWidth="1"/>
    <col min="8197" max="8448" width="11.42578125" style="74"/>
    <col min="8449" max="8449" width="33.28515625" style="74" bestFit="1" customWidth="1"/>
    <col min="8450" max="8450" width="11.7109375" style="74" bestFit="1" customWidth="1"/>
    <col min="8451" max="8451" width="14.42578125" style="74" bestFit="1" customWidth="1"/>
    <col min="8452" max="8452" width="9.7109375" style="74" customWidth="1"/>
    <col min="8453" max="8704" width="11.42578125" style="74"/>
    <col min="8705" max="8705" width="33.28515625" style="74" bestFit="1" customWidth="1"/>
    <col min="8706" max="8706" width="11.7109375" style="74" bestFit="1" customWidth="1"/>
    <col min="8707" max="8707" width="14.42578125" style="74" bestFit="1" customWidth="1"/>
    <col min="8708" max="8708" width="9.7109375" style="74" customWidth="1"/>
    <col min="8709" max="8960" width="11.42578125" style="74"/>
    <col min="8961" max="8961" width="33.28515625" style="74" bestFit="1" customWidth="1"/>
    <col min="8962" max="8962" width="11.7109375" style="74" bestFit="1" customWidth="1"/>
    <col min="8963" max="8963" width="14.42578125" style="74" bestFit="1" customWidth="1"/>
    <col min="8964" max="8964" width="9.7109375" style="74" customWidth="1"/>
    <col min="8965" max="9216" width="11.42578125" style="74"/>
    <col min="9217" max="9217" width="33.28515625" style="74" bestFit="1" customWidth="1"/>
    <col min="9218" max="9218" width="11.7109375" style="74" bestFit="1" customWidth="1"/>
    <col min="9219" max="9219" width="14.42578125" style="74" bestFit="1" customWidth="1"/>
    <col min="9220" max="9220" width="9.7109375" style="74" customWidth="1"/>
    <col min="9221" max="9472" width="11.42578125" style="74"/>
    <col min="9473" max="9473" width="33.28515625" style="74" bestFit="1" customWidth="1"/>
    <col min="9474" max="9474" width="11.7109375" style="74" bestFit="1" customWidth="1"/>
    <col min="9475" max="9475" width="14.42578125" style="74" bestFit="1" customWidth="1"/>
    <col min="9476" max="9476" width="9.7109375" style="74" customWidth="1"/>
    <col min="9477" max="9728" width="11.42578125" style="74"/>
    <col min="9729" max="9729" width="33.28515625" style="74" bestFit="1" customWidth="1"/>
    <col min="9730" max="9730" width="11.7109375" style="74" bestFit="1" customWidth="1"/>
    <col min="9731" max="9731" width="14.42578125" style="74" bestFit="1" customWidth="1"/>
    <col min="9732" max="9732" width="9.7109375" style="74" customWidth="1"/>
    <col min="9733" max="9984" width="11.42578125" style="74"/>
    <col min="9985" max="9985" width="33.28515625" style="74" bestFit="1" customWidth="1"/>
    <col min="9986" max="9986" width="11.7109375" style="74" bestFit="1" customWidth="1"/>
    <col min="9987" max="9987" width="14.42578125" style="74" bestFit="1" customWidth="1"/>
    <col min="9988" max="9988" width="9.7109375" style="74" customWidth="1"/>
    <col min="9989" max="10240" width="11.42578125" style="74"/>
    <col min="10241" max="10241" width="33.28515625" style="74" bestFit="1" customWidth="1"/>
    <col min="10242" max="10242" width="11.7109375" style="74" bestFit="1" customWidth="1"/>
    <col min="10243" max="10243" width="14.42578125" style="74" bestFit="1" customWidth="1"/>
    <col min="10244" max="10244" width="9.7109375" style="74" customWidth="1"/>
    <col min="10245" max="10496" width="11.42578125" style="74"/>
    <col min="10497" max="10497" width="33.28515625" style="74" bestFit="1" customWidth="1"/>
    <col min="10498" max="10498" width="11.7109375" style="74" bestFit="1" customWidth="1"/>
    <col min="10499" max="10499" width="14.42578125" style="74" bestFit="1" customWidth="1"/>
    <col min="10500" max="10500" width="9.7109375" style="74" customWidth="1"/>
    <col min="10501" max="10752" width="11.42578125" style="74"/>
    <col min="10753" max="10753" width="33.28515625" style="74" bestFit="1" customWidth="1"/>
    <col min="10754" max="10754" width="11.7109375" style="74" bestFit="1" customWidth="1"/>
    <col min="10755" max="10755" width="14.42578125" style="74" bestFit="1" customWidth="1"/>
    <col min="10756" max="10756" width="9.7109375" style="74" customWidth="1"/>
    <col min="10757" max="11008" width="11.42578125" style="74"/>
    <col min="11009" max="11009" width="33.28515625" style="74" bestFit="1" customWidth="1"/>
    <col min="11010" max="11010" width="11.7109375" style="74" bestFit="1" customWidth="1"/>
    <col min="11011" max="11011" width="14.42578125" style="74" bestFit="1" customWidth="1"/>
    <col min="11012" max="11012" width="9.7109375" style="74" customWidth="1"/>
    <col min="11013" max="11264" width="11.42578125" style="74"/>
    <col min="11265" max="11265" width="33.28515625" style="74" bestFit="1" customWidth="1"/>
    <col min="11266" max="11266" width="11.7109375" style="74" bestFit="1" customWidth="1"/>
    <col min="11267" max="11267" width="14.42578125" style="74" bestFit="1" customWidth="1"/>
    <col min="11268" max="11268" width="9.7109375" style="74" customWidth="1"/>
    <col min="11269" max="11520" width="11.42578125" style="74"/>
    <col min="11521" max="11521" width="33.28515625" style="74" bestFit="1" customWidth="1"/>
    <col min="11522" max="11522" width="11.7109375" style="74" bestFit="1" customWidth="1"/>
    <col min="11523" max="11523" width="14.42578125" style="74" bestFit="1" customWidth="1"/>
    <col min="11524" max="11524" width="9.7109375" style="74" customWidth="1"/>
    <col min="11525" max="11776" width="11.42578125" style="74"/>
    <col min="11777" max="11777" width="33.28515625" style="74" bestFit="1" customWidth="1"/>
    <col min="11778" max="11778" width="11.7109375" style="74" bestFit="1" customWidth="1"/>
    <col min="11779" max="11779" width="14.42578125" style="74" bestFit="1" customWidth="1"/>
    <col min="11780" max="11780" width="9.7109375" style="74" customWidth="1"/>
    <col min="11781" max="12032" width="11.42578125" style="74"/>
    <col min="12033" max="12033" width="33.28515625" style="74" bestFit="1" customWidth="1"/>
    <col min="12034" max="12034" width="11.7109375" style="74" bestFit="1" customWidth="1"/>
    <col min="12035" max="12035" width="14.42578125" style="74" bestFit="1" customWidth="1"/>
    <col min="12036" max="12036" width="9.7109375" style="74" customWidth="1"/>
    <col min="12037" max="12288" width="11.42578125" style="74"/>
    <col min="12289" max="12289" width="33.28515625" style="74" bestFit="1" customWidth="1"/>
    <col min="12290" max="12290" width="11.7109375" style="74" bestFit="1" customWidth="1"/>
    <col min="12291" max="12291" width="14.42578125" style="74" bestFit="1" customWidth="1"/>
    <col min="12292" max="12292" width="9.7109375" style="74" customWidth="1"/>
    <col min="12293" max="12544" width="11.42578125" style="74"/>
    <col min="12545" max="12545" width="33.28515625" style="74" bestFit="1" customWidth="1"/>
    <col min="12546" max="12546" width="11.7109375" style="74" bestFit="1" customWidth="1"/>
    <col min="12547" max="12547" width="14.42578125" style="74" bestFit="1" customWidth="1"/>
    <col min="12548" max="12548" width="9.7109375" style="74" customWidth="1"/>
    <col min="12549" max="12800" width="11.42578125" style="74"/>
    <col min="12801" max="12801" width="33.28515625" style="74" bestFit="1" customWidth="1"/>
    <col min="12802" max="12802" width="11.7109375" style="74" bestFit="1" customWidth="1"/>
    <col min="12803" max="12803" width="14.42578125" style="74" bestFit="1" customWidth="1"/>
    <col min="12804" max="12804" width="9.7109375" style="74" customWidth="1"/>
    <col min="12805" max="13056" width="11.42578125" style="74"/>
    <col min="13057" max="13057" width="33.28515625" style="74" bestFit="1" customWidth="1"/>
    <col min="13058" max="13058" width="11.7109375" style="74" bestFit="1" customWidth="1"/>
    <col min="13059" max="13059" width="14.42578125" style="74" bestFit="1" customWidth="1"/>
    <col min="13060" max="13060" width="9.7109375" style="74" customWidth="1"/>
    <col min="13061" max="13312" width="11.42578125" style="74"/>
    <col min="13313" max="13313" width="33.28515625" style="74" bestFit="1" customWidth="1"/>
    <col min="13314" max="13314" width="11.7109375" style="74" bestFit="1" customWidth="1"/>
    <col min="13315" max="13315" width="14.42578125" style="74" bestFit="1" customWidth="1"/>
    <col min="13316" max="13316" width="9.7109375" style="74" customWidth="1"/>
    <col min="13317" max="13568" width="11.42578125" style="74"/>
    <col min="13569" max="13569" width="33.28515625" style="74" bestFit="1" customWidth="1"/>
    <col min="13570" max="13570" width="11.7109375" style="74" bestFit="1" customWidth="1"/>
    <col min="13571" max="13571" width="14.42578125" style="74" bestFit="1" customWidth="1"/>
    <col min="13572" max="13572" width="9.7109375" style="74" customWidth="1"/>
    <col min="13573" max="13824" width="11.42578125" style="74"/>
    <col min="13825" max="13825" width="33.28515625" style="74" bestFit="1" customWidth="1"/>
    <col min="13826" max="13826" width="11.7109375" style="74" bestFit="1" customWidth="1"/>
    <col min="13827" max="13827" width="14.42578125" style="74" bestFit="1" customWidth="1"/>
    <col min="13828" max="13828" width="9.7109375" style="74" customWidth="1"/>
    <col min="13829" max="14080" width="11.42578125" style="74"/>
    <col min="14081" max="14081" width="33.28515625" style="74" bestFit="1" customWidth="1"/>
    <col min="14082" max="14082" width="11.7109375" style="74" bestFit="1" customWidth="1"/>
    <col min="14083" max="14083" width="14.42578125" style="74" bestFit="1" customWidth="1"/>
    <col min="14084" max="14084" width="9.7109375" style="74" customWidth="1"/>
    <col min="14085" max="14336" width="11.42578125" style="74"/>
    <col min="14337" max="14337" width="33.28515625" style="74" bestFit="1" customWidth="1"/>
    <col min="14338" max="14338" width="11.7109375" style="74" bestFit="1" customWidth="1"/>
    <col min="14339" max="14339" width="14.42578125" style="74" bestFit="1" customWidth="1"/>
    <col min="14340" max="14340" width="9.7109375" style="74" customWidth="1"/>
    <col min="14341" max="14592" width="11.42578125" style="74"/>
    <col min="14593" max="14593" width="33.28515625" style="74" bestFit="1" customWidth="1"/>
    <col min="14594" max="14594" width="11.7109375" style="74" bestFit="1" customWidth="1"/>
    <col min="14595" max="14595" width="14.42578125" style="74" bestFit="1" customWidth="1"/>
    <col min="14596" max="14596" width="9.7109375" style="74" customWidth="1"/>
    <col min="14597" max="14848" width="11.42578125" style="74"/>
    <col min="14849" max="14849" width="33.28515625" style="74" bestFit="1" customWidth="1"/>
    <col min="14850" max="14850" width="11.7109375" style="74" bestFit="1" customWidth="1"/>
    <col min="14851" max="14851" width="14.42578125" style="74" bestFit="1" customWidth="1"/>
    <col min="14852" max="14852" width="9.7109375" style="74" customWidth="1"/>
    <col min="14853" max="15104" width="11.42578125" style="74"/>
    <col min="15105" max="15105" width="33.28515625" style="74" bestFit="1" customWidth="1"/>
    <col min="15106" max="15106" width="11.7109375" style="74" bestFit="1" customWidth="1"/>
    <col min="15107" max="15107" width="14.42578125" style="74" bestFit="1" customWidth="1"/>
    <col min="15108" max="15108" width="9.7109375" style="74" customWidth="1"/>
    <col min="15109" max="15360" width="11.42578125" style="74"/>
    <col min="15361" max="15361" width="33.28515625" style="74" bestFit="1" customWidth="1"/>
    <col min="15362" max="15362" width="11.7109375" style="74" bestFit="1" customWidth="1"/>
    <col min="15363" max="15363" width="14.42578125" style="74" bestFit="1" customWidth="1"/>
    <col min="15364" max="15364" width="9.7109375" style="74" customWidth="1"/>
    <col min="15365" max="15616" width="11.42578125" style="74"/>
    <col min="15617" max="15617" width="33.28515625" style="74" bestFit="1" customWidth="1"/>
    <col min="15618" max="15618" width="11.7109375" style="74" bestFit="1" customWidth="1"/>
    <col min="15619" max="15619" width="14.42578125" style="74" bestFit="1" customWidth="1"/>
    <col min="15620" max="15620" width="9.7109375" style="74" customWidth="1"/>
    <col min="15621" max="15872" width="11.42578125" style="74"/>
    <col min="15873" max="15873" width="33.28515625" style="74" bestFit="1" customWidth="1"/>
    <col min="15874" max="15874" width="11.7109375" style="74" bestFit="1" customWidth="1"/>
    <col min="15875" max="15875" width="14.42578125" style="74" bestFit="1" customWidth="1"/>
    <col min="15876" max="15876" width="9.7109375" style="74" customWidth="1"/>
    <col min="15877" max="16128" width="11.42578125" style="74"/>
    <col min="16129" max="16129" width="33.28515625" style="74" bestFit="1" customWidth="1"/>
    <col min="16130" max="16130" width="11.7109375" style="74" bestFit="1" customWidth="1"/>
    <col min="16131" max="16131" width="14.42578125" style="74" bestFit="1" customWidth="1"/>
    <col min="16132" max="16132" width="9.7109375" style="74" customWidth="1"/>
    <col min="16133" max="16384" width="11.42578125" style="74"/>
  </cols>
  <sheetData>
    <row r="8" spans="1:5" ht="18.75">
      <c r="A8" s="197"/>
    </row>
    <row r="9" spans="1:5" ht="18.75">
      <c r="A9" s="197"/>
    </row>
    <row r="10" spans="1:5" ht="18.75">
      <c r="A10" s="197"/>
    </row>
    <row r="11" spans="1:5" ht="15.75">
      <c r="E11" s="76">
        <v>43790</v>
      </c>
    </row>
    <row r="13" spans="1:5">
      <c r="A13" s="74" t="s">
        <v>382</v>
      </c>
    </row>
    <row r="14" spans="1:5">
      <c r="A14" s="168" t="s">
        <v>447</v>
      </c>
    </row>
    <row r="16" spans="1:5" ht="15">
      <c r="A16" s="74" t="s">
        <v>403</v>
      </c>
      <c r="B16" s="155"/>
      <c r="C16" s="169">
        <f>'Detalle hipotecario'!G20</f>
        <v>300000.00800000003</v>
      </c>
    </row>
    <row r="17" spans="1:3" ht="15">
      <c r="B17" s="155"/>
      <c r="C17" s="155"/>
    </row>
    <row r="18" spans="1:3" ht="15">
      <c r="A18" s="168" t="s">
        <v>384</v>
      </c>
      <c r="B18" s="155"/>
      <c r="C18" s="155"/>
    </row>
    <row r="19" spans="1:3" ht="15">
      <c r="A19" s="74" t="s">
        <v>444</v>
      </c>
      <c r="B19" s="155">
        <f>'Detalle hipotecario'!G26</f>
        <v>10080.000268800002</v>
      </c>
      <c r="C19" s="155"/>
    </row>
    <row r="20" spans="1:3" ht="15">
      <c r="A20" s="74" t="s">
        <v>445</v>
      </c>
      <c r="B20" s="155">
        <f>'Detalle hipotecario'!F31</f>
        <v>12000.000320000001</v>
      </c>
      <c r="C20" s="155"/>
    </row>
    <row r="21" spans="1:3" ht="15">
      <c r="A21" s="74" t="s">
        <v>351</v>
      </c>
      <c r="B21" s="198">
        <f>'Detalle hipotecario'!F32+'Detalle hipotecario'!F34</f>
        <v>3600.0000800000003</v>
      </c>
      <c r="C21" s="155"/>
    </row>
    <row r="22" spans="1:3" ht="15">
      <c r="A22" s="74" t="s">
        <v>404</v>
      </c>
      <c r="B22" s="155">
        <f>'Detalle hipotecario'!F36</f>
        <v>991.25</v>
      </c>
      <c r="C22" s="155"/>
    </row>
    <row r="23" spans="1:3" ht="15">
      <c r="A23" s="74" t="s">
        <v>405</v>
      </c>
      <c r="B23" s="174">
        <f>'Detalle hipotecario'!G44</f>
        <v>4060.0001056000001</v>
      </c>
      <c r="C23" s="174">
        <f>SUM(B19:B23)</f>
        <v>30731.250774400003</v>
      </c>
    </row>
    <row r="24" spans="1:3" ht="18.75" customHeight="1" thickBot="1">
      <c r="A24" s="74" t="s">
        <v>388</v>
      </c>
      <c r="B24" s="155"/>
      <c r="C24" s="175">
        <f>C16-C23</f>
        <v>269268.75722560001</v>
      </c>
    </row>
    <row r="25" spans="1:3" ht="15">
      <c r="B25" s="155"/>
      <c r="C25" s="155"/>
    </row>
    <row r="26" spans="1:3" ht="15">
      <c r="B26" s="155"/>
      <c r="C26" s="155"/>
    </row>
    <row r="27" spans="1:3" ht="15">
      <c r="B27" s="155"/>
      <c r="C27" s="155"/>
    </row>
    <row r="28" spans="1:3">
      <c r="B28" s="199"/>
      <c r="C28" s="199"/>
    </row>
    <row r="29" spans="1:3">
      <c r="B29" s="199"/>
      <c r="C29" s="199"/>
    </row>
    <row r="30" spans="1:3">
      <c r="B30" s="199"/>
      <c r="C30" s="199"/>
    </row>
  </sheetData>
  <pageMargins left="0.7" right="0.52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theme="5" tint="-0.249977111117893"/>
  </sheetPr>
  <dimension ref="A3:D28"/>
  <sheetViews>
    <sheetView workbookViewId="0">
      <selection activeCell="A17" sqref="A17"/>
    </sheetView>
  </sheetViews>
  <sheetFormatPr baseColWidth="10" defaultRowHeight="12.75"/>
  <cols>
    <col min="1" max="1" width="31.28515625" style="74" bestFit="1" customWidth="1"/>
    <col min="2" max="2" width="10.7109375" style="74" bestFit="1" customWidth="1"/>
    <col min="3" max="3" width="17.7109375" style="74" customWidth="1"/>
    <col min="4" max="4" width="11.7109375" style="74" bestFit="1" customWidth="1"/>
    <col min="5" max="6" width="11.42578125" style="74"/>
    <col min="7" max="7" width="12" style="74" bestFit="1" customWidth="1"/>
    <col min="8" max="256" width="11.42578125" style="74"/>
    <col min="257" max="257" width="31.28515625" style="74" bestFit="1" customWidth="1"/>
    <col min="258" max="258" width="10.7109375" style="74" bestFit="1" customWidth="1"/>
    <col min="259" max="259" width="17.7109375" style="74" customWidth="1"/>
    <col min="260" max="262" width="11.42578125" style="74"/>
    <col min="263" max="263" width="12" style="74" bestFit="1" customWidth="1"/>
    <col min="264" max="512" width="11.42578125" style="74"/>
    <col min="513" max="513" width="31.28515625" style="74" bestFit="1" customWidth="1"/>
    <col min="514" max="514" width="10.7109375" style="74" bestFit="1" customWidth="1"/>
    <col min="515" max="515" width="17.7109375" style="74" customWidth="1"/>
    <col min="516" max="518" width="11.42578125" style="74"/>
    <col min="519" max="519" width="12" style="74" bestFit="1" customWidth="1"/>
    <col min="520" max="768" width="11.42578125" style="74"/>
    <col min="769" max="769" width="31.28515625" style="74" bestFit="1" customWidth="1"/>
    <col min="770" max="770" width="10.7109375" style="74" bestFit="1" customWidth="1"/>
    <col min="771" max="771" width="17.7109375" style="74" customWidth="1"/>
    <col min="772" max="774" width="11.42578125" style="74"/>
    <col min="775" max="775" width="12" style="74" bestFit="1" customWidth="1"/>
    <col min="776" max="1024" width="11.42578125" style="74"/>
    <col min="1025" max="1025" width="31.28515625" style="74" bestFit="1" customWidth="1"/>
    <col min="1026" max="1026" width="10.7109375" style="74" bestFit="1" customWidth="1"/>
    <col min="1027" max="1027" width="17.7109375" style="74" customWidth="1"/>
    <col min="1028" max="1030" width="11.42578125" style="74"/>
    <col min="1031" max="1031" width="12" style="74" bestFit="1" customWidth="1"/>
    <col min="1032" max="1280" width="11.42578125" style="74"/>
    <col min="1281" max="1281" width="31.28515625" style="74" bestFit="1" customWidth="1"/>
    <col min="1282" max="1282" width="10.7109375" style="74" bestFit="1" customWidth="1"/>
    <col min="1283" max="1283" width="17.7109375" style="74" customWidth="1"/>
    <col min="1284" max="1286" width="11.42578125" style="74"/>
    <col min="1287" max="1287" width="12" style="74" bestFit="1" customWidth="1"/>
    <col min="1288" max="1536" width="11.42578125" style="74"/>
    <col min="1537" max="1537" width="31.28515625" style="74" bestFit="1" customWidth="1"/>
    <col min="1538" max="1538" width="10.7109375" style="74" bestFit="1" customWidth="1"/>
    <col min="1539" max="1539" width="17.7109375" style="74" customWidth="1"/>
    <col min="1540" max="1542" width="11.42578125" style="74"/>
    <col min="1543" max="1543" width="12" style="74" bestFit="1" customWidth="1"/>
    <col min="1544" max="1792" width="11.42578125" style="74"/>
    <col min="1793" max="1793" width="31.28515625" style="74" bestFit="1" customWidth="1"/>
    <col min="1794" max="1794" width="10.7109375" style="74" bestFit="1" customWidth="1"/>
    <col min="1795" max="1795" width="17.7109375" style="74" customWidth="1"/>
    <col min="1796" max="1798" width="11.42578125" style="74"/>
    <col min="1799" max="1799" width="12" style="74" bestFit="1" customWidth="1"/>
    <col min="1800" max="2048" width="11.42578125" style="74"/>
    <col min="2049" max="2049" width="31.28515625" style="74" bestFit="1" customWidth="1"/>
    <col min="2050" max="2050" width="10.7109375" style="74" bestFit="1" customWidth="1"/>
    <col min="2051" max="2051" width="17.7109375" style="74" customWidth="1"/>
    <col min="2052" max="2054" width="11.42578125" style="74"/>
    <col min="2055" max="2055" width="12" style="74" bestFit="1" customWidth="1"/>
    <col min="2056" max="2304" width="11.42578125" style="74"/>
    <col min="2305" max="2305" width="31.28515625" style="74" bestFit="1" customWidth="1"/>
    <col min="2306" max="2306" width="10.7109375" style="74" bestFit="1" customWidth="1"/>
    <col min="2307" max="2307" width="17.7109375" style="74" customWidth="1"/>
    <col min="2308" max="2310" width="11.42578125" style="74"/>
    <col min="2311" max="2311" width="12" style="74" bestFit="1" customWidth="1"/>
    <col min="2312" max="2560" width="11.42578125" style="74"/>
    <col min="2561" max="2561" width="31.28515625" style="74" bestFit="1" customWidth="1"/>
    <col min="2562" max="2562" width="10.7109375" style="74" bestFit="1" customWidth="1"/>
    <col min="2563" max="2563" width="17.7109375" style="74" customWidth="1"/>
    <col min="2564" max="2566" width="11.42578125" style="74"/>
    <col min="2567" max="2567" width="12" style="74" bestFit="1" customWidth="1"/>
    <col min="2568" max="2816" width="11.42578125" style="74"/>
    <col min="2817" max="2817" width="31.28515625" style="74" bestFit="1" customWidth="1"/>
    <col min="2818" max="2818" width="10.7109375" style="74" bestFit="1" customWidth="1"/>
    <col min="2819" max="2819" width="17.7109375" style="74" customWidth="1"/>
    <col min="2820" max="2822" width="11.42578125" style="74"/>
    <col min="2823" max="2823" width="12" style="74" bestFit="1" customWidth="1"/>
    <col min="2824" max="3072" width="11.42578125" style="74"/>
    <col min="3073" max="3073" width="31.28515625" style="74" bestFit="1" customWidth="1"/>
    <col min="3074" max="3074" width="10.7109375" style="74" bestFit="1" customWidth="1"/>
    <col min="3075" max="3075" width="17.7109375" style="74" customWidth="1"/>
    <col min="3076" max="3078" width="11.42578125" style="74"/>
    <col min="3079" max="3079" width="12" style="74" bestFit="1" customWidth="1"/>
    <col min="3080" max="3328" width="11.42578125" style="74"/>
    <col min="3329" max="3329" width="31.28515625" style="74" bestFit="1" customWidth="1"/>
    <col min="3330" max="3330" width="10.7109375" style="74" bestFit="1" customWidth="1"/>
    <col min="3331" max="3331" width="17.7109375" style="74" customWidth="1"/>
    <col min="3332" max="3334" width="11.42578125" style="74"/>
    <col min="3335" max="3335" width="12" style="74" bestFit="1" customWidth="1"/>
    <col min="3336" max="3584" width="11.42578125" style="74"/>
    <col min="3585" max="3585" width="31.28515625" style="74" bestFit="1" customWidth="1"/>
    <col min="3586" max="3586" width="10.7109375" style="74" bestFit="1" customWidth="1"/>
    <col min="3587" max="3587" width="17.7109375" style="74" customWidth="1"/>
    <col min="3588" max="3590" width="11.42578125" style="74"/>
    <col min="3591" max="3591" width="12" style="74" bestFit="1" customWidth="1"/>
    <col min="3592" max="3840" width="11.42578125" style="74"/>
    <col min="3841" max="3841" width="31.28515625" style="74" bestFit="1" customWidth="1"/>
    <col min="3842" max="3842" width="10.7109375" style="74" bestFit="1" customWidth="1"/>
    <col min="3843" max="3843" width="17.7109375" style="74" customWidth="1"/>
    <col min="3844" max="3846" width="11.42578125" style="74"/>
    <col min="3847" max="3847" width="12" style="74" bestFit="1" customWidth="1"/>
    <col min="3848" max="4096" width="11.42578125" style="74"/>
    <col min="4097" max="4097" width="31.28515625" style="74" bestFit="1" customWidth="1"/>
    <col min="4098" max="4098" width="10.7109375" style="74" bestFit="1" customWidth="1"/>
    <col min="4099" max="4099" width="17.7109375" style="74" customWidth="1"/>
    <col min="4100" max="4102" width="11.42578125" style="74"/>
    <col min="4103" max="4103" width="12" style="74" bestFit="1" customWidth="1"/>
    <col min="4104" max="4352" width="11.42578125" style="74"/>
    <col min="4353" max="4353" width="31.28515625" style="74" bestFit="1" customWidth="1"/>
    <col min="4354" max="4354" width="10.7109375" style="74" bestFit="1" customWidth="1"/>
    <col min="4355" max="4355" width="17.7109375" style="74" customWidth="1"/>
    <col min="4356" max="4358" width="11.42578125" style="74"/>
    <col min="4359" max="4359" width="12" style="74" bestFit="1" customWidth="1"/>
    <col min="4360" max="4608" width="11.42578125" style="74"/>
    <col min="4609" max="4609" width="31.28515625" style="74" bestFit="1" customWidth="1"/>
    <col min="4610" max="4610" width="10.7109375" style="74" bestFit="1" customWidth="1"/>
    <col min="4611" max="4611" width="17.7109375" style="74" customWidth="1"/>
    <col min="4612" max="4614" width="11.42578125" style="74"/>
    <col min="4615" max="4615" width="12" style="74" bestFit="1" customWidth="1"/>
    <col min="4616" max="4864" width="11.42578125" style="74"/>
    <col min="4865" max="4865" width="31.28515625" style="74" bestFit="1" customWidth="1"/>
    <col min="4866" max="4866" width="10.7109375" style="74" bestFit="1" customWidth="1"/>
    <col min="4867" max="4867" width="17.7109375" style="74" customWidth="1"/>
    <col min="4868" max="4870" width="11.42578125" style="74"/>
    <col min="4871" max="4871" width="12" style="74" bestFit="1" customWidth="1"/>
    <col min="4872" max="5120" width="11.42578125" style="74"/>
    <col min="5121" max="5121" width="31.28515625" style="74" bestFit="1" customWidth="1"/>
    <col min="5122" max="5122" width="10.7109375" style="74" bestFit="1" customWidth="1"/>
    <col min="5123" max="5123" width="17.7109375" style="74" customWidth="1"/>
    <col min="5124" max="5126" width="11.42578125" style="74"/>
    <col min="5127" max="5127" width="12" style="74" bestFit="1" customWidth="1"/>
    <col min="5128" max="5376" width="11.42578125" style="74"/>
    <col min="5377" max="5377" width="31.28515625" style="74" bestFit="1" customWidth="1"/>
    <col min="5378" max="5378" width="10.7109375" style="74" bestFit="1" customWidth="1"/>
    <col min="5379" max="5379" width="17.7109375" style="74" customWidth="1"/>
    <col min="5380" max="5382" width="11.42578125" style="74"/>
    <col min="5383" max="5383" width="12" style="74" bestFit="1" customWidth="1"/>
    <col min="5384" max="5632" width="11.42578125" style="74"/>
    <col min="5633" max="5633" width="31.28515625" style="74" bestFit="1" customWidth="1"/>
    <col min="5634" max="5634" width="10.7109375" style="74" bestFit="1" customWidth="1"/>
    <col min="5635" max="5635" width="17.7109375" style="74" customWidth="1"/>
    <col min="5636" max="5638" width="11.42578125" style="74"/>
    <col min="5639" max="5639" width="12" style="74" bestFit="1" customWidth="1"/>
    <col min="5640" max="5888" width="11.42578125" style="74"/>
    <col min="5889" max="5889" width="31.28515625" style="74" bestFit="1" customWidth="1"/>
    <col min="5890" max="5890" width="10.7109375" style="74" bestFit="1" customWidth="1"/>
    <col min="5891" max="5891" width="17.7109375" style="74" customWidth="1"/>
    <col min="5892" max="5894" width="11.42578125" style="74"/>
    <col min="5895" max="5895" width="12" style="74" bestFit="1" customWidth="1"/>
    <col min="5896" max="6144" width="11.42578125" style="74"/>
    <col min="6145" max="6145" width="31.28515625" style="74" bestFit="1" customWidth="1"/>
    <col min="6146" max="6146" width="10.7109375" style="74" bestFit="1" customWidth="1"/>
    <col min="6147" max="6147" width="17.7109375" style="74" customWidth="1"/>
    <col min="6148" max="6150" width="11.42578125" style="74"/>
    <col min="6151" max="6151" width="12" style="74" bestFit="1" customWidth="1"/>
    <col min="6152" max="6400" width="11.42578125" style="74"/>
    <col min="6401" max="6401" width="31.28515625" style="74" bestFit="1" customWidth="1"/>
    <col min="6402" max="6402" width="10.7109375" style="74" bestFit="1" customWidth="1"/>
    <col min="6403" max="6403" width="17.7109375" style="74" customWidth="1"/>
    <col min="6404" max="6406" width="11.42578125" style="74"/>
    <col min="6407" max="6407" width="12" style="74" bestFit="1" customWidth="1"/>
    <col min="6408" max="6656" width="11.42578125" style="74"/>
    <col min="6657" max="6657" width="31.28515625" style="74" bestFit="1" customWidth="1"/>
    <col min="6658" max="6658" width="10.7109375" style="74" bestFit="1" customWidth="1"/>
    <col min="6659" max="6659" width="17.7109375" style="74" customWidth="1"/>
    <col min="6660" max="6662" width="11.42578125" style="74"/>
    <col min="6663" max="6663" width="12" style="74" bestFit="1" customWidth="1"/>
    <col min="6664" max="6912" width="11.42578125" style="74"/>
    <col min="6913" max="6913" width="31.28515625" style="74" bestFit="1" customWidth="1"/>
    <col min="6914" max="6914" width="10.7109375" style="74" bestFit="1" customWidth="1"/>
    <col min="6915" max="6915" width="17.7109375" style="74" customWidth="1"/>
    <col min="6916" max="6918" width="11.42578125" style="74"/>
    <col min="6919" max="6919" width="12" style="74" bestFit="1" customWidth="1"/>
    <col min="6920" max="7168" width="11.42578125" style="74"/>
    <col min="7169" max="7169" width="31.28515625" style="74" bestFit="1" customWidth="1"/>
    <col min="7170" max="7170" width="10.7109375" style="74" bestFit="1" customWidth="1"/>
    <col min="7171" max="7171" width="17.7109375" style="74" customWidth="1"/>
    <col min="7172" max="7174" width="11.42578125" style="74"/>
    <col min="7175" max="7175" width="12" style="74" bestFit="1" customWidth="1"/>
    <col min="7176" max="7424" width="11.42578125" style="74"/>
    <col min="7425" max="7425" width="31.28515625" style="74" bestFit="1" customWidth="1"/>
    <col min="7426" max="7426" width="10.7109375" style="74" bestFit="1" customWidth="1"/>
    <col min="7427" max="7427" width="17.7109375" style="74" customWidth="1"/>
    <col min="7428" max="7430" width="11.42578125" style="74"/>
    <col min="7431" max="7431" width="12" style="74" bestFit="1" customWidth="1"/>
    <col min="7432" max="7680" width="11.42578125" style="74"/>
    <col min="7681" max="7681" width="31.28515625" style="74" bestFit="1" customWidth="1"/>
    <col min="7682" max="7682" width="10.7109375" style="74" bestFit="1" customWidth="1"/>
    <col min="7683" max="7683" width="17.7109375" style="74" customWidth="1"/>
    <col min="7684" max="7686" width="11.42578125" style="74"/>
    <col min="7687" max="7687" width="12" style="74" bestFit="1" customWidth="1"/>
    <col min="7688" max="7936" width="11.42578125" style="74"/>
    <col min="7937" max="7937" width="31.28515625" style="74" bestFit="1" customWidth="1"/>
    <col min="7938" max="7938" width="10.7109375" style="74" bestFit="1" customWidth="1"/>
    <col min="7939" max="7939" width="17.7109375" style="74" customWidth="1"/>
    <col min="7940" max="7942" width="11.42578125" style="74"/>
    <col min="7943" max="7943" width="12" style="74" bestFit="1" customWidth="1"/>
    <col min="7944" max="8192" width="11.42578125" style="74"/>
    <col min="8193" max="8193" width="31.28515625" style="74" bestFit="1" customWidth="1"/>
    <col min="8194" max="8194" width="10.7109375" style="74" bestFit="1" customWidth="1"/>
    <col min="8195" max="8195" width="17.7109375" style="74" customWidth="1"/>
    <col min="8196" max="8198" width="11.42578125" style="74"/>
    <col min="8199" max="8199" width="12" style="74" bestFit="1" customWidth="1"/>
    <col min="8200" max="8448" width="11.42578125" style="74"/>
    <col min="8449" max="8449" width="31.28515625" style="74" bestFit="1" customWidth="1"/>
    <col min="8450" max="8450" width="10.7109375" style="74" bestFit="1" customWidth="1"/>
    <col min="8451" max="8451" width="17.7109375" style="74" customWidth="1"/>
    <col min="8452" max="8454" width="11.42578125" style="74"/>
    <col min="8455" max="8455" width="12" style="74" bestFit="1" customWidth="1"/>
    <col min="8456" max="8704" width="11.42578125" style="74"/>
    <col min="8705" max="8705" width="31.28515625" style="74" bestFit="1" customWidth="1"/>
    <col min="8706" max="8706" width="10.7109375" style="74" bestFit="1" customWidth="1"/>
    <col min="8707" max="8707" width="17.7109375" style="74" customWidth="1"/>
    <col min="8708" max="8710" width="11.42578125" style="74"/>
    <col min="8711" max="8711" width="12" style="74" bestFit="1" customWidth="1"/>
    <col min="8712" max="8960" width="11.42578125" style="74"/>
    <col min="8961" max="8961" width="31.28515625" style="74" bestFit="1" customWidth="1"/>
    <col min="8962" max="8962" width="10.7109375" style="74" bestFit="1" customWidth="1"/>
    <col min="8963" max="8963" width="17.7109375" style="74" customWidth="1"/>
    <col min="8964" max="8966" width="11.42578125" style="74"/>
    <col min="8967" max="8967" width="12" style="74" bestFit="1" customWidth="1"/>
    <col min="8968" max="9216" width="11.42578125" style="74"/>
    <col min="9217" max="9217" width="31.28515625" style="74" bestFit="1" customWidth="1"/>
    <col min="9218" max="9218" width="10.7109375" style="74" bestFit="1" customWidth="1"/>
    <col min="9219" max="9219" width="17.7109375" style="74" customWidth="1"/>
    <col min="9220" max="9222" width="11.42578125" style="74"/>
    <col min="9223" max="9223" width="12" style="74" bestFit="1" customWidth="1"/>
    <col min="9224" max="9472" width="11.42578125" style="74"/>
    <col min="9473" max="9473" width="31.28515625" style="74" bestFit="1" customWidth="1"/>
    <col min="9474" max="9474" width="10.7109375" style="74" bestFit="1" customWidth="1"/>
    <col min="9475" max="9475" width="17.7109375" style="74" customWidth="1"/>
    <col min="9476" max="9478" width="11.42578125" style="74"/>
    <col min="9479" max="9479" width="12" style="74" bestFit="1" customWidth="1"/>
    <col min="9480" max="9728" width="11.42578125" style="74"/>
    <col min="9729" max="9729" width="31.28515625" style="74" bestFit="1" customWidth="1"/>
    <col min="9730" max="9730" width="10.7109375" style="74" bestFit="1" customWidth="1"/>
    <col min="9731" max="9731" width="17.7109375" style="74" customWidth="1"/>
    <col min="9732" max="9734" width="11.42578125" style="74"/>
    <col min="9735" max="9735" width="12" style="74" bestFit="1" customWidth="1"/>
    <col min="9736" max="9984" width="11.42578125" style="74"/>
    <col min="9985" max="9985" width="31.28515625" style="74" bestFit="1" customWidth="1"/>
    <col min="9986" max="9986" width="10.7109375" style="74" bestFit="1" customWidth="1"/>
    <col min="9987" max="9987" width="17.7109375" style="74" customWidth="1"/>
    <col min="9988" max="9990" width="11.42578125" style="74"/>
    <col min="9991" max="9991" width="12" style="74" bestFit="1" customWidth="1"/>
    <col min="9992" max="10240" width="11.42578125" style="74"/>
    <col min="10241" max="10241" width="31.28515625" style="74" bestFit="1" customWidth="1"/>
    <col min="10242" max="10242" width="10.7109375" style="74" bestFit="1" customWidth="1"/>
    <col min="10243" max="10243" width="17.7109375" style="74" customWidth="1"/>
    <col min="10244" max="10246" width="11.42578125" style="74"/>
    <col min="10247" max="10247" width="12" style="74" bestFit="1" customWidth="1"/>
    <col min="10248" max="10496" width="11.42578125" style="74"/>
    <col min="10497" max="10497" width="31.28515625" style="74" bestFit="1" customWidth="1"/>
    <col min="10498" max="10498" width="10.7109375" style="74" bestFit="1" customWidth="1"/>
    <col min="10499" max="10499" width="17.7109375" style="74" customWidth="1"/>
    <col min="10500" max="10502" width="11.42578125" style="74"/>
    <col min="10503" max="10503" width="12" style="74" bestFit="1" customWidth="1"/>
    <col min="10504" max="10752" width="11.42578125" style="74"/>
    <col min="10753" max="10753" width="31.28515625" style="74" bestFit="1" customWidth="1"/>
    <col min="10754" max="10754" width="10.7109375" style="74" bestFit="1" customWidth="1"/>
    <col min="10755" max="10755" width="17.7109375" style="74" customWidth="1"/>
    <col min="10756" max="10758" width="11.42578125" style="74"/>
    <col min="10759" max="10759" width="12" style="74" bestFit="1" customWidth="1"/>
    <col min="10760" max="11008" width="11.42578125" style="74"/>
    <col min="11009" max="11009" width="31.28515625" style="74" bestFit="1" customWidth="1"/>
    <col min="11010" max="11010" width="10.7109375" style="74" bestFit="1" customWidth="1"/>
    <col min="11011" max="11011" width="17.7109375" style="74" customWidth="1"/>
    <col min="11012" max="11014" width="11.42578125" style="74"/>
    <col min="11015" max="11015" width="12" style="74" bestFit="1" customWidth="1"/>
    <col min="11016" max="11264" width="11.42578125" style="74"/>
    <col min="11265" max="11265" width="31.28515625" style="74" bestFit="1" customWidth="1"/>
    <col min="11266" max="11266" width="10.7109375" style="74" bestFit="1" customWidth="1"/>
    <col min="11267" max="11267" width="17.7109375" style="74" customWidth="1"/>
    <col min="11268" max="11270" width="11.42578125" style="74"/>
    <col min="11271" max="11271" width="12" style="74" bestFit="1" customWidth="1"/>
    <col min="11272" max="11520" width="11.42578125" style="74"/>
    <col min="11521" max="11521" width="31.28515625" style="74" bestFit="1" customWidth="1"/>
    <col min="11522" max="11522" width="10.7109375" style="74" bestFit="1" customWidth="1"/>
    <col min="11523" max="11523" width="17.7109375" style="74" customWidth="1"/>
    <col min="11524" max="11526" width="11.42578125" style="74"/>
    <col min="11527" max="11527" width="12" style="74" bestFit="1" customWidth="1"/>
    <col min="11528" max="11776" width="11.42578125" style="74"/>
    <col min="11777" max="11777" width="31.28515625" style="74" bestFit="1" customWidth="1"/>
    <col min="11778" max="11778" width="10.7109375" style="74" bestFit="1" customWidth="1"/>
    <col min="11779" max="11779" width="17.7109375" style="74" customWidth="1"/>
    <col min="11780" max="11782" width="11.42578125" style="74"/>
    <col min="11783" max="11783" width="12" style="74" bestFit="1" customWidth="1"/>
    <col min="11784" max="12032" width="11.42578125" style="74"/>
    <col min="12033" max="12033" width="31.28515625" style="74" bestFit="1" customWidth="1"/>
    <col min="12034" max="12034" width="10.7109375" style="74" bestFit="1" customWidth="1"/>
    <col min="12035" max="12035" width="17.7109375" style="74" customWidth="1"/>
    <col min="12036" max="12038" width="11.42578125" style="74"/>
    <col min="12039" max="12039" width="12" style="74" bestFit="1" customWidth="1"/>
    <col min="12040" max="12288" width="11.42578125" style="74"/>
    <col min="12289" max="12289" width="31.28515625" style="74" bestFit="1" customWidth="1"/>
    <col min="12290" max="12290" width="10.7109375" style="74" bestFit="1" customWidth="1"/>
    <col min="12291" max="12291" width="17.7109375" style="74" customWidth="1"/>
    <col min="12292" max="12294" width="11.42578125" style="74"/>
    <col min="12295" max="12295" width="12" style="74" bestFit="1" customWidth="1"/>
    <col min="12296" max="12544" width="11.42578125" style="74"/>
    <col min="12545" max="12545" width="31.28515625" style="74" bestFit="1" customWidth="1"/>
    <col min="12546" max="12546" width="10.7109375" style="74" bestFit="1" customWidth="1"/>
    <col min="12547" max="12547" width="17.7109375" style="74" customWidth="1"/>
    <col min="12548" max="12550" width="11.42578125" style="74"/>
    <col min="12551" max="12551" width="12" style="74" bestFit="1" customWidth="1"/>
    <col min="12552" max="12800" width="11.42578125" style="74"/>
    <col min="12801" max="12801" width="31.28515625" style="74" bestFit="1" customWidth="1"/>
    <col min="12802" max="12802" width="10.7109375" style="74" bestFit="1" customWidth="1"/>
    <col min="12803" max="12803" width="17.7109375" style="74" customWidth="1"/>
    <col min="12804" max="12806" width="11.42578125" style="74"/>
    <col min="12807" max="12807" width="12" style="74" bestFit="1" customWidth="1"/>
    <col min="12808" max="13056" width="11.42578125" style="74"/>
    <col min="13057" max="13057" width="31.28515625" style="74" bestFit="1" customWidth="1"/>
    <col min="13058" max="13058" width="10.7109375" style="74" bestFit="1" customWidth="1"/>
    <col min="13059" max="13059" width="17.7109375" style="74" customWidth="1"/>
    <col min="13060" max="13062" width="11.42578125" style="74"/>
    <col min="13063" max="13063" width="12" style="74" bestFit="1" customWidth="1"/>
    <col min="13064" max="13312" width="11.42578125" style="74"/>
    <col min="13313" max="13313" width="31.28515625" style="74" bestFit="1" customWidth="1"/>
    <col min="13314" max="13314" width="10.7109375" style="74" bestFit="1" customWidth="1"/>
    <col min="13315" max="13315" width="17.7109375" style="74" customWidth="1"/>
    <col min="13316" max="13318" width="11.42578125" style="74"/>
    <col min="13319" max="13319" width="12" style="74" bestFit="1" customWidth="1"/>
    <col min="13320" max="13568" width="11.42578125" style="74"/>
    <col min="13569" max="13569" width="31.28515625" style="74" bestFit="1" customWidth="1"/>
    <col min="13570" max="13570" width="10.7109375" style="74" bestFit="1" customWidth="1"/>
    <col min="13571" max="13571" width="17.7109375" style="74" customWidth="1"/>
    <col min="13572" max="13574" width="11.42578125" style="74"/>
    <col min="13575" max="13575" width="12" style="74" bestFit="1" customWidth="1"/>
    <col min="13576" max="13824" width="11.42578125" style="74"/>
    <col min="13825" max="13825" width="31.28515625" style="74" bestFit="1" customWidth="1"/>
    <col min="13826" max="13826" width="10.7109375" style="74" bestFit="1" customWidth="1"/>
    <col min="13827" max="13827" width="17.7109375" style="74" customWidth="1"/>
    <col min="13828" max="13830" width="11.42578125" style="74"/>
    <col min="13831" max="13831" width="12" style="74" bestFit="1" customWidth="1"/>
    <col min="13832" max="14080" width="11.42578125" style="74"/>
    <col min="14081" max="14081" width="31.28515625" style="74" bestFit="1" customWidth="1"/>
    <col min="14082" max="14082" width="10.7109375" style="74" bestFit="1" customWidth="1"/>
    <col min="14083" max="14083" width="17.7109375" style="74" customWidth="1"/>
    <col min="14084" max="14086" width="11.42578125" style="74"/>
    <col min="14087" max="14087" width="12" style="74" bestFit="1" customWidth="1"/>
    <col min="14088" max="14336" width="11.42578125" style="74"/>
    <col min="14337" max="14337" width="31.28515625" style="74" bestFit="1" customWidth="1"/>
    <col min="14338" max="14338" width="10.7109375" style="74" bestFit="1" customWidth="1"/>
    <col min="14339" max="14339" width="17.7109375" style="74" customWidth="1"/>
    <col min="14340" max="14342" width="11.42578125" style="74"/>
    <col min="14343" max="14343" width="12" style="74" bestFit="1" customWidth="1"/>
    <col min="14344" max="14592" width="11.42578125" style="74"/>
    <col min="14593" max="14593" width="31.28515625" style="74" bestFit="1" customWidth="1"/>
    <col min="14594" max="14594" width="10.7109375" style="74" bestFit="1" customWidth="1"/>
    <col min="14595" max="14595" width="17.7109375" style="74" customWidth="1"/>
    <col min="14596" max="14598" width="11.42578125" style="74"/>
    <col min="14599" max="14599" width="12" style="74" bestFit="1" customWidth="1"/>
    <col min="14600" max="14848" width="11.42578125" style="74"/>
    <col min="14849" max="14849" width="31.28515625" style="74" bestFit="1" customWidth="1"/>
    <col min="14850" max="14850" width="10.7109375" style="74" bestFit="1" customWidth="1"/>
    <col min="14851" max="14851" width="17.7109375" style="74" customWidth="1"/>
    <col min="14852" max="14854" width="11.42578125" style="74"/>
    <col min="14855" max="14855" width="12" style="74" bestFit="1" customWidth="1"/>
    <col min="14856" max="15104" width="11.42578125" style="74"/>
    <col min="15105" max="15105" width="31.28515625" style="74" bestFit="1" customWidth="1"/>
    <col min="15106" max="15106" width="10.7109375" style="74" bestFit="1" customWidth="1"/>
    <col min="15107" max="15107" width="17.7109375" style="74" customWidth="1"/>
    <col min="15108" max="15110" width="11.42578125" style="74"/>
    <col min="15111" max="15111" width="12" style="74" bestFit="1" customWidth="1"/>
    <col min="15112" max="15360" width="11.42578125" style="74"/>
    <col min="15361" max="15361" width="31.28515625" style="74" bestFit="1" customWidth="1"/>
    <col min="15362" max="15362" width="10.7109375" style="74" bestFit="1" customWidth="1"/>
    <col min="15363" max="15363" width="17.7109375" style="74" customWidth="1"/>
    <col min="15364" max="15366" width="11.42578125" style="74"/>
    <col min="15367" max="15367" width="12" style="74" bestFit="1" customWidth="1"/>
    <col min="15368" max="15616" width="11.42578125" style="74"/>
    <col min="15617" max="15617" width="31.28515625" style="74" bestFit="1" customWidth="1"/>
    <col min="15618" max="15618" width="10.7109375" style="74" bestFit="1" customWidth="1"/>
    <col min="15619" max="15619" width="17.7109375" style="74" customWidth="1"/>
    <col min="15620" max="15622" width="11.42578125" style="74"/>
    <col min="15623" max="15623" width="12" style="74" bestFit="1" customWidth="1"/>
    <col min="15624" max="15872" width="11.42578125" style="74"/>
    <col min="15873" max="15873" width="31.28515625" style="74" bestFit="1" customWidth="1"/>
    <col min="15874" max="15874" width="10.7109375" style="74" bestFit="1" customWidth="1"/>
    <col min="15875" max="15875" width="17.7109375" style="74" customWidth="1"/>
    <col min="15876" max="15878" width="11.42578125" style="74"/>
    <col min="15879" max="15879" width="12" style="74" bestFit="1" customWidth="1"/>
    <col min="15880" max="16128" width="11.42578125" style="74"/>
    <col min="16129" max="16129" width="31.28515625" style="74" bestFit="1" customWidth="1"/>
    <col min="16130" max="16130" width="10.7109375" style="74" bestFit="1" customWidth="1"/>
    <col min="16131" max="16131" width="17.7109375" style="74" customWidth="1"/>
    <col min="16132" max="16134" width="11.42578125" style="74"/>
    <col min="16135" max="16135" width="12" style="74" bestFit="1" customWidth="1"/>
    <col min="16136" max="16384" width="11.42578125" style="74"/>
  </cols>
  <sheetData>
    <row r="3" spans="1:4">
      <c r="A3" s="74" t="s">
        <v>431</v>
      </c>
    </row>
    <row r="4" spans="1:4" ht="15">
      <c r="A4" s="155">
        <v>250000</v>
      </c>
      <c r="B4" s="232" t="s">
        <v>432</v>
      </c>
      <c r="C4" s="165">
        <f>A4-10000</f>
        <v>240000</v>
      </c>
      <c r="D4" s="74">
        <f>+A4/7.89</f>
        <v>31685.678073510775</v>
      </c>
    </row>
    <row r="6" spans="1:4">
      <c r="A6" s="165">
        <f>C4</f>
        <v>240000</v>
      </c>
      <c r="B6" s="232" t="s">
        <v>433</v>
      </c>
      <c r="C6" s="165">
        <f>+A6*0.15/100</f>
        <v>360</v>
      </c>
      <c r="D6" s="179"/>
    </row>
    <row r="7" spans="1:4">
      <c r="A7" s="74" t="s">
        <v>434</v>
      </c>
    </row>
    <row r="8" spans="1:4">
      <c r="A8" s="74" t="s">
        <v>435</v>
      </c>
      <c r="C8" s="165">
        <f>160+50</f>
        <v>210</v>
      </c>
    </row>
    <row r="9" spans="1:4">
      <c r="A9" s="74" t="s">
        <v>436</v>
      </c>
      <c r="C9" s="165">
        <v>75</v>
      </c>
    </row>
    <row r="10" spans="1:4">
      <c r="A10" s="74" t="s">
        <v>437</v>
      </c>
      <c r="C10" s="233">
        <v>0</v>
      </c>
      <c r="D10" s="165"/>
    </row>
    <row r="11" spans="1:4" ht="13.5" thickBot="1">
      <c r="C11" s="234">
        <f>+C10+C9+C8+C6</f>
        <v>645</v>
      </c>
    </row>
    <row r="12" spans="1:4" ht="13.5" thickTop="1">
      <c r="C12" s="165"/>
    </row>
    <row r="13" spans="1:4">
      <c r="C13" s="165"/>
    </row>
    <row r="14" spans="1:4">
      <c r="C14" s="165"/>
    </row>
    <row r="15" spans="1:4">
      <c r="A15" s="74" t="s">
        <v>431</v>
      </c>
    </row>
    <row r="16" spans="1:4" ht="15">
      <c r="A16" s="155">
        <v>50000</v>
      </c>
      <c r="B16" s="232" t="s">
        <v>432</v>
      </c>
      <c r="C16" s="165">
        <f>A16-10000</f>
        <v>40000</v>
      </c>
      <c r="D16" s="74">
        <f>+A16/7.89</f>
        <v>6337.1356147021552</v>
      </c>
    </row>
    <row r="18" spans="1:4">
      <c r="A18" s="165">
        <f>C16</f>
        <v>40000</v>
      </c>
      <c r="B18" s="232" t="s">
        <v>433</v>
      </c>
      <c r="C18" s="165">
        <f>+A18*0.15/100</f>
        <v>60</v>
      </c>
    </row>
    <row r="19" spans="1:4">
      <c r="A19" s="74" t="s">
        <v>434</v>
      </c>
    </row>
    <row r="20" spans="1:4">
      <c r="A20" s="74" t="s">
        <v>435</v>
      </c>
      <c r="C20" s="165">
        <f>160+50</f>
        <v>210</v>
      </c>
    </row>
    <row r="21" spans="1:4">
      <c r="A21" s="74" t="s">
        <v>436</v>
      </c>
      <c r="C21" s="165">
        <v>75</v>
      </c>
    </row>
    <row r="22" spans="1:4">
      <c r="A22" s="74" t="s">
        <v>437</v>
      </c>
      <c r="C22" s="233">
        <v>0</v>
      </c>
    </row>
    <row r="23" spans="1:4" ht="13.5" thickBot="1">
      <c r="C23" s="234">
        <f>+C22+C21+C20+C18</f>
        <v>345</v>
      </c>
      <c r="D23" s="165"/>
    </row>
    <row r="24" spans="1:4" ht="13.5" thickTop="1">
      <c r="C24" s="165"/>
      <c r="D24" s="165"/>
    </row>
    <row r="26" spans="1:4">
      <c r="C26" s="165">
        <f>+C23+C11+(1.25)</f>
        <v>991.25</v>
      </c>
    </row>
    <row r="27" spans="1:4">
      <c r="C27" s="165"/>
    </row>
    <row r="28" spans="1:4">
      <c r="C28" s="165"/>
    </row>
  </sheetData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FFFF00"/>
    <pageSetUpPr fitToPage="1"/>
  </sheetPr>
  <dimension ref="A1:K23"/>
  <sheetViews>
    <sheetView showGridLines="0" topLeftCell="D1" zoomScale="70" zoomScaleNormal="85" zoomScalePageLayoutView="85" workbookViewId="0">
      <selection activeCell="H30" sqref="H30"/>
    </sheetView>
  </sheetViews>
  <sheetFormatPr baseColWidth="10" defaultColWidth="11.42578125" defaultRowHeight="12.75"/>
  <cols>
    <col min="1" max="1" width="12.42578125" style="74" customWidth="1"/>
    <col min="2" max="2" width="39.28515625" style="74" bestFit="1" customWidth="1"/>
    <col min="3" max="3" width="14.42578125" style="74" customWidth="1"/>
    <col min="4" max="4" width="57.42578125" style="74" customWidth="1"/>
    <col min="5" max="5" width="40.5703125" style="74" customWidth="1"/>
    <col min="6" max="6" width="25.85546875" style="74" customWidth="1"/>
    <col min="7" max="7" width="25.7109375" style="74" customWidth="1"/>
    <col min="8" max="8" width="35.140625" style="74" customWidth="1"/>
    <col min="9" max="9" width="99.7109375" style="74" customWidth="1"/>
    <col min="10" max="10" width="11.42578125" style="74" customWidth="1"/>
    <col min="11" max="11" width="17" style="74" customWidth="1"/>
    <col min="12" max="16384" width="11.42578125" style="74"/>
  </cols>
  <sheetData>
    <row r="1" spans="1:11">
      <c r="A1" s="156"/>
      <c r="B1" s="157"/>
      <c r="C1" s="157"/>
      <c r="D1" s="158"/>
      <c r="E1" s="158"/>
      <c r="F1" s="158"/>
      <c r="G1" s="158"/>
      <c r="H1" s="158"/>
      <c r="I1" s="157"/>
      <c r="J1" s="159"/>
      <c r="K1" s="160"/>
    </row>
    <row r="2" spans="1:11" ht="15.75">
      <c r="A2" s="161"/>
      <c r="B2" s="162"/>
      <c r="C2" s="162"/>
      <c r="D2" s="158"/>
      <c r="E2" s="158"/>
      <c r="F2" s="158"/>
      <c r="G2" s="158"/>
      <c r="H2" s="158"/>
      <c r="I2" s="162"/>
      <c r="J2" s="163"/>
      <c r="K2" s="160"/>
    </row>
    <row r="3" spans="1:11" ht="15">
      <c r="A3" s="164"/>
      <c r="B3" s="162"/>
      <c r="C3" s="162"/>
      <c r="D3" s="158"/>
      <c r="E3" s="158"/>
      <c r="F3" s="158"/>
      <c r="G3" s="158"/>
      <c r="H3" s="158"/>
      <c r="I3" s="157"/>
      <c r="J3" s="159"/>
      <c r="K3" s="160"/>
    </row>
    <row r="4" spans="1:11">
      <c r="A4" s="156"/>
      <c r="B4" s="157"/>
      <c r="C4" s="157"/>
      <c r="D4" s="158"/>
      <c r="E4" s="158"/>
      <c r="F4" s="158"/>
      <c r="G4" s="158"/>
      <c r="H4" s="158"/>
      <c r="I4" s="157"/>
      <c r="J4" s="159"/>
      <c r="K4" s="160"/>
    </row>
    <row r="5" spans="1:11">
      <c r="A5" s="156"/>
      <c r="B5" s="157"/>
      <c r="C5" s="157"/>
      <c r="D5" s="158"/>
      <c r="E5" s="158"/>
      <c r="F5" s="158"/>
      <c r="G5" s="158"/>
      <c r="H5" s="158"/>
      <c r="I5" s="157"/>
      <c r="J5" s="159"/>
      <c r="K5" s="160"/>
    </row>
    <row r="6" spans="1:11">
      <c r="A6" s="156"/>
      <c r="B6" s="157"/>
      <c r="C6" s="157"/>
      <c r="D6" s="158"/>
      <c r="E6" s="158"/>
      <c r="F6" s="158"/>
      <c r="G6" s="158"/>
      <c r="H6" s="158"/>
      <c r="I6" s="157"/>
      <c r="J6" s="159"/>
      <c r="K6" s="160"/>
    </row>
    <row r="7" spans="1:11">
      <c r="A7" s="156"/>
      <c r="B7" s="157"/>
      <c r="C7" s="157"/>
      <c r="D7" s="158"/>
      <c r="E7" s="158"/>
      <c r="F7" s="158"/>
      <c r="G7" s="158"/>
      <c r="H7" s="158"/>
      <c r="I7" s="157"/>
      <c r="J7" s="159"/>
      <c r="K7" s="160"/>
    </row>
    <row r="8" spans="1:11" ht="15">
      <c r="A8" s="156"/>
      <c r="B8" s="157"/>
      <c r="C8" s="157"/>
      <c r="D8" s="158"/>
      <c r="E8" s="158"/>
      <c r="F8" s="158"/>
      <c r="G8" s="158"/>
      <c r="H8" s="158"/>
      <c r="I8" s="157"/>
      <c r="J8" s="314" t="s">
        <v>373</v>
      </c>
      <c r="K8" s="315" t="s">
        <v>374</v>
      </c>
    </row>
    <row r="9" spans="1:11" ht="20.25" customHeight="1">
      <c r="A9" s="267" t="s">
        <v>375</v>
      </c>
      <c r="B9" s="266" t="s">
        <v>376</v>
      </c>
      <c r="C9" s="266" t="s">
        <v>377</v>
      </c>
      <c r="D9" s="268" t="s">
        <v>378</v>
      </c>
      <c r="E9" s="268" t="s">
        <v>521</v>
      </c>
      <c r="F9" s="268" t="s">
        <v>522</v>
      </c>
      <c r="G9" s="268" t="s">
        <v>520</v>
      </c>
      <c r="H9" s="268" t="s">
        <v>377</v>
      </c>
      <c r="I9" s="266" t="s">
        <v>379</v>
      </c>
      <c r="J9" s="266" t="s">
        <v>380</v>
      </c>
      <c r="K9" s="266" t="s">
        <v>380</v>
      </c>
    </row>
    <row r="10" spans="1:11" ht="20.25" customHeight="1">
      <c r="A10" s="346">
        <v>45996</v>
      </c>
      <c r="B10" s="347" t="s">
        <v>516</v>
      </c>
      <c r="C10" s="347" t="s">
        <v>517</v>
      </c>
      <c r="D10" s="369" t="s">
        <v>529</v>
      </c>
      <c r="E10" s="369" t="s">
        <v>530</v>
      </c>
      <c r="F10" s="369" t="s">
        <v>524</v>
      </c>
      <c r="G10" s="369" t="s">
        <v>523</v>
      </c>
      <c r="H10" s="369" t="s">
        <v>517</v>
      </c>
      <c r="I10" s="348" t="s">
        <v>531</v>
      </c>
      <c r="J10" s="349" t="s">
        <v>492</v>
      </c>
      <c r="K10" s="350">
        <f>IF(FORMULARIO!D61="Hipotecario",'Detalle hipotecario'!F58,'Detalle vehiculo'!I52)</f>
        <v>123300</v>
      </c>
    </row>
    <row r="11" spans="1:11" ht="17.45" customHeight="1">
      <c r="A11" s="346">
        <v>45996</v>
      </c>
      <c r="B11" s="347" t="s">
        <v>516</v>
      </c>
      <c r="C11" s="351" t="s">
        <v>517</v>
      </c>
      <c r="D11" s="352" t="s">
        <v>518</v>
      </c>
      <c r="E11" s="352"/>
      <c r="F11" s="352" t="s">
        <v>524</v>
      </c>
      <c r="G11" s="352" t="s">
        <v>523</v>
      </c>
      <c r="H11" s="352" t="s">
        <v>517</v>
      </c>
      <c r="I11" s="353" t="s">
        <v>532</v>
      </c>
      <c r="J11" s="349" t="s">
        <v>492</v>
      </c>
      <c r="K11" s="350">
        <f>'Detalle vehiculo'!I50</f>
        <v>10605.7624</v>
      </c>
    </row>
    <row r="12" spans="1:11" ht="15.75">
      <c r="A12" s="354"/>
      <c r="B12" s="351"/>
      <c r="C12" s="351"/>
      <c r="D12" s="355"/>
      <c r="E12" s="355"/>
      <c r="F12" s="355"/>
      <c r="G12" s="355"/>
      <c r="H12" s="355"/>
      <c r="I12" s="356"/>
      <c r="J12" s="357"/>
      <c r="K12" s="358">
        <v>0</v>
      </c>
    </row>
    <row r="13" spans="1:11" ht="15.75">
      <c r="A13" s="354"/>
      <c r="B13" s="356"/>
      <c r="C13" s="356"/>
      <c r="D13" s="359"/>
      <c r="E13" s="359"/>
      <c r="F13" s="359"/>
      <c r="G13" s="359"/>
      <c r="H13" s="359"/>
      <c r="I13" s="359"/>
      <c r="J13" s="351"/>
      <c r="K13" s="360">
        <f>SUM(K10:K12)</f>
        <v>133905.76240000001</v>
      </c>
    </row>
    <row r="14" spans="1:11" ht="15">
      <c r="A14" s="361"/>
      <c r="B14" s="362"/>
      <c r="C14" s="362"/>
      <c r="D14" s="363"/>
      <c r="E14" s="363"/>
      <c r="F14" s="363"/>
      <c r="G14" s="363"/>
      <c r="H14" s="363"/>
      <c r="I14" s="363"/>
      <c r="J14" s="364"/>
      <c r="K14" s="365"/>
    </row>
    <row r="15" spans="1:11">
      <c r="A15" s="361"/>
      <c r="B15" s="366"/>
      <c r="C15" s="366"/>
      <c r="D15" s="467"/>
      <c r="E15" s="467"/>
      <c r="F15" s="467"/>
      <c r="G15" s="467"/>
      <c r="H15" s="467"/>
      <c r="I15" s="467"/>
      <c r="J15" s="364"/>
      <c r="K15" s="367"/>
    </row>
    <row r="16" spans="1:11">
      <c r="A16" s="361"/>
      <c r="B16" s="366"/>
      <c r="C16" s="366"/>
      <c r="D16" s="363"/>
      <c r="E16" s="363"/>
      <c r="F16" s="363"/>
      <c r="G16" s="363"/>
      <c r="H16" s="363"/>
      <c r="I16" s="359"/>
      <c r="J16" s="364"/>
      <c r="K16" s="368"/>
    </row>
    <row r="17" spans="1:11">
      <c r="A17" s="361"/>
      <c r="B17" s="366"/>
      <c r="C17" s="366"/>
      <c r="D17" s="363"/>
      <c r="E17" s="363"/>
      <c r="F17" s="363"/>
      <c r="G17" s="363"/>
      <c r="H17" s="363"/>
      <c r="I17" s="366"/>
      <c r="J17" s="364"/>
      <c r="K17" s="368"/>
    </row>
    <row r="18" spans="1:11">
      <c r="A18" s="361"/>
      <c r="B18" s="366"/>
      <c r="C18" s="366"/>
      <c r="D18" s="363"/>
      <c r="E18" s="363"/>
      <c r="F18" s="363"/>
      <c r="G18" s="363"/>
      <c r="H18" s="363"/>
      <c r="I18" s="363"/>
      <c r="J18" s="364"/>
      <c r="K18" s="367"/>
    </row>
    <row r="19" spans="1:11" ht="15.75">
      <c r="A19" s="468" t="s">
        <v>381</v>
      </c>
      <c r="B19" s="468"/>
      <c r="C19" s="468"/>
      <c r="D19" s="468"/>
      <c r="E19" s="468"/>
      <c r="F19" s="468"/>
      <c r="G19" s="468"/>
      <c r="H19" s="468"/>
      <c r="I19" s="468"/>
      <c r="J19" s="468"/>
      <c r="K19" s="468"/>
    </row>
    <row r="21" spans="1:11" ht="20.25">
      <c r="C21" s="339"/>
      <c r="D21" s="339"/>
      <c r="E21" s="339"/>
      <c r="F21" s="339"/>
      <c r="G21" s="339"/>
      <c r="H21" s="339"/>
    </row>
    <row r="22" spans="1:11" ht="20.25">
      <c r="C22" s="339"/>
      <c r="D22" s="339"/>
      <c r="E22" s="339"/>
      <c r="F22" s="339"/>
      <c r="G22" s="339"/>
      <c r="H22" s="339"/>
    </row>
    <row r="23" spans="1:11" ht="20.25">
      <c r="C23" s="339"/>
      <c r="D23" s="339"/>
      <c r="E23" s="339"/>
      <c r="F23" s="339"/>
      <c r="G23" s="339"/>
      <c r="H23" s="339"/>
    </row>
  </sheetData>
  <mergeCells count="2">
    <mergeCell ref="D15:I15"/>
    <mergeCell ref="A19:K19"/>
  </mergeCells>
  <pageMargins left="0.47244094488188981" right="0.39370078740157483" top="1.1811023622047245" bottom="0.9055118110236221" header="0.47244094488188981" footer="0.31496062992125984"/>
  <pageSetup paperSize="5" scale="79" orientation="landscape" r:id="rId1"/>
  <headerFooter>
    <oddHeader>&amp;L&amp;G</oddHeader>
    <oddFooter>&amp;L&amp;G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showGridLines="0" tabSelected="1" view="pageLayout" topLeftCell="A7" zoomScale="99" zoomScaleNormal="100" zoomScalePageLayoutView="99" workbookViewId="0">
      <selection activeCell="C15" sqref="C15"/>
    </sheetView>
  </sheetViews>
  <sheetFormatPr baseColWidth="10" defaultRowHeight="15"/>
  <cols>
    <col min="1" max="1" width="8" customWidth="1"/>
    <col min="2" max="2" width="9.42578125" customWidth="1"/>
    <col min="3" max="3" width="15.28515625" customWidth="1"/>
    <col min="4" max="4" width="14.7109375" customWidth="1"/>
    <col min="5" max="5" width="14.42578125" customWidth="1"/>
    <col min="6" max="6" width="14.85546875" customWidth="1"/>
    <col min="7" max="7" width="13.42578125" customWidth="1"/>
    <col min="8" max="8" width="7.140625" customWidth="1"/>
  </cols>
  <sheetData>
    <row r="1" spans="1:7" ht="30.75" customHeight="1">
      <c r="A1" s="469" t="s">
        <v>462</v>
      </c>
      <c r="B1" s="469"/>
      <c r="C1" s="469"/>
      <c r="D1" s="469"/>
      <c r="E1" s="469"/>
      <c r="F1" s="469"/>
      <c r="G1" s="469"/>
    </row>
    <row r="3" spans="1:7">
      <c r="A3" s="4" t="s">
        <v>463</v>
      </c>
    </row>
    <row r="5" spans="1:7">
      <c r="B5" s="15" t="s">
        <v>464</v>
      </c>
      <c r="C5" s="278" t="s">
        <v>527</v>
      </c>
      <c r="D5" s="15" t="s">
        <v>465</v>
      </c>
      <c r="E5" s="370" t="s">
        <v>528</v>
      </c>
      <c r="F5" s="15" t="s">
        <v>466</v>
      </c>
      <c r="G5" s="278">
        <v>2026</v>
      </c>
    </row>
    <row r="7" spans="1:7">
      <c r="A7" t="s">
        <v>117</v>
      </c>
      <c r="B7" s="470" t="s">
        <v>526</v>
      </c>
      <c r="C7" s="470"/>
      <c r="D7" s="470"/>
      <c r="E7" s="470"/>
      <c r="F7" s="471" t="s">
        <v>525</v>
      </c>
      <c r="G7" s="471"/>
    </row>
    <row r="8" spans="1:7">
      <c r="C8" s="16"/>
      <c r="D8" s="16"/>
      <c r="E8" s="16"/>
    </row>
    <row r="9" spans="1:7">
      <c r="A9" t="s">
        <v>467</v>
      </c>
      <c r="C9" s="270">
        <v>137000</v>
      </c>
      <c r="D9" s="16"/>
      <c r="E9" s="16"/>
    </row>
    <row r="10" spans="1:7">
      <c r="A10" t="s">
        <v>507</v>
      </c>
      <c r="C10" s="270">
        <v>137000</v>
      </c>
    </row>
    <row r="11" spans="1:7">
      <c r="A11" t="s">
        <v>468</v>
      </c>
      <c r="C11" s="270">
        <v>13700</v>
      </c>
      <c r="D11" s="279">
        <f>C11/C9</f>
        <v>0.1</v>
      </c>
    </row>
    <row r="12" spans="1:7">
      <c r="A12" t="s">
        <v>469</v>
      </c>
      <c r="C12" s="271">
        <f>C9-C11</f>
        <v>123300</v>
      </c>
      <c r="D12" s="279">
        <f>(C12/C9)</f>
        <v>0.9</v>
      </c>
    </row>
    <row r="14" spans="1:7">
      <c r="A14" s="323" t="s">
        <v>470</v>
      </c>
      <c r="C14" s="272">
        <v>60</v>
      </c>
    </row>
    <row r="15" spans="1:7">
      <c r="A15" s="323" t="s">
        <v>471</v>
      </c>
      <c r="C15" s="273">
        <v>1.4999999999999999E-2</v>
      </c>
    </row>
    <row r="16" spans="1:7">
      <c r="A16" s="323" t="s">
        <v>472</v>
      </c>
      <c r="C16" s="280">
        <f>IF(F7="UBER",VLOOKUP(C10,'Costo seguro'!B2:G782,2,TRUE),IF(F7="Particular",VLOOKUP(C10,'Costo seguro'!B2:G782,2,TRUE),IF(F7="Pick Up",VLOOKUP(C10,'Costo seguro'!B2:G782,3,TRUE),IF(F7="Nuevo",VLOOKUP(C10,'Costo seguro'!B2:G782,2,TRUE),IF(F7="Panel",VLOOKUP(C10,'Costo seguro'!B2:G782,4,TRUE),IF(F7="Camion",VLOOKUP(C10,'Costo seguro'!B2:G782,4,TRUE),IF(F7="Microbus",VLOOKUP(C10,'Costo seguro'!B2:G782,4,TRUE),"")))))))+C20</f>
        <v>1194.5624</v>
      </c>
      <c r="D16" s="191"/>
    </row>
    <row r="17" spans="1:7">
      <c r="A17" s="323" t="s">
        <v>141</v>
      </c>
      <c r="C17" s="280">
        <v>148.19999999999999</v>
      </c>
      <c r="E17" s="305" t="s">
        <v>473</v>
      </c>
      <c r="F17" s="274"/>
    </row>
    <row r="18" spans="1:7">
      <c r="A18" s="323" t="s">
        <v>474</v>
      </c>
      <c r="C18" s="270">
        <f>395+150</f>
        <v>545</v>
      </c>
      <c r="F18" s="274"/>
    </row>
    <row r="19" spans="1:7" ht="15.75">
      <c r="A19" s="323" t="s">
        <v>413</v>
      </c>
      <c r="C19" s="271">
        <f>C22+D22+E22+F22+G22</f>
        <v>10060.7624</v>
      </c>
      <c r="D19" s="191"/>
      <c r="E19" s="305" t="s">
        <v>475</v>
      </c>
      <c r="F19" s="306">
        <f>PMT((C15*1.12),C14,-(C12+C18+C19))+C16+C17</f>
        <v>4902.3777783896921</v>
      </c>
    </row>
    <row r="20" spans="1:7" ht="12.6" hidden="1" customHeight="1">
      <c r="A20" s="323" t="s">
        <v>496</v>
      </c>
      <c r="C20" s="271">
        <f>VLOOKUP(C10,'Costo seguro'!B2:K782,5,TRUE)-C17</f>
        <v>389.00239999999991</v>
      </c>
      <c r="D20" s="191"/>
      <c r="E20" s="305"/>
    </row>
    <row r="21" spans="1:7" ht="10.5" customHeight="1">
      <c r="C21" s="271"/>
      <c r="D21" s="191"/>
      <c r="E21" s="305"/>
      <c r="F21" s="308"/>
    </row>
    <row r="22" spans="1:7" ht="18.75" hidden="1" customHeight="1">
      <c r="B22" s="303">
        <f>C12+C18+C22+E22+F22+C17+C16</f>
        <v>126587.76239999999</v>
      </c>
      <c r="C22" s="307">
        <v>400</v>
      </c>
      <c r="D22" s="191">
        <f>ROUNDUP(B22*4%,0)</f>
        <v>5064</v>
      </c>
      <c r="E22" s="191">
        <v>400</v>
      </c>
      <c r="F22" s="276">
        <v>600</v>
      </c>
      <c r="G22" s="191">
        <f>ROUNDUP(B22*1.78%,0)+C17+C16</f>
        <v>3596.7623999999996</v>
      </c>
    </row>
    <row r="23" spans="1:7" ht="15" customHeight="1">
      <c r="B23" s="33" t="s">
        <v>393</v>
      </c>
      <c r="C23" s="275" t="s">
        <v>395</v>
      </c>
      <c r="D23" s="275" t="s">
        <v>397</v>
      </c>
      <c r="E23" s="275" t="s">
        <v>398</v>
      </c>
      <c r="F23" s="275" t="s">
        <v>399</v>
      </c>
      <c r="G23" s="191"/>
    </row>
    <row r="24" spans="1:7" ht="12.75" hidden="1" customHeight="1">
      <c r="B24" s="3">
        <v>0</v>
      </c>
      <c r="C24" s="276">
        <f>C12+C18+C19</f>
        <v>133905.76240000001</v>
      </c>
      <c r="D24" s="276">
        <f>((C24)*C15*1.12)</f>
        <v>2249.6168083200005</v>
      </c>
      <c r="E24" s="276">
        <v>0</v>
      </c>
      <c r="F24" s="276">
        <f>C24-E24</f>
        <v>133905.76240000001</v>
      </c>
    </row>
    <row r="25" spans="1:7">
      <c r="B25" s="3">
        <f>IF(C25="","",B24+1)</f>
        <v>1</v>
      </c>
      <c r="C25" s="191">
        <f t="shared" ref="C25:C30" si="0">IF(F24&lt;=0.1,"",IF(C24="","",F24))</f>
        <v>133905.76240000001</v>
      </c>
      <c r="D25" s="276">
        <f>IF(C25="","",(C25*$C$15*1.12))</f>
        <v>2249.6168083200005</v>
      </c>
      <c r="E25" s="276">
        <f t="shared" ref="E25:E83" si="1">IF(D25="","",$F$19-$C$16-$C$17-D25)</f>
        <v>1309.9985700696921</v>
      </c>
      <c r="F25" s="276">
        <f>IF(E25="","",C25-E25)</f>
        <v>132595.76382993031</v>
      </c>
    </row>
    <row r="26" spans="1:7">
      <c r="B26" s="3">
        <f t="shared" ref="B26:B67" si="2">IF(C26="","",B25+1)</f>
        <v>2</v>
      </c>
      <c r="C26" s="191">
        <f t="shared" si="0"/>
        <v>132595.76382993031</v>
      </c>
      <c r="D26" s="276">
        <f t="shared" ref="D26:D83" si="3">IF(C26="","",(C26*$C$15*1.12))</f>
        <v>2227.6088323428294</v>
      </c>
      <c r="E26" s="276">
        <f t="shared" si="1"/>
        <v>1332.0065460468631</v>
      </c>
      <c r="F26" s="276">
        <f t="shared" ref="F26:F67" si="4">IF(E26="","",C26-E26)</f>
        <v>131263.75728388343</v>
      </c>
    </row>
    <row r="27" spans="1:7">
      <c r="B27" s="3">
        <f t="shared" si="2"/>
        <v>3</v>
      </c>
      <c r="C27" s="191">
        <f t="shared" si="0"/>
        <v>131263.75728388343</v>
      </c>
      <c r="D27" s="276">
        <f t="shared" si="3"/>
        <v>2205.2311223692418</v>
      </c>
      <c r="E27" s="276">
        <f t="shared" si="1"/>
        <v>1354.3842560204507</v>
      </c>
      <c r="F27" s="276">
        <f t="shared" si="4"/>
        <v>129909.37302786298</v>
      </c>
    </row>
    <row r="28" spans="1:7">
      <c r="B28" s="3">
        <f t="shared" si="2"/>
        <v>4</v>
      </c>
      <c r="C28" s="191">
        <f t="shared" si="0"/>
        <v>129909.37302786298</v>
      </c>
      <c r="D28" s="276">
        <f t="shared" si="3"/>
        <v>2182.4774668680984</v>
      </c>
      <c r="E28" s="276">
        <f t="shared" si="1"/>
        <v>1377.1379115215941</v>
      </c>
      <c r="F28" s="276">
        <f t="shared" si="4"/>
        <v>128532.23511634138</v>
      </c>
    </row>
    <row r="29" spans="1:7">
      <c r="B29" s="3">
        <f t="shared" si="2"/>
        <v>5</v>
      </c>
      <c r="C29" s="191">
        <f t="shared" si="0"/>
        <v>128532.23511634138</v>
      </c>
      <c r="D29" s="276">
        <f t="shared" si="3"/>
        <v>2159.3415499545354</v>
      </c>
      <c r="E29" s="276">
        <f t="shared" si="1"/>
        <v>1400.2738284351572</v>
      </c>
      <c r="F29" s="276">
        <f t="shared" si="4"/>
        <v>127131.96128790623</v>
      </c>
    </row>
    <row r="30" spans="1:7">
      <c r="B30" s="3">
        <f t="shared" si="2"/>
        <v>6</v>
      </c>
      <c r="C30" s="191">
        <f t="shared" si="0"/>
        <v>127131.96128790623</v>
      </c>
      <c r="D30" s="276">
        <f t="shared" si="3"/>
        <v>2135.816949636825</v>
      </c>
      <c r="E30" s="276">
        <f t="shared" si="1"/>
        <v>1423.7984287528675</v>
      </c>
      <c r="F30" s="276">
        <f t="shared" si="4"/>
        <v>125708.16285915337</v>
      </c>
    </row>
    <row r="31" spans="1:7">
      <c r="B31" s="3">
        <f t="shared" si="2"/>
        <v>7</v>
      </c>
      <c r="C31" s="191">
        <f t="shared" ref="C31:C83" si="5">IF(F30&lt;=0.1,"",IF(C30="","",F30))</f>
        <v>125708.16285915337</v>
      </c>
      <c r="D31" s="276">
        <f t="shared" si="3"/>
        <v>2111.8971360337769</v>
      </c>
      <c r="E31" s="276">
        <f t="shared" si="1"/>
        <v>1447.7182423559157</v>
      </c>
      <c r="F31" s="276">
        <f t="shared" si="4"/>
        <v>124260.44461679745</v>
      </c>
    </row>
    <row r="32" spans="1:7">
      <c r="B32" s="3">
        <f t="shared" si="2"/>
        <v>8</v>
      </c>
      <c r="C32" s="191">
        <f t="shared" si="5"/>
        <v>124260.44461679745</v>
      </c>
      <c r="D32" s="276">
        <f t="shared" si="3"/>
        <v>2087.5754695621977</v>
      </c>
      <c r="E32" s="276">
        <f t="shared" si="1"/>
        <v>1472.0399088274949</v>
      </c>
      <c r="F32" s="276">
        <f t="shared" si="4"/>
        <v>122788.40470796995</v>
      </c>
    </row>
    <row r="33" spans="2:6">
      <c r="B33" s="3">
        <f t="shared" si="2"/>
        <v>9</v>
      </c>
      <c r="C33" s="191">
        <f t="shared" si="5"/>
        <v>122788.40470796995</v>
      </c>
      <c r="D33" s="276">
        <f t="shared" si="3"/>
        <v>2062.8451990938952</v>
      </c>
      <c r="E33" s="276">
        <f t="shared" si="1"/>
        <v>1496.7701792957973</v>
      </c>
      <c r="F33" s="276">
        <f t="shared" si="4"/>
        <v>121291.63452867416</v>
      </c>
    </row>
    <row r="34" spans="2:6">
      <c r="B34" s="3">
        <f t="shared" si="2"/>
        <v>10</v>
      </c>
      <c r="C34" s="191">
        <f t="shared" si="5"/>
        <v>121291.63452867416</v>
      </c>
      <c r="D34" s="276">
        <f t="shared" si="3"/>
        <v>2037.6994600817259</v>
      </c>
      <c r="E34" s="276">
        <f t="shared" si="1"/>
        <v>1521.9159183079666</v>
      </c>
      <c r="F34" s="276">
        <f t="shared" si="4"/>
        <v>119769.7186103662</v>
      </c>
    </row>
    <row r="35" spans="2:6">
      <c r="B35" s="3">
        <f t="shared" si="2"/>
        <v>11</v>
      </c>
      <c r="C35" s="191">
        <f t="shared" si="5"/>
        <v>119769.7186103662</v>
      </c>
      <c r="D35" s="276">
        <f t="shared" si="3"/>
        <v>2012.1312726541523</v>
      </c>
      <c r="E35" s="276">
        <f t="shared" si="1"/>
        <v>1547.4841057355402</v>
      </c>
      <c r="F35" s="276">
        <f t="shared" si="4"/>
        <v>118222.23450463066</v>
      </c>
    </row>
    <row r="36" spans="2:6">
      <c r="B36" s="3">
        <f t="shared" si="2"/>
        <v>12</v>
      </c>
      <c r="C36" s="191">
        <f t="shared" si="5"/>
        <v>118222.23450463066</v>
      </c>
      <c r="D36" s="276">
        <f t="shared" si="3"/>
        <v>1986.1335396777952</v>
      </c>
      <c r="E36" s="276">
        <f t="shared" si="1"/>
        <v>1573.4818387118974</v>
      </c>
      <c r="F36" s="276">
        <f t="shared" si="4"/>
        <v>116648.75266591876</v>
      </c>
    </row>
    <row r="37" spans="2:6">
      <c r="B37" s="3">
        <f t="shared" si="2"/>
        <v>13</v>
      </c>
      <c r="C37" s="191">
        <f t="shared" si="5"/>
        <v>116648.75266591876</v>
      </c>
      <c r="D37" s="276">
        <f t="shared" si="3"/>
        <v>1959.6990447874352</v>
      </c>
      <c r="E37" s="276">
        <f t="shared" si="1"/>
        <v>1599.9163336022573</v>
      </c>
      <c r="F37" s="276">
        <f t="shared" si="4"/>
        <v>115048.8363323165</v>
      </c>
    </row>
    <row r="38" spans="2:6">
      <c r="B38" s="3">
        <f t="shared" si="2"/>
        <v>14</v>
      </c>
      <c r="C38" s="191">
        <f t="shared" si="5"/>
        <v>115048.8363323165</v>
      </c>
      <c r="D38" s="276">
        <f t="shared" si="3"/>
        <v>1932.8204503829172</v>
      </c>
      <c r="E38" s="276">
        <f t="shared" si="1"/>
        <v>1626.7949280067753</v>
      </c>
      <c r="F38" s="276">
        <f t="shared" si="4"/>
        <v>113422.04140430973</v>
      </c>
    </row>
    <row r="39" spans="2:6">
      <c r="B39" s="3">
        <f t="shared" si="2"/>
        <v>15</v>
      </c>
      <c r="C39" s="191">
        <f t="shared" si="5"/>
        <v>113422.04140430973</v>
      </c>
      <c r="D39" s="276">
        <f t="shared" si="3"/>
        <v>1905.4902955924035</v>
      </c>
      <c r="E39" s="276">
        <f t="shared" si="1"/>
        <v>1654.125082797289</v>
      </c>
      <c r="F39" s="276">
        <f t="shared" si="4"/>
        <v>111767.91632151244</v>
      </c>
    </row>
    <row r="40" spans="2:6">
      <c r="B40" s="3">
        <f t="shared" si="2"/>
        <v>16</v>
      </c>
      <c r="C40" s="191">
        <f t="shared" si="5"/>
        <v>111767.91632151244</v>
      </c>
      <c r="D40" s="276">
        <f t="shared" si="3"/>
        <v>1877.7009942014092</v>
      </c>
      <c r="E40" s="276">
        <f t="shared" si="1"/>
        <v>1681.9143841882833</v>
      </c>
      <c r="F40" s="276">
        <f t="shared" si="4"/>
        <v>110086.00193732415</v>
      </c>
    </row>
    <row r="41" spans="2:6">
      <c r="B41" s="3">
        <f t="shared" si="2"/>
        <v>17</v>
      </c>
      <c r="C41" s="191">
        <f t="shared" si="5"/>
        <v>110086.00193732415</v>
      </c>
      <c r="D41" s="276">
        <f t="shared" si="3"/>
        <v>1849.444832547046</v>
      </c>
      <c r="E41" s="276">
        <f t="shared" si="1"/>
        <v>1710.1705458426466</v>
      </c>
      <c r="F41" s="276">
        <f t="shared" si="4"/>
        <v>108375.83139148151</v>
      </c>
    </row>
    <row r="42" spans="2:6">
      <c r="B42" s="3">
        <f t="shared" si="2"/>
        <v>18</v>
      </c>
      <c r="C42" s="191">
        <f t="shared" si="5"/>
        <v>108375.83139148151</v>
      </c>
      <c r="D42" s="276">
        <f t="shared" si="3"/>
        <v>1820.7139673768895</v>
      </c>
      <c r="E42" s="276">
        <f t="shared" si="1"/>
        <v>1738.901411012803</v>
      </c>
      <c r="F42" s="276">
        <f t="shared" si="4"/>
        <v>106636.9299804687</v>
      </c>
    </row>
    <row r="43" spans="2:6">
      <c r="B43" s="3">
        <f t="shared" si="2"/>
        <v>19</v>
      </c>
      <c r="C43" s="191">
        <f t="shared" si="5"/>
        <v>106636.9299804687</v>
      </c>
      <c r="D43" s="276">
        <f t="shared" si="3"/>
        <v>1791.5004236718744</v>
      </c>
      <c r="E43" s="276">
        <f t="shared" si="1"/>
        <v>1768.1149547178181</v>
      </c>
      <c r="F43" s="276">
        <f t="shared" si="4"/>
        <v>104868.81502575088</v>
      </c>
    </row>
    <row r="44" spans="2:6">
      <c r="B44" s="3">
        <f t="shared" si="2"/>
        <v>20</v>
      </c>
      <c r="C44" s="191">
        <f t="shared" si="5"/>
        <v>104868.81502575088</v>
      </c>
      <c r="D44" s="276">
        <f t="shared" si="3"/>
        <v>1761.7960924326151</v>
      </c>
      <c r="E44" s="276">
        <f t="shared" si="1"/>
        <v>1797.8192859570775</v>
      </c>
      <c r="F44" s="276">
        <f t="shared" si="4"/>
        <v>103070.9957397938</v>
      </c>
    </row>
    <row r="45" spans="2:6">
      <c r="B45" s="3">
        <f t="shared" si="2"/>
        <v>21</v>
      </c>
      <c r="C45" s="191">
        <f t="shared" si="5"/>
        <v>103070.9957397938</v>
      </c>
      <c r="D45" s="276">
        <f t="shared" si="3"/>
        <v>1731.5927284285358</v>
      </c>
      <c r="E45" s="276">
        <f t="shared" si="1"/>
        <v>1828.0226499611567</v>
      </c>
      <c r="F45" s="276">
        <f t="shared" si="4"/>
        <v>101242.97308983264</v>
      </c>
    </row>
    <row r="46" spans="2:6">
      <c r="B46" s="3">
        <f t="shared" si="2"/>
        <v>22</v>
      </c>
      <c r="C46" s="191">
        <f t="shared" si="5"/>
        <v>101242.97308983264</v>
      </c>
      <c r="D46" s="276">
        <f t="shared" si="3"/>
        <v>1700.8819479091885</v>
      </c>
      <c r="E46" s="276">
        <f t="shared" si="1"/>
        <v>1858.733430480504</v>
      </c>
      <c r="F46" s="276">
        <f t="shared" si="4"/>
        <v>99384.239659352141</v>
      </c>
    </row>
    <row r="47" spans="2:6">
      <c r="B47" s="3">
        <f t="shared" si="2"/>
        <v>23</v>
      </c>
      <c r="C47" s="191">
        <f t="shared" si="5"/>
        <v>99384.239659352141</v>
      </c>
      <c r="D47" s="276">
        <f t="shared" si="3"/>
        <v>1669.6552262771161</v>
      </c>
      <c r="E47" s="276">
        <f t="shared" si="1"/>
        <v>1889.9601521125765</v>
      </c>
      <c r="F47" s="276">
        <f t="shared" si="4"/>
        <v>97494.279507239567</v>
      </c>
    </row>
    <row r="48" spans="2:6">
      <c r="B48" s="3">
        <f t="shared" si="2"/>
        <v>24</v>
      </c>
      <c r="C48" s="191">
        <f t="shared" si="5"/>
        <v>97494.279507239567</v>
      </c>
      <c r="D48" s="276">
        <f t="shared" si="3"/>
        <v>1637.9038957216248</v>
      </c>
      <c r="E48" s="276">
        <f t="shared" si="1"/>
        <v>1921.7114826680677</v>
      </c>
      <c r="F48" s="276">
        <f t="shared" si="4"/>
        <v>95572.568024571505</v>
      </c>
    </row>
    <row r="49" spans="2:6">
      <c r="B49" s="3">
        <f t="shared" si="2"/>
        <v>25</v>
      </c>
      <c r="C49" s="191">
        <f t="shared" si="5"/>
        <v>95572.568024571505</v>
      </c>
      <c r="D49" s="276">
        <f t="shared" si="3"/>
        <v>1605.6191428128013</v>
      </c>
      <c r="E49" s="276">
        <f t="shared" si="1"/>
        <v>1953.9962355768912</v>
      </c>
      <c r="F49" s="276">
        <f t="shared" si="4"/>
        <v>93618.57178899461</v>
      </c>
    </row>
    <row r="50" spans="2:6">
      <c r="B50" s="3">
        <f t="shared" si="2"/>
        <v>26</v>
      </c>
      <c r="C50" s="191">
        <f t="shared" si="5"/>
        <v>93618.57178899461</v>
      </c>
      <c r="D50" s="276">
        <f t="shared" si="3"/>
        <v>1572.7920060551094</v>
      </c>
      <c r="E50" s="276">
        <f t="shared" si="1"/>
        <v>1986.8233723345832</v>
      </c>
      <c r="F50" s="276">
        <f t="shared" si="4"/>
        <v>91631.748416660033</v>
      </c>
    </row>
    <row r="51" spans="2:6">
      <c r="B51" s="3">
        <f t="shared" si="2"/>
        <v>27</v>
      </c>
      <c r="C51" s="191">
        <f t="shared" si="5"/>
        <v>91631.748416660033</v>
      </c>
      <c r="D51" s="276">
        <f t="shared" si="3"/>
        <v>1539.4133733998888</v>
      </c>
      <c r="E51" s="276">
        <f t="shared" si="1"/>
        <v>2020.2020049898038</v>
      </c>
      <c r="F51" s="276">
        <f t="shared" si="4"/>
        <v>89611.546411670235</v>
      </c>
    </row>
    <row r="52" spans="2:6">
      <c r="B52" s="3">
        <f t="shared" si="2"/>
        <v>28</v>
      </c>
      <c r="C52" s="191">
        <f t="shared" si="5"/>
        <v>89611.546411670235</v>
      </c>
      <c r="D52" s="276">
        <f t="shared" si="3"/>
        <v>1505.4739797160601</v>
      </c>
      <c r="E52" s="276">
        <f t="shared" si="1"/>
        <v>2054.1413986736325</v>
      </c>
      <c r="F52" s="276">
        <f t="shared" si="4"/>
        <v>87557.405012996605</v>
      </c>
    </row>
    <row r="53" spans="2:6">
      <c r="B53" s="3">
        <f t="shared" si="2"/>
        <v>29</v>
      </c>
      <c r="C53" s="191">
        <f t="shared" si="5"/>
        <v>87557.405012996605</v>
      </c>
      <c r="D53" s="276">
        <f t="shared" si="3"/>
        <v>1470.9644042183431</v>
      </c>
      <c r="E53" s="276">
        <f t="shared" si="1"/>
        <v>2088.6509741713494</v>
      </c>
      <c r="F53" s="276">
        <f t="shared" si="4"/>
        <v>85468.754038825253</v>
      </c>
    </row>
    <row r="54" spans="2:6">
      <c r="B54" s="3">
        <f t="shared" si="2"/>
        <v>30</v>
      </c>
      <c r="C54" s="191">
        <f t="shared" si="5"/>
        <v>85468.754038825253</v>
      </c>
      <c r="D54" s="276">
        <f t="shared" si="3"/>
        <v>1435.8750678522642</v>
      </c>
      <c r="E54" s="276">
        <f t="shared" si="1"/>
        <v>2123.7403105374283</v>
      </c>
      <c r="F54" s="276">
        <f t="shared" si="4"/>
        <v>83345.013728287828</v>
      </c>
    </row>
    <row r="55" spans="2:6">
      <c r="B55" s="3">
        <f t="shared" si="2"/>
        <v>31</v>
      </c>
      <c r="C55" s="191">
        <f t="shared" si="5"/>
        <v>83345.013728287828</v>
      </c>
      <c r="D55" s="276">
        <f t="shared" si="3"/>
        <v>1400.1962306352357</v>
      </c>
      <c r="E55" s="276">
        <f t="shared" si="1"/>
        <v>2159.4191477544568</v>
      </c>
      <c r="F55" s="276">
        <f t="shared" si="4"/>
        <v>81185.594580533376</v>
      </c>
    </row>
    <row r="56" spans="2:6">
      <c r="B56" s="3">
        <f t="shared" si="2"/>
        <v>32</v>
      </c>
      <c r="C56" s="191">
        <f t="shared" si="5"/>
        <v>81185.594580533376</v>
      </c>
      <c r="D56" s="276">
        <f t="shared" si="3"/>
        <v>1363.9179889529607</v>
      </c>
      <c r="E56" s="276">
        <f t="shared" si="1"/>
        <v>2195.697389436732</v>
      </c>
      <c r="F56" s="276">
        <f t="shared" si="4"/>
        <v>78989.89719109665</v>
      </c>
    </row>
    <row r="57" spans="2:6">
      <c r="B57" s="3">
        <f t="shared" si="2"/>
        <v>33</v>
      </c>
      <c r="C57" s="191">
        <f t="shared" si="5"/>
        <v>78989.89719109665</v>
      </c>
      <c r="D57" s="276">
        <f t="shared" si="3"/>
        <v>1327.0302728104239</v>
      </c>
      <c r="E57" s="276">
        <f t="shared" si="1"/>
        <v>2232.5851055792687</v>
      </c>
      <c r="F57" s="276">
        <f t="shared" si="4"/>
        <v>76757.312085517377</v>
      </c>
    </row>
    <row r="58" spans="2:6">
      <c r="B58" s="3">
        <f t="shared" si="2"/>
        <v>34</v>
      </c>
      <c r="C58" s="191">
        <f t="shared" si="5"/>
        <v>76757.312085517377</v>
      </c>
      <c r="D58" s="276">
        <f t="shared" si="3"/>
        <v>1289.5228430366922</v>
      </c>
      <c r="E58" s="276">
        <f t="shared" si="1"/>
        <v>2270.0925353530001</v>
      </c>
      <c r="F58" s="276">
        <f t="shared" si="4"/>
        <v>74487.219550164373</v>
      </c>
    </row>
    <row r="59" spans="2:6">
      <c r="B59" s="3">
        <f t="shared" si="2"/>
        <v>35</v>
      </c>
      <c r="C59" s="191">
        <f t="shared" si="5"/>
        <v>74487.219550164373</v>
      </c>
      <c r="D59" s="276">
        <f t="shared" si="3"/>
        <v>1251.3852884427615</v>
      </c>
      <c r="E59" s="276">
        <f t="shared" si="1"/>
        <v>2308.230089946931</v>
      </c>
      <c r="F59" s="276">
        <f t="shared" si="4"/>
        <v>72178.989460217446</v>
      </c>
    </row>
    <row r="60" spans="2:6">
      <c r="B60" s="3">
        <f t="shared" si="2"/>
        <v>36</v>
      </c>
      <c r="C60" s="191">
        <f t="shared" si="5"/>
        <v>72178.989460217446</v>
      </c>
      <c r="D60" s="276">
        <f t="shared" si="3"/>
        <v>1212.6070229316533</v>
      </c>
      <c r="E60" s="276">
        <f t="shared" si="1"/>
        <v>2347.0083554580392</v>
      </c>
      <c r="F60" s="276">
        <f t="shared" si="4"/>
        <v>69831.981104759412</v>
      </c>
    </row>
    <row r="61" spans="2:6">
      <c r="B61" s="3">
        <f t="shared" si="2"/>
        <v>37</v>
      </c>
      <c r="C61" s="191">
        <f t="shared" si="5"/>
        <v>69831.981104759412</v>
      </c>
      <c r="D61" s="276">
        <f t="shared" si="3"/>
        <v>1173.1772825599583</v>
      </c>
      <c r="E61" s="276">
        <f t="shared" si="1"/>
        <v>2386.4380958297343</v>
      </c>
      <c r="F61" s="276">
        <f t="shared" si="4"/>
        <v>67445.543008929671</v>
      </c>
    </row>
    <row r="62" spans="2:6">
      <c r="B62" s="3">
        <f t="shared" si="2"/>
        <v>38</v>
      </c>
      <c r="C62" s="191">
        <f t="shared" si="5"/>
        <v>67445.543008929671</v>
      </c>
      <c r="D62" s="276">
        <f t="shared" si="3"/>
        <v>1133.0851225500185</v>
      </c>
      <c r="E62" s="276">
        <f t="shared" si="1"/>
        <v>2426.5302558396743</v>
      </c>
      <c r="F62" s="276">
        <f t="shared" si="4"/>
        <v>65019.012753089999</v>
      </c>
    </row>
    <row r="63" spans="2:6">
      <c r="B63" s="3">
        <f t="shared" si="2"/>
        <v>39</v>
      </c>
      <c r="C63" s="191">
        <f t="shared" si="5"/>
        <v>65019.012753089999</v>
      </c>
      <c r="D63" s="276">
        <f t="shared" si="3"/>
        <v>1092.3194142519121</v>
      </c>
      <c r="E63" s="276">
        <f t="shared" si="1"/>
        <v>2467.2959641377802</v>
      </c>
      <c r="F63" s="276">
        <f t="shared" si="4"/>
        <v>62551.716788952217</v>
      </c>
    </row>
    <row r="64" spans="2:6">
      <c r="B64" s="3">
        <f t="shared" si="2"/>
        <v>40</v>
      </c>
      <c r="C64" s="191">
        <f t="shared" si="5"/>
        <v>62551.716788952217</v>
      </c>
      <c r="D64" s="276">
        <f t="shared" si="3"/>
        <v>1050.8688420543974</v>
      </c>
      <c r="E64" s="276">
        <f t="shared" si="1"/>
        <v>2508.7465363352949</v>
      </c>
      <c r="F64" s="276">
        <f t="shared" si="4"/>
        <v>60042.97025261692</v>
      </c>
    </row>
    <row r="65" spans="2:6">
      <c r="B65" s="3">
        <f t="shared" si="2"/>
        <v>41</v>
      </c>
      <c r="C65" s="191">
        <f t="shared" si="5"/>
        <v>60042.97025261692</v>
      </c>
      <c r="D65" s="276">
        <f t="shared" si="3"/>
        <v>1008.7219002439643</v>
      </c>
      <c r="E65" s="276">
        <f t="shared" si="1"/>
        <v>2550.8934781457283</v>
      </c>
      <c r="F65" s="276">
        <f t="shared" si="4"/>
        <v>57492.076774471192</v>
      </c>
    </row>
    <row r="66" spans="2:6">
      <c r="B66" s="3">
        <f t="shared" si="2"/>
        <v>42</v>
      </c>
      <c r="C66" s="191">
        <f t="shared" si="5"/>
        <v>57492.076774471192</v>
      </c>
      <c r="D66" s="276">
        <f t="shared" si="3"/>
        <v>965.86688981111615</v>
      </c>
      <c r="E66" s="276">
        <f t="shared" si="1"/>
        <v>2593.7484885785761</v>
      </c>
      <c r="F66" s="276">
        <f t="shared" si="4"/>
        <v>54898.328285892618</v>
      </c>
    </row>
    <row r="67" spans="2:6">
      <c r="B67" s="3">
        <f t="shared" si="2"/>
        <v>43</v>
      </c>
      <c r="C67" s="191">
        <f t="shared" si="5"/>
        <v>54898.328285892618</v>
      </c>
      <c r="D67" s="276">
        <f t="shared" si="3"/>
        <v>922.29191520299605</v>
      </c>
      <c r="E67" s="276">
        <f t="shared" si="1"/>
        <v>2637.3234631866962</v>
      </c>
      <c r="F67" s="276">
        <f t="shared" si="4"/>
        <v>52261.004822705923</v>
      </c>
    </row>
    <row r="68" spans="2:6">
      <c r="B68" s="3">
        <f>IF(C68="","",B67+1)</f>
        <v>44</v>
      </c>
      <c r="C68" s="191">
        <f t="shared" si="5"/>
        <v>52261.004822705923</v>
      </c>
      <c r="D68" s="276">
        <f t="shared" si="3"/>
        <v>877.98488102145961</v>
      </c>
      <c r="E68" s="276">
        <f t="shared" si="1"/>
        <v>2681.6304973682327</v>
      </c>
      <c r="F68" s="276">
        <f>IF(E68="","",C68-E68)</f>
        <v>49579.374325337689</v>
      </c>
    </row>
    <row r="69" spans="2:6">
      <c r="B69" s="3">
        <f t="shared" ref="B69:B76" si="6">IF(C69="","",B68+1)</f>
        <v>45</v>
      </c>
      <c r="C69" s="191">
        <f t="shared" si="5"/>
        <v>49579.374325337689</v>
      </c>
      <c r="D69" s="276">
        <f t="shared" si="3"/>
        <v>832.93348866567317</v>
      </c>
      <c r="E69" s="276">
        <f t="shared" si="1"/>
        <v>2726.6818897240191</v>
      </c>
      <c r="F69" s="276">
        <f t="shared" ref="F69:F76" si="7">IF(E69="","",C69-E69)</f>
        <v>46852.692435613673</v>
      </c>
    </row>
    <row r="70" spans="2:6">
      <c r="B70" s="3">
        <f t="shared" si="6"/>
        <v>46</v>
      </c>
      <c r="C70" s="191">
        <f t="shared" si="5"/>
        <v>46852.692435613673</v>
      </c>
      <c r="D70" s="276">
        <f t="shared" si="3"/>
        <v>787.12523291830973</v>
      </c>
      <c r="E70" s="276">
        <f t="shared" si="1"/>
        <v>2772.4901454713827</v>
      </c>
      <c r="F70" s="276">
        <f t="shared" si="7"/>
        <v>44080.20229014229</v>
      </c>
    </row>
    <row r="71" spans="2:6">
      <c r="B71" s="3">
        <f t="shared" si="6"/>
        <v>47</v>
      </c>
      <c r="C71" s="191">
        <f t="shared" si="5"/>
        <v>44080.20229014229</v>
      </c>
      <c r="D71" s="276">
        <f t="shared" si="3"/>
        <v>740.54739847439043</v>
      </c>
      <c r="E71" s="276">
        <f t="shared" si="1"/>
        <v>2819.0679799153022</v>
      </c>
      <c r="F71" s="276">
        <f t="shared" si="7"/>
        <v>41261.134310226989</v>
      </c>
    </row>
    <row r="72" spans="2:6">
      <c r="B72" s="3">
        <f t="shared" si="6"/>
        <v>48</v>
      </c>
      <c r="C72" s="191">
        <f t="shared" si="5"/>
        <v>41261.134310226989</v>
      </c>
      <c r="D72" s="276">
        <f t="shared" si="3"/>
        <v>693.1870564118135</v>
      </c>
      <c r="E72" s="276">
        <f t="shared" si="1"/>
        <v>2866.428321977879</v>
      </c>
      <c r="F72" s="276">
        <f t="shared" si="7"/>
        <v>38394.705988249108</v>
      </c>
    </row>
    <row r="73" spans="2:6">
      <c r="B73" s="3">
        <f t="shared" si="6"/>
        <v>49</v>
      </c>
      <c r="C73" s="191">
        <f t="shared" si="5"/>
        <v>38394.705988249108</v>
      </c>
      <c r="D73" s="276">
        <f t="shared" si="3"/>
        <v>645.03106060258506</v>
      </c>
      <c r="E73" s="276">
        <f t="shared" si="1"/>
        <v>2914.5843177871075</v>
      </c>
      <c r="F73" s="276">
        <f t="shared" si="7"/>
        <v>35480.121670462002</v>
      </c>
    </row>
    <row r="74" spans="2:6">
      <c r="B74" s="3">
        <f t="shared" si="6"/>
        <v>50</v>
      </c>
      <c r="C74" s="191">
        <f t="shared" si="5"/>
        <v>35480.121670462002</v>
      </c>
      <c r="D74" s="276">
        <f t="shared" si="3"/>
        <v>596.06604406376164</v>
      </c>
      <c r="E74" s="276">
        <f t="shared" si="1"/>
        <v>2963.5493343259309</v>
      </c>
      <c r="F74" s="276">
        <f t="shared" si="7"/>
        <v>32516.572336136072</v>
      </c>
    </row>
    <row r="75" spans="2:6">
      <c r="B75" s="3">
        <f t="shared" si="6"/>
        <v>51</v>
      </c>
      <c r="C75" s="191">
        <f t="shared" si="5"/>
        <v>32516.572336136072</v>
      </c>
      <c r="D75" s="276">
        <f t="shared" si="3"/>
        <v>546.27841524708606</v>
      </c>
      <c r="E75" s="276">
        <f t="shared" si="1"/>
        <v>3013.3369631426067</v>
      </c>
      <c r="F75" s="276">
        <f t="shared" si="7"/>
        <v>29503.235372993466</v>
      </c>
    </row>
    <row r="76" spans="2:6">
      <c r="B76" s="3">
        <f t="shared" si="6"/>
        <v>52</v>
      </c>
      <c r="C76" s="191">
        <f t="shared" si="5"/>
        <v>29503.235372993466</v>
      </c>
      <c r="D76" s="276">
        <f t="shared" si="3"/>
        <v>495.65435426629028</v>
      </c>
      <c r="E76" s="276">
        <f t="shared" si="1"/>
        <v>3063.9610241234022</v>
      </c>
      <c r="F76" s="276">
        <f t="shared" si="7"/>
        <v>26439.274348870065</v>
      </c>
    </row>
    <row r="77" spans="2:6">
      <c r="B77" s="3">
        <f t="shared" ref="B77:B83" si="8">IF(C77="","",B76+1)</f>
        <v>53</v>
      </c>
      <c r="C77" s="191">
        <f t="shared" si="5"/>
        <v>26439.274348870065</v>
      </c>
      <c r="D77" s="276">
        <f t="shared" si="3"/>
        <v>444.17980906101712</v>
      </c>
      <c r="E77" s="276">
        <f t="shared" si="1"/>
        <v>3115.4355693286752</v>
      </c>
      <c r="F77" s="276">
        <f t="shared" ref="F77:F83" si="9">IF(E77="","",C77-E77)</f>
        <v>23323.838779541391</v>
      </c>
    </row>
    <row r="78" spans="2:6">
      <c r="B78" s="3">
        <f t="shared" si="8"/>
        <v>54</v>
      </c>
      <c r="C78" s="191">
        <f t="shared" si="5"/>
        <v>23323.838779541391</v>
      </c>
      <c r="D78" s="276">
        <f t="shared" si="3"/>
        <v>391.84049149629539</v>
      </c>
      <c r="E78" s="276">
        <f t="shared" si="1"/>
        <v>3167.7748868933973</v>
      </c>
      <c r="F78" s="276">
        <f t="shared" si="9"/>
        <v>20156.063892647995</v>
      </c>
    </row>
    <row r="79" spans="2:6">
      <c r="B79" s="3">
        <f t="shared" si="8"/>
        <v>55</v>
      </c>
      <c r="C79" s="191">
        <f t="shared" si="5"/>
        <v>20156.063892647995</v>
      </c>
      <c r="D79" s="276">
        <f t="shared" si="3"/>
        <v>338.62187339648631</v>
      </c>
      <c r="E79" s="276">
        <f t="shared" si="1"/>
        <v>3220.9935049932064</v>
      </c>
      <c r="F79" s="276">
        <f t="shared" si="9"/>
        <v>16935.070387654789</v>
      </c>
    </row>
    <row r="80" spans="2:6">
      <c r="B80" s="3">
        <f t="shared" si="8"/>
        <v>56</v>
      </c>
      <c r="C80" s="191">
        <f t="shared" si="5"/>
        <v>16935.070387654789</v>
      </c>
      <c r="D80" s="276">
        <f t="shared" si="3"/>
        <v>284.50918251260049</v>
      </c>
      <c r="E80" s="276">
        <f t="shared" si="1"/>
        <v>3275.106195877092</v>
      </c>
      <c r="F80" s="276">
        <f t="shared" si="9"/>
        <v>13659.964191777697</v>
      </c>
    </row>
    <row r="81" spans="2:6">
      <c r="B81" s="3">
        <f t="shared" si="8"/>
        <v>57</v>
      </c>
      <c r="C81" s="191">
        <f t="shared" si="5"/>
        <v>13659.964191777697</v>
      </c>
      <c r="D81" s="276">
        <f t="shared" si="3"/>
        <v>229.48739842186532</v>
      </c>
      <c r="E81" s="276">
        <f t="shared" si="1"/>
        <v>3330.1279799678273</v>
      </c>
      <c r="F81" s="276">
        <f t="shared" si="9"/>
        <v>10329.83621180987</v>
      </c>
    </row>
    <row r="82" spans="2:6">
      <c r="B82" s="3">
        <f t="shared" si="8"/>
        <v>58</v>
      </c>
      <c r="C82" s="191">
        <f t="shared" si="5"/>
        <v>10329.83621180987</v>
      </c>
      <c r="D82" s="276">
        <f t="shared" si="3"/>
        <v>173.54124835840582</v>
      </c>
      <c r="E82" s="276">
        <f t="shared" si="1"/>
        <v>3386.0741300312866</v>
      </c>
      <c r="F82" s="276">
        <f t="shared" si="9"/>
        <v>6943.7620817785837</v>
      </c>
    </row>
    <row r="83" spans="2:6">
      <c r="B83" s="3">
        <f t="shared" si="8"/>
        <v>59</v>
      </c>
      <c r="C83" s="191">
        <f t="shared" si="5"/>
        <v>6943.7620817785837</v>
      </c>
      <c r="D83" s="276">
        <f t="shared" si="3"/>
        <v>116.65520297388021</v>
      </c>
      <c r="E83" s="276">
        <f t="shared" si="1"/>
        <v>3442.9601754158125</v>
      </c>
      <c r="F83" s="276">
        <f t="shared" si="9"/>
        <v>3500.8019063627712</v>
      </c>
    </row>
    <row r="84" spans="2:6">
      <c r="B84" s="3">
        <f t="shared" ref="B84:B94" si="10">IF(C84="","",B83+1)</f>
        <v>60</v>
      </c>
      <c r="C84" s="191">
        <f t="shared" ref="C84:C94" si="11">IF(F83&lt;=0.1,"",IF(C83="","",F83))</f>
        <v>3500.8019063627712</v>
      </c>
      <c r="D84" s="276">
        <f t="shared" ref="D84:D94" si="12">IF(C84="","",(C84*$C$15*1.12))</f>
        <v>58.813472026894559</v>
      </c>
      <c r="E84" s="276">
        <f t="shared" ref="E84:E94" si="13">IF(D84="","",$F$19-$C$16-$C$17-D84)</f>
        <v>3500.801906362798</v>
      </c>
      <c r="F84" s="276">
        <f t="shared" ref="F84:F94" si="14">IF(E84="","",C84-E84)</f>
        <v>-2.6830093702301383E-11</v>
      </c>
    </row>
    <row r="85" spans="2:6">
      <c r="B85" s="3" t="str">
        <f t="shared" si="10"/>
        <v/>
      </c>
      <c r="C85" s="191" t="str">
        <f t="shared" si="11"/>
        <v/>
      </c>
      <c r="D85" s="276" t="str">
        <f t="shared" si="12"/>
        <v/>
      </c>
      <c r="E85" s="276" t="str">
        <f t="shared" si="13"/>
        <v/>
      </c>
      <c r="F85" s="276" t="str">
        <f t="shared" si="14"/>
        <v/>
      </c>
    </row>
    <row r="86" spans="2:6">
      <c r="B86" s="3" t="str">
        <f t="shared" si="10"/>
        <v/>
      </c>
      <c r="C86" s="191" t="str">
        <f t="shared" si="11"/>
        <v/>
      </c>
      <c r="D86" s="276" t="str">
        <f t="shared" si="12"/>
        <v/>
      </c>
      <c r="E86" s="276" t="str">
        <f t="shared" si="13"/>
        <v/>
      </c>
      <c r="F86" s="276" t="str">
        <f t="shared" si="14"/>
        <v/>
      </c>
    </row>
    <row r="87" spans="2:6">
      <c r="B87" s="3" t="str">
        <f t="shared" si="10"/>
        <v/>
      </c>
      <c r="C87" s="191" t="str">
        <f t="shared" si="11"/>
        <v/>
      </c>
      <c r="D87" s="276" t="str">
        <f t="shared" si="12"/>
        <v/>
      </c>
      <c r="E87" s="276" t="str">
        <f t="shared" si="13"/>
        <v/>
      </c>
      <c r="F87" s="276" t="str">
        <f t="shared" si="14"/>
        <v/>
      </c>
    </row>
    <row r="88" spans="2:6">
      <c r="B88" s="3" t="str">
        <f t="shared" si="10"/>
        <v/>
      </c>
      <c r="C88" s="191" t="str">
        <f t="shared" si="11"/>
        <v/>
      </c>
      <c r="D88" s="276" t="str">
        <f t="shared" si="12"/>
        <v/>
      </c>
      <c r="E88" s="276" t="str">
        <f t="shared" si="13"/>
        <v/>
      </c>
      <c r="F88" s="276" t="str">
        <f t="shared" si="14"/>
        <v/>
      </c>
    </row>
    <row r="89" spans="2:6">
      <c r="B89" s="3" t="str">
        <f t="shared" si="10"/>
        <v/>
      </c>
      <c r="C89" s="191" t="str">
        <f t="shared" si="11"/>
        <v/>
      </c>
      <c r="D89" s="276" t="str">
        <f t="shared" si="12"/>
        <v/>
      </c>
      <c r="E89" s="276" t="str">
        <f t="shared" si="13"/>
        <v/>
      </c>
      <c r="F89" s="276" t="str">
        <f t="shared" si="14"/>
        <v/>
      </c>
    </row>
    <row r="90" spans="2:6">
      <c r="B90" s="3" t="str">
        <f t="shared" si="10"/>
        <v/>
      </c>
      <c r="C90" s="191" t="str">
        <f t="shared" si="11"/>
        <v/>
      </c>
      <c r="D90" s="276" t="str">
        <f t="shared" si="12"/>
        <v/>
      </c>
      <c r="E90" s="276" t="str">
        <f t="shared" si="13"/>
        <v/>
      </c>
      <c r="F90" s="276" t="str">
        <f t="shared" si="14"/>
        <v/>
      </c>
    </row>
    <row r="91" spans="2:6">
      <c r="B91" s="3" t="str">
        <f t="shared" si="10"/>
        <v/>
      </c>
      <c r="C91" s="191" t="str">
        <f t="shared" si="11"/>
        <v/>
      </c>
      <c r="D91" s="276" t="str">
        <f t="shared" si="12"/>
        <v/>
      </c>
      <c r="E91" s="276" t="str">
        <f t="shared" si="13"/>
        <v/>
      </c>
      <c r="F91" s="276" t="str">
        <f t="shared" si="14"/>
        <v/>
      </c>
    </row>
    <row r="92" spans="2:6">
      <c r="B92" s="3" t="str">
        <f t="shared" si="10"/>
        <v/>
      </c>
      <c r="C92" s="191" t="str">
        <f t="shared" si="11"/>
        <v/>
      </c>
      <c r="D92" s="276" t="str">
        <f t="shared" si="12"/>
        <v/>
      </c>
      <c r="E92" s="276" t="str">
        <f t="shared" si="13"/>
        <v/>
      </c>
      <c r="F92" s="276" t="str">
        <f t="shared" si="14"/>
        <v/>
      </c>
    </row>
    <row r="93" spans="2:6">
      <c r="B93" s="3" t="str">
        <f t="shared" si="10"/>
        <v/>
      </c>
      <c r="C93" s="191" t="str">
        <f t="shared" si="11"/>
        <v/>
      </c>
      <c r="D93" s="276" t="str">
        <f t="shared" si="12"/>
        <v/>
      </c>
      <c r="E93" s="276" t="str">
        <f t="shared" si="13"/>
        <v/>
      </c>
      <c r="F93" s="276" t="str">
        <f t="shared" si="14"/>
        <v/>
      </c>
    </row>
    <row r="94" spans="2:6">
      <c r="B94" s="3" t="str">
        <f t="shared" si="10"/>
        <v/>
      </c>
      <c r="C94" s="191" t="str">
        <f t="shared" si="11"/>
        <v/>
      </c>
      <c r="D94" s="276" t="str">
        <f t="shared" si="12"/>
        <v/>
      </c>
      <c r="E94" s="276" t="str">
        <f t="shared" si="13"/>
        <v/>
      </c>
      <c r="F94" s="276" t="str">
        <f t="shared" si="14"/>
        <v/>
      </c>
    </row>
    <row r="95" spans="2:6">
      <c r="B95" s="3" t="str">
        <f>IF(C95="","",B94+1)</f>
        <v/>
      </c>
      <c r="C95" s="191" t="str">
        <f>IF(F94&lt;=0.1,"",IF(C94="","",F94))</f>
        <v/>
      </c>
      <c r="D95" s="276" t="str">
        <f>IF(C95="","",(C95*$C$15*1.12))</f>
        <v/>
      </c>
      <c r="E95" s="276" t="str">
        <f>IF(D95="","",$F$19-$C$16-$C$17-D95)</f>
        <v/>
      </c>
      <c r="F95" s="276" t="str">
        <f>IF(E95="","",C95-E95)</f>
        <v/>
      </c>
    </row>
    <row r="96" spans="2:6">
      <c r="B96" s="3" t="str">
        <f t="shared" ref="B96:B135" si="15">IF(C96="","",B95+1)</f>
        <v/>
      </c>
      <c r="C96" s="191" t="str">
        <f t="shared" ref="C96:C135" si="16">IF(F95&lt;=0.1,"",IF(C95="","",F95))</f>
        <v/>
      </c>
      <c r="D96" s="276" t="str">
        <f t="shared" ref="D96:D135" si="17">IF(C96="","",(C96*$C$15*1.12))</f>
        <v/>
      </c>
      <c r="E96" s="276" t="str">
        <f t="shared" ref="E96:E135" si="18">IF(D96="","",$F$19-$C$16-$C$17-D96)</f>
        <v/>
      </c>
      <c r="F96" s="276" t="str">
        <f t="shared" ref="F96:F135" si="19">IF(E96="","",C96-E96)</f>
        <v/>
      </c>
    </row>
    <row r="97" spans="2:6">
      <c r="B97" s="3" t="str">
        <f t="shared" si="15"/>
        <v/>
      </c>
      <c r="C97" s="191" t="str">
        <f t="shared" si="16"/>
        <v/>
      </c>
      <c r="D97" s="276" t="str">
        <f t="shared" si="17"/>
        <v/>
      </c>
      <c r="E97" s="276" t="str">
        <f t="shared" si="18"/>
        <v/>
      </c>
      <c r="F97" s="276" t="str">
        <f t="shared" si="19"/>
        <v/>
      </c>
    </row>
    <row r="98" spans="2:6">
      <c r="B98" s="3" t="str">
        <f t="shared" si="15"/>
        <v/>
      </c>
      <c r="C98" s="191" t="str">
        <f t="shared" si="16"/>
        <v/>
      </c>
      <c r="D98" s="276" t="str">
        <f t="shared" si="17"/>
        <v/>
      </c>
      <c r="E98" s="276" t="str">
        <f t="shared" si="18"/>
        <v/>
      </c>
      <c r="F98" s="276" t="str">
        <f t="shared" si="19"/>
        <v/>
      </c>
    </row>
    <row r="99" spans="2:6">
      <c r="B99" s="3" t="str">
        <f t="shared" si="15"/>
        <v/>
      </c>
      <c r="C99" s="191" t="str">
        <f t="shared" si="16"/>
        <v/>
      </c>
      <c r="D99" s="276" t="str">
        <f t="shared" si="17"/>
        <v/>
      </c>
      <c r="E99" s="276" t="str">
        <f t="shared" si="18"/>
        <v/>
      </c>
      <c r="F99" s="276" t="str">
        <f t="shared" si="19"/>
        <v/>
      </c>
    </row>
    <row r="100" spans="2:6">
      <c r="B100" s="3" t="str">
        <f t="shared" si="15"/>
        <v/>
      </c>
      <c r="C100" s="191" t="str">
        <f t="shared" si="16"/>
        <v/>
      </c>
      <c r="D100" s="276" t="str">
        <f t="shared" si="17"/>
        <v/>
      </c>
      <c r="E100" s="276" t="str">
        <f t="shared" si="18"/>
        <v/>
      </c>
      <c r="F100" s="276" t="str">
        <f t="shared" si="19"/>
        <v/>
      </c>
    </row>
    <row r="101" spans="2:6">
      <c r="B101" s="3" t="str">
        <f t="shared" si="15"/>
        <v/>
      </c>
      <c r="C101" s="191" t="str">
        <f t="shared" si="16"/>
        <v/>
      </c>
      <c r="D101" s="276" t="str">
        <f t="shared" si="17"/>
        <v/>
      </c>
      <c r="E101" s="276" t="str">
        <f t="shared" si="18"/>
        <v/>
      </c>
      <c r="F101" s="276" t="str">
        <f t="shared" si="19"/>
        <v/>
      </c>
    </row>
    <row r="102" spans="2:6">
      <c r="B102" s="3" t="str">
        <f t="shared" si="15"/>
        <v/>
      </c>
      <c r="C102" s="191" t="str">
        <f t="shared" si="16"/>
        <v/>
      </c>
      <c r="D102" s="276" t="str">
        <f t="shared" si="17"/>
        <v/>
      </c>
      <c r="E102" s="276" t="str">
        <f t="shared" si="18"/>
        <v/>
      </c>
      <c r="F102" s="276" t="str">
        <f t="shared" si="19"/>
        <v/>
      </c>
    </row>
    <row r="103" spans="2:6">
      <c r="B103" s="3" t="str">
        <f t="shared" si="15"/>
        <v/>
      </c>
      <c r="C103" s="191" t="str">
        <f t="shared" si="16"/>
        <v/>
      </c>
      <c r="D103" s="276" t="str">
        <f t="shared" si="17"/>
        <v/>
      </c>
      <c r="E103" s="276" t="str">
        <f t="shared" si="18"/>
        <v/>
      </c>
      <c r="F103" s="276" t="str">
        <f t="shared" si="19"/>
        <v/>
      </c>
    </row>
    <row r="104" spans="2:6">
      <c r="B104" s="3" t="str">
        <f t="shared" si="15"/>
        <v/>
      </c>
      <c r="C104" s="191" t="str">
        <f t="shared" si="16"/>
        <v/>
      </c>
      <c r="D104" s="276" t="str">
        <f t="shared" si="17"/>
        <v/>
      </c>
      <c r="E104" s="276" t="str">
        <f t="shared" si="18"/>
        <v/>
      </c>
      <c r="F104" s="276" t="str">
        <f t="shared" si="19"/>
        <v/>
      </c>
    </row>
    <row r="105" spans="2:6">
      <c r="B105" s="3" t="str">
        <f t="shared" si="15"/>
        <v/>
      </c>
      <c r="C105" s="191" t="str">
        <f t="shared" si="16"/>
        <v/>
      </c>
      <c r="D105" s="276" t="str">
        <f t="shared" si="17"/>
        <v/>
      </c>
      <c r="E105" s="276" t="str">
        <f t="shared" si="18"/>
        <v/>
      </c>
      <c r="F105" s="276" t="str">
        <f t="shared" si="19"/>
        <v/>
      </c>
    </row>
    <row r="106" spans="2:6">
      <c r="B106" s="3" t="str">
        <f t="shared" si="15"/>
        <v/>
      </c>
      <c r="C106" s="191" t="str">
        <f t="shared" si="16"/>
        <v/>
      </c>
      <c r="D106" s="276" t="str">
        <f t="shared" si="17"/>
        <v/>
      </c>
      <c r="E106" s="276" t="str">
        <f t="shared" si="18"/>
        <v/>
      </c>
      <c r="F106" s="276" t="str">
        <f t="shared" si="19"/>
        <v/>
      </c>
    </row>
    <row r="107" spans="2:6">
      <c r="B107" s="3" t="str">
        <f t="shared" si="15"/>
        <v/>
      </c>
      <c r="C107" s="191" t="str">
        <f t="shared" si="16"/>
        <v/>
      </c>
      <c r="D107" s="276" t="str">
        <f t="shared" si="17"/>
        <v/>
      </c>
      <c r="E107" s="276" t="str">
        <f t="shared" si="18"/>
        <v/>
      </c>
      <c r="F107" s="276" t="str">
        <f t="shared" si="19"/>
        <v/>
      </c>
    </row>
    <row r="108" spans="2:6">
      <c r="B108" s="3" t="str">
        <f t="shared" si="15"/>
        <v/>
      </c>
      <c r="C108" s="191" t="str">
        <f t="shared" si="16"/>
        <v/>
      </c>
      <c r="D108" s="276" t="str">
        <f t="shared" si="17"/>
        <v/>
      </c>
      <c r="E108" s="276" t="str">
        <f t="shared" si="18"/>
        <v/>
      </c>
      <c r="F108" s="276" t="str">
        <f t="shared" si="19"/>
        <v/>
      </c>
    </row>
    <row r="109" spans="2:6">
      <c r="B109" s="3" t="str">
        <f t="shared" si="15"/>
        <v/>
      </c>
      <c r="C109" s="191" t="str">
        <f t="shared" si="16"/>
        <v/>
      </c>
      <c r="D109" s="276" t="str">
        <f t="shared" si="17"/>
        <v/>
      </c>
      <c r="E109" s="276" t="str">
        <f t="shared" si="18"/>
        <v/>
      </c>
      <c r="F109" s="276" t="str">
        <f t="shared" si="19"/>
        <v/>
      </c>
    </row>
    <row r="110" spans="2:6">
      <c r="B110" s="3" t="str">
        <f t="shared" si="15"/>
        <v/>
      </c>
      <c r="C110" s="191" t="str">
        <f t="shared" si="16"/>
        <v/>
      </c>
      <c r="D110" s="276" t="str">
        <f t="shared" si="17"/>
        <v/>
      </c>
      <c r="E110" s="276" t="str">
        <f t="shared" si="18"/>
        <v/>
      </c>
      <c r="F110" s="276" t="str">
        <f t="shared" si="19"/>
        <v/>
      </c>
    </row>
    <row r="111" spans="2:6">
      <c r="B111" s="3" t="str">
        <f t="shared" si="15"/>
        <v/>
      </c>
      <c r="C111" s="191" t="str">
        <f t="shared" si="16"/>
        <v/>
      </c>
      <c r="D111" s="276" t="str">
        <f t="shared" si="17"/>
        <v/>
      </c>
      <c r="E111" s="276" t="str">
        <f t="shared" si="18"/>
        <v/>
      </c>
      <c r="F111" s="276" t="str">
        <f t="shared" si="19"/>
        <v/>
      </c>
    </row>
    <row r="112" spans="2:6">
      <c r="B112" s="3" t="str">
        <f t="shared" si="15"/>
        <v/>
      </c>
      <c r="C112" s="191" t="str">
        <f t="shared" si="16"/>
        <v/>
      </c>
      <c r="D112" s="276" t="str">
        <f t="shared" si="17"/>
        <v/>
      </c>
      <c r="E112" s="276" t="str">
        <f t="shared" si="18"/>
        <v/>
      </c>
      <c r="F112" s="276" t="str">
        <f t="shared" si="19"/>
        <v/>
      </c>
    </row>
    <row r="113" spans="2:6">
      <c r="B113" s="3" t="str">
        <f t="shared" si="15"/>
        <v/>
      </c>
      <c r="C113" s="191" t="str">
        <f t="shared" si="16"/>
        <v/>
      </c>
      <c r="D113" s="276" t="str">
        <f t="shared" si="17"/>
        <v/>
      </c>
      <c r="E113" s="276" t="str">
        <f t="shared" si="18"/>
        <v/>
      </c>
      <c r="F113" s="276" t="str">
        <f t="shared" si="19"/>
        <v/>
      </c>
    </row>
    <row r="114" spans="2:6">
      <c r="B114" s="3" t="str">
        <f t="shared" si="15"/>
        <v/>
      </c>
      <c r="C114" s="191" t="str">
        <f t="shared" si="16"/>
        <v/>
      </c>
      <c r="D114" s="276" t="str">
        <f t="shared" si="17"/>
        <v/>
      </c>
      <c r="E114" s="276" t="str">
        <f t="shared" si="18"/>
        <v/>
      </c>
      <c r="F114" s="276" t="str">
        <f t="shared" si="19"/>
        <v/>
      </c>
    </row>
    <row r="115" spans="2:6">
      <c r="B115" s="3" t="str">
        <f t="shared" si="15"/>
        <v/>
      </c>
      <c r="C115" s="191" t="str">
        <f t="shared" si="16"/>
        <v/>
      </c>
      <c r="D115" s="276" t="str">
        <f t="shared" si="17"/>
        <v/>
      </c>
      <c r="E115" s="276" t="str">
        <f t="shared" si="18"/>
        <v/>
      </c>
      <c r="F115" s="276" t="str">
        <f t="shared" si="19"/>
        <v/>
      </c>
    </row>
    <row r="116" spans="2:6">
      <c r="B116" s="3" t="str">
        <f t="shared" si="15"/>
        <v/>
      </c>
      <c r="C116" s="191" t="str">
        <f t="shared" si="16"/>
        <v/>
      </c>
      <c r="D116" s="276" t="str">
        <f t="shared" si="17"/>
        <v/>
      </c>
      <c r="E116" s="276" t="str">
        <f t="shared" si="18"/>
        <v/>
      </c>
      <c r="F116" s="276" t="str">
        <f t="shared" si="19"/>
        <v/>
      </c>
    </row>
    <row r="117" spans="2:6">
      <c r="B117" s="3" t="str">
        <f t="shared" si="15"/>
        <v/>
      </c>
      <c r="C117" s="191" t="str">
        <f t="shared" si="16"/>
        <v/>
      </c>
      <c r="D117" s="276" t="str">
        <f t="shared" si="17"/>
        <v/>
      </c>
      <c r="E117" s="276" t="str">
        <f t="shared" si="18"/>
        <v/>
      </c>
      <c r="F117" s="276" t="str">
        <f t="shared" si="19"/>
        <v/>
      </c>
    </row>
    <row r="118" spans="2:6">
      <c r="B118" s="3" t="str">
        <f t="shared" si="15"/>
        <v/>
      </c>
      <c r="C118" s="191" t="str">
        <f t="shared" si="16"/>
        <v/>
      </c>
      <c r="D118" s="276" t="str">
        <f t="shared" si="17"/>
        <v/>
      </c>
      <c r="E118" s="276" t="str">
        <f t="shared" si="18"/>
        <v/>
      </c>
      <c r="F118" s="276" t="str">
        <f t="shared" si="19"/>
        <v/>
      </c>
    </row>
    <row r="119" spans="2:6">
      <c r="B119" s="3" t="str">
        <f t="shared" si="15"/>
        <v/>
      </c>
      <c r="C119" s="191" t="str">
        <f t="shared" si="16"/>
        <v/>
      </c>
      <c r="D119" s="276" t="str">
        <f t="shared" si="17"/>
        <v/>
      </c>
      <c r="E119" s="276" t="str">
        <f t="shared" si="18"/>
        <v/>
      </c>
      <c r="F119" s="276" t="str">
        <f t="shared" si="19"/>
        <v/>
      </c>
    </row>
    <row r="120" spans="2:6">
      <c r="B120" s="3" t="str">
        <f t="shared" si="15"/>
        <v/>
      </c>
      <c r="C120" s="191" t="str">
        <f t="shared" si="16"/>
        <v/>
      </c>
      <c r="D120" s="276" t="str">
        <f t="shared" si="17"/>
        <v/>
      </c>
      <c r="E120" s="276" t="str">
        <f t="shared" si="18"/>
        <v/>
      </c>
      <c r="F120" s="276" t="str">
        <f t="shared" si="19"/>
        <v/>
      </c>
    </row>
    <row r="121" spans="2:6">
      <c r="B121" s="3" t="str">
        <f t="shared" si="15"/>
        <v/>
      </c>
      <c r="C121" s="191" t="str">
        <f t="shared" si="16"/>
        <v/>
      </c>
      <c r="D121" s="276" t="str">
        <f t="shared" si="17"/>
        <v/>
      </c>
      <c r="E121" s="276" t="str">
        <f t="shared" si="18"/>
        <v/>
      </c>
      <c r="F121" s="276" t="str">
        <f t="shared" si="19"/>
        <v/>
      </c>
    </row>
    <row r="122" spans="2:6">
      <c r="B122" s="3" t="str">
        <f t="shared" si="15"/>
        <v/>
      </c>
      <c r="C122" s="191" t="str">
        <f t="shared" si="16"/>
        <v/>
      </c>
      <c r="D122" s="276" t="str">
        <f t="shared" si="17"/>
        <v/>
      </c>
      <c r="E122" s="276" t="str">
        <f t="shared" si="18"/>
        <v/>
      </c>
      <c r="F122" s="276" t="str">
        <f t="shared" si="19"/>
        <v/>
      </c>
    </row>
    <row r="123" spans="2:6">
      <c r="B123" s="3" t="str">
        <f t="shared" si="15"/>
        <v/>
      </c>
      <c r="C123" s="191" t="str">
        <f t="shared" si="16"/>
        <v/>
      </c>
      <c r="D123" s="276" t="str">
        <f t="shared" si="17"/>
        <v/>
      </c>
      <c r="E123" s="276" t="str">
        <f t="shared" si="18"/>
        <v/>
      </c>
      <c r="F123" s="276" t="str">
        <f t="shared" si="19"/>
        <v/>
      </c>
    </row>
    <row r="124" spans="2:6">
      <c r="B124" s="3" t="str">
        <f t="shared" si="15"/>
        <v/>
      </c>
      <c r="C124" s="191" t="str">
        <f t="shared" si="16"/>
        <v/>
      </c>
      <c r="D124" s="276" t="str">
        <f t="shared" si="17"/>
        <v/>
      </c>
      <c r="E124" s="276" t="str">
        <f t="shared" si="18"/>
        <v/>
      </c>
      <c r="F124" s="276" t="str">
        <f t="shared" si="19"/>
        <v/>
      </c>
    </row>
    <row r="125" spans="2:6">
      <c r="B125" s="3" t="str">
        <f t="shared" si="15"/>
        <v/>
      </c>
      <c r="C125" s="191" t="str">
        <f t="shared" si="16"/>
        <v/>
      </c>
      <c r="D125" s="276" t="str">
        <f t="shared" si="17"/>
        <v/>
      </c>
      <c r="E125" s="276" t="str">
        <f t="shared" si="18"/>
        <v/>
      </c>
      <c r="F125" s="276" t="str">
        <f t="shared" si="19"/>
        <v/>
      </c>
    </row>
    <row r="126" spans="2:6">
      <c r="B126" s="3" t="str">
        <f t="shared" si="15"/>
        <v/>
      </c>
      <c r="C126" s="191" t="str">
        <f t="shared" si="16"/>
        <v/>
      </c>
      <c r="D126" s="276" t="str">
        <f t="shared" si="17"/>
        <v/>
      </c>
      <c r="E126" s="276" t="str">
        <f t="shared" si="18"/>
        <v/>
      </c>
      <c r="F126" s="276" t="str">
        <f t="shared" si="19"/>
        <v/>
      </c>
    </row>
    <row r="127" spans="2:6">
      <c r="B127" s="3" t="str">
        <f t="shared" si="15"/>
        <v/>
      </c>
      <c r="C127" s="191" t="str">
        <f t="shared" si="16"/>
        <v/>
      </c>
      <c r="D127" s="276" t="str">
        <f t="shared" si="17"/>
        <v/>
      </c>
      <c r="E127" s="276" t="str">
        <f t="shared" si="18"/>
        <v/>
      </c>
      <c r="F127" s="276" t="str">
        <f t="shared" si="19"/>
        <v/>
      </c>
    </row>
    <row r="128" spans="2:6">
      <c r="B128" s="3" t="str">
        <f t="shared" si="15"/>
        <v/>
      </c>
      <c r="C128" s="191" t="str">
        <f t="shared" si="16"/>
        <v/>
      </c>
      <c r="D128" s="276" t="str">
        <f t="shared" si="17"/>
        <v/>
      </c>
      <c r="E128" s="276" t="str">
        <f t="shared" si="18"/>
        <v/>
      </c>
      <c r="F128" s="276" t="str">
        <f t="shared" si="19"/>
        <v/>
      </c>
    </row>
    <row r="129" spans="2:6">
      <c r="B129" s="3" t="str">
        <f t="shared" si="15"/>
        <v/>
      </c>
      <c r="C129" s="191" t="str">
        <f t="shared" si="16"/>
        <v/>
      </c>
      <c r="D129" s="276" t="str">
        <f t="shared" si="17"/>
        <v/>
      </c>
      <c r="E129" s="276" t="str">
        <f t="shared" si="18"/>
        <v/>
      </c>
      <c r="F129" s="276" t="str">
        <f t="shared" si="19"/>
        <v/>
      </c>
    </row>
    <row r="130" spans="2:6">
      <c r="B130" s="3" t="str">
        <f t="shared" si="15"/>
        <v/>
      </c>
      <c r="C130" s="191" t="str">
        <f t="shared" si="16"/>
        <v/>
      </c>
      <c r="D130" s="276" t="str">
        <f t="shared" si="17"/>
        <v/>
      </c>
      <c r="E130" s="276" t="str">
        <f t="shared" si="18"/>
        <v/>
      </c>
      <c r="F130" s="276" t="str">
        <f t="shared" si="19"/>
        <v/>
      </c>
    </row>
    <row r="131" spans="2:6">
      <c r="B131" s="3" t="str">
        <f t="shared" si="15"/>
        <v/>
      </c>
      <c r="C131" s="191" t="str">
        <f t="shared" si="16"/>
        <v/>
      </c>
      <c r="D131" s="276" t="str">
        <f t="shared" si="17"/>
        <v/>
      </c>
      <c r="E131" s="276" t="str">
        <f t="shared" si="18"/>
        <v/>
      </c>
      <c r="F131" s="276" t="str">
        <f t="shared" si="19"/>
        <v/>
      </c>
    </row>
    <row r="132" spans="2:6">
      <c r="B132" s="3" t="str">
        <f t="shared" si="15"/>
        <v/>
      </c>
      <c r="C132" s="191" t="str">
        <f t="shared" si="16"/>
        <v/>
      </c>
      <c r="D132" s="276" t="str">
        <f t="shared" si="17"/>
        <v/>
      </c>
      <c r="E132" s="276" t="str">
        <f t="shared" si="18"/>
        <v/>
      </c>
      <c r="F132" s="276" t="str">
        <f t="shared" si="19"/>
        <v/>
      </c>
    </row>
    <row r="133" spans="2:6">
      <c r="B133" s="3" t="str">
        <f t="shared" si="15"/>
        <v/>
      </c>
      <c r="C133" s="191" t="str">
        <f t="shared" si="16"/>
        <v/>
      </c>
      <c r="D133" s="276" t="str">
        <f t="shared" si="17"/>
        <v/>
      </c>
      <c r="E133" s="276" t="str">
        <f t="shared" si="18"/>
        <v/>
      </c>
      <c r="F133" s="276" t="str">
        <f t="shared" si="19"/>
        <v/>
      </c>
    </row>
    <row r="134" spans="2:6">
      <c r="B134" s="3" t="str">
        <f t="shared" si="15"/>
        <v/>
      </c>
      <c r="C134" s="191" t="str">
        <f t="shared" si="16"/>
        <v/>
      </c>
      <c r="D134" s="276" t="str">
        <f t="shared" si="17"/>
        <v/>
      </c>
      <c r="E134" s="276" t="str">
        <f t="shared" si="18"/>
        <v/>
      </c>
      <c r="F134" s="276" t="str">
        <f t="shared" si="19"/>
        <v/>
      </c>
    </row>
    <row r="135" spans="2:6">
      <c r="B135" s="3" t="str">
        <f t="shared" si="15"/>
        <v/>
      </c>
      <c r="C135" s="191" t="str">
        <f t="shared" si="16"/>
        <v/>
      </c>
      <c r="D135" s="276" t="str">
        <f t="shared" si="17"/>
        <v/>
      </c>
      <c r="E135" s="276" t="str">
        <f t="shared" si="18"/>
        <v/>
      </c>
      <c r="F135" s="276" t="str">
        <f t="shared" si="19"/>
        <v/>
      </c>
    </row>
  </sheetData>
  <sheetProtection password="C7B7" sheet="1" selectLockedCells="1"/>
  <mergeCells count="3">
    <mergeCell ref="A1:G1"/>
    <mergeCell ref="B7:E7"/>
    <mergeCell ref="F7:G7"/>
  </mergeCells>
  <conditionalFormatting sqref="D12">
    <cfRule type="cellIs" dxfId="13" priority="1" operator="equal">
      <formula>0.9</formula>
    </cfRule>
    <cfRule type="cellIs" dxfId="12" priority="2" operator="lessThan">
      <formula>0.9</formula>
    </cfRule>
    <cfRule type="cellIs" dxfId="11" priority="3" operator="greaterThan">
      <formula>0.901</formula>
    </cfRule>
  </conditionalFormatting>
  <dataValidations count="1">
    <dataValidation type="list" allowBlank="1" showInputMessage="1" showErrorMessage="1" sqref="F7:G7">
      <formula1>"Particular,UBER,Nuevo,Pick Up,Panel,Camion,Microbus"</formula1>
    </dataValidation>
  </dataValidations>
  <pageMargins left="0.42" right="0.3" top="1.2650000000000001" bottom="0.75" header="0.3" footer="0.3"/>
  <pageSetup paperSize="9" scale="96" orientation="portrait" r:id="rId1"/>
  <headerFooter>
    <oddHeader>&amp;L&amp;G
&amp;R&amp;G</oddHeader>
    <oddFooter>&amp;L&amp;G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showGridLines="0" view="pageLayout" topLeftCell="A2" zoomScaleNormal="100" workbookViewId="0">
      <selection activeCell="D18" sqref="D18"/>
    </sheetView>
  </sheetViews>
  <sheetFormatPr baseColWidth="10" defaultRowHeight="15"/>
  <cols>
    <col min="1" max="1" width="8" customWidth="1"/>
    <col min="2" max="2" width="9.42578125" customWidth="1"/>
    <col min="3" max="3" width="15.28515625" customWidth="1"/>
    <col min="4" max="4" width="14.7109375" customWidth="1"/>
    <col min="5" max="5" width="14.42578125" customWidth="1"/>
    <col min="6" max="6" width="14.85546875" customWidth="1"/>
    <col min="7" max="7" width="13.42578125" customWidth="1"/>
    <col min="8" max="8" width="7.140625" customWidth="1"/>
  </cols>
  <sheetData>
    <row r="1" spans="1:7" ht="30.75" customHeight="1">
      <c r="A1" s="469" t="s">
        <v>462</v>
      </c>
      <c r="B1" s="469"/>
      <c r="C1" s="469"/>
      <c r="D1" s="469"/>
      <c r="E1" s="469"/>
      <c r="F1" s="469"/>
      <c r="G1" s="469"/>
    </row>
    <row r="3" spans="1:7">
      <c r="A3" s="4" t="s">
        <v>463</v>
      </c>
    </row>
    <row r="5" spans="1:7">
      <c r="B5" s="15" t="s">
        <v>464</v>
      </c>
      <c r="C5" s="327" t="str">
        <f>' Cotizador cliente'!C5</f>
        <v>FOTON</v>
      </c>
      <c r="D5" s="15" t="s">
        <v>465</v>
      </c>
      <c r="E5" s="327" t="str">
        <f>' Cotizador cliente'!E5</f>
        <v>AUMARK E</v>
      </c>
      <c r="F5" s="15" t="s">
        <v>466</v>
      </c>
      <c r="G5" s="327">
        <f>' Cotizador cliente'!G5</f>
        <v>2026</v>
      </c>
    </row>
    <row r="7" spans="1:7">
      <c r="A7" t="s">
        <v>117</v>
      </c>
      <c r="B7" s="472" t="str">
        <f>' Cotizador cliente'!B7:E7</f>
        <v>Mario Edú Polanco Fores</v>
      </c>
      <c r="C7" s="472"/>
      <c r="D7" s="472"/>
      <c r="E7" s="472"/>
      <c r="G7" t="str">
        <f>' Cotizador cliente'!F7</f>
        <v>Camion</v>
      </c>
    </row>
    <row r="8" spans="1:7">
      <c r="C8" s="16"/>
      <c r="D8" s="16"/>
      <c r="E8" s="16"/>
    </row>
    <row r="9" spans="1:7">
      <c r="A9" t="s">
        <v>467</v>
      </c>
      <c r="C9" s="271">
        <f>' Cotizador cliente'!C9</f>
        <v>137000</v>
      </c>
      <c r="D9" s="16"/>
      <c r="E9" s="16"/>
    </row>
    <row r="10" spans="1:7">
      <c r="A10" t="s">
        <v>507</v>
      </c>
      <c r="C10" s="271">
        <f>' Cotizador cliente'!C10</f>
        <v>137000</v>
      </c>
    </row>
    <row r="11" spans="1:7">
      <c r="A11" t="s">
        <v>468</v>
      </c>
      <c r="C11" s="271">
        <f>' Cotizador cliente'!C11</f>
        <v>13700</v>
      </c>
      <c r="D11" s="279">
        <f>C11/C9</f>
        <v>0.1</v>
      </c>
    </row>
    <row r="12" spans="1:7">
      <c r="A12" t="s">
        <v>469</v>
      </c>
      <c r="C12" s="271">
        <f>' Cotizador cliente'!C12</f>
        <v>123300</v>
      </c>
      <c r="D12" s="279">
        <f>(C12/C9)</f>
        <v>0.9</v>
      </c>
    </row>
    <row r="14" spans="1:7">
      <c r="A14" s="323" t="s">
        <v>470</v>
      </c>
      <c r="C14" s="326">
        <f>' Cotizador cliente'!C14</f>
        <v>60</v>
      </c>
    </row>
    <row r="15" spans="1:7">
      <c r="A15" s="323" t="s">
        <v>471</v>
      </c>
      <c r="C15" s="325">
        <f>' Cotizador cliente'!C15</f>
        <v>1.4999999999999999E-2</v>
      </c>
    </row>
    <row r="16" spans="1:7">
      <c r="A16" s="323" t="s">
        <v>472</v>
      </c>
      <c r="C16" s="280">
        <f>IF(G7="UBER",VLOOKUP(C10,'Costo seguro'!B2:G782,2,TRUE),IF(G7="Particular",VLOOKUP(C10,'Costo seguro'!B2:G782,2,TRUE),IF(G7="Pick Up",VLOOKUP(C10,'Costo seguro'!B2:G782,3,TRUE),IF(G7="Nuevo",VLOOKUP(C10,'Costo seguro'!B2:G782,2,TRUE),IF(G7="Panel",VLOOKUP(C10,'Costo seguro'!B2:G782,4,TRUE),IF(G7="Camion",VLOOKUP(C10,'Costo seguro'!B2:G782,4,TRUE),IF(G7="Microbus",VLOOKUP(C10,'Costo seguro'!B2:G782,4,TRUE),"")))))))</f>
        <v>805.56000000000006</v>
      </c>
      <c r="D16" s="191"/>
      <c r="E16" s="305" t="s">
        <v>473</v>
      </c>
    </row>
    <row r="17" spans="1:6">
      <c r="A17" s="323" t="s">
        <v>474</v>
      </c>
      <c r="C17" s="271">
        <f>' Cotizador cliente'!C18</f>
        <v>545</v>
      </c>
      <c r="F17" s="274"/>
    </row>
    <row r="18" spans="1:6" ht="15.75">
      <c r="A18" s="323" t="s">
        <v>413</v>
      </c>
      <c r="C18" s="271">
        <f>' Cotizador cliente'!C19</f>
        <v>10060.7624</v>
      </c>
      <c r="D18" s="191"/>
      <c r="E18" s="305" t="s">
        <v>475</v>
      </c>
      <c r="F18" s="306">
        <f>PMT((C15*1.12),C14,-(C12+C17+C18))+C16+C19</f>
        <v>4902.377778389693</v>
      </c>
    </row>
    <row r="19" spans="1:6">
      <c r="A19" s="323" t="s">
        <v>496</v>
      </c>
      <c r="C19" s="271">
        <f>VLOOKUP(C10,'Costo seguro'!B2:K782,5,TRUE)</f>
        <v>537.2023999999999</v>
      </c>
      <c r="D19" s="191"/>
      <c r="E19" s="305"/>
    </row>
    <row r="20" spans="1:6" ht="12.75" customHeight="1">
      <c r="C20" s="271"/>
      <c r="D20" s="191"/>
      <c r="E20" s="305"/>
      <c r="F20" s="308"/>
    </row>
    <row r="21" spans="1:6" ht="15" customHeight="1">
      <c r="B21" s="33" t="s">
        <v>393</v>
      </c>
      <c r="C21" s="275" t="s">
        <v>395</v>
      </c>
      <c r="D21" s="275" t="s">
        <v>397</v>
      </c>
      <c r="E21" s="275" t="s">
        <v>398</v>
      </c>
      <c r="F21" s="275" t="s">
        <v>399</v>
      </c>
    </row>
    <row r="22" spans="1:6">
      <c r="B22" s="3">
        <v>1</v>
      </c>
      <c r="C22" s="276">
        <f>' Cotizador cliente'!C24</f>
        <v>133905.76240000001</v>
      </c>
      <c r="D22" s="276">
        <f>((C22)*C15*1.12)</f>
        <v>2249.6168083200005</v>
      </c>
      <c r="E22" s="332">
        <f>$F$18-$C$16-D22-C19</f>
        <v>1309.9985700696923</v>
      </c>
      <c r="F22" s="276">
        <f>C22-E22</f>
        <v>132595.76382993031</v>
      </c>
    </row>
    <row r="23" spans="1:6">
      <c r="B23" s="3">
        <f>IF(C23="","",B22+1)</f>
        <v>2</v>
      </c>
      <c r="C23" s="191">
        <f t="shared" ref="C23:C28" si="0">IF(F22&lt;=0.1,"",IF(C22="","",F22))</f>
        <v>132595.76382993031</v>
      </c>
      <c r="D23" s="276">
        <f>IF(C23="","",(C23*$C$15*1.12))</f>
        <v>2227.6088323428294</v>
      </c>
      <c r="E23" s="276">
        <f t="shared" ref="E23:E54" si="1">IF(D23="","",$F$18-$C$16-D23-$C$19)</f>
        <v>1332.0065460468634</v>
      </c>
      <c r="F23" s="276">
        <f>IF(E23="","",C23-E23)</f>
        <v>131263.75728388343</v>
      </c>
    </row>
    <row r="24" spans="1:6">
      <c r="B24" s="3">
        <f t="shared" ref="B24:B65" si="2">IF(C24="","",B23+1)</f>
        <v>3</v>
      </c>
      <c r="C24" s="191">
        <f t="shared" si="0"/>
        <v>131263.75728388343</v>
      </c>
      <c r="D24" s="276">
        <f t="shared" ref="D24:D87" si="3">IF(C24="","",(C24*$C$15*1.12))</f>
        <v>2205.2311223692418</v>
      </c>
      <c r="E24" s="276">
        <f t="shared" si="1"/>
        <v>1354.3842560204509</v>
      </c>
      <c r="F24" s="276">
        <f t="shared" ref="F24:F65" si="4">IF(E24="","",C24-E24)</f>
        <v>129909.37302786298</v>
      </c>
    </row>
    <row r="25" spans="1:6">
      <c r="B25" s="3">
        <f t="shared" si="2"/>
        <v>4</v>
      </c>
      <c r="C25" s="191">
        <f t="shared" si="0"/>
        <v>129909.37302786298</v>
      </c>
      <c r="D25" s="276">
        <f t="shared" si="3"/>
        <v>2182.4774668680984</v>
      </c>
      <c r="E25" s="276">
        <f t="shared" si="1"/>
        <v>1377.1379115215943</v>
      </c>
      <c r="F25" s="276">
        <f t="shared" si="4"/>
        <v>128532.23511634138</v>
      </c>
    </row>
    <row r="26" spans="1:6">
      <c r="B26" s="3">
        <f t="shared" si="2"/>
        <v>5</v>
      </c>
      <c r="C26" s="191">
        <f t="shared" si="0"/>
        <v>128532.23511634138</v>
      </c>
      <c r="D26" s="276">
        <f t="shared" si="3"/>
        <v>2159.3415499545354</v>
      </c>
      <c r="E26" s="276">
        <f t="shared" si="1"/>
        <v>1400.2738284351574</v>
      </c>
      <c r="F26" s="276">
        <f t="shared" si="4"/>
        <v>127131.96128790623</v>
      </c>
    </row>
    <row r="27" spans="1:6">
      <c r="B27" s="3">
        <f t="shared" si="2"/>
        <v>6</v>
      </c>
      <c r="C27" s="191">
        <f t="shared" si="0"/>
        <v>127131.96128790623</v>
      </c>
      <c r="D27" s="276">
        <f t="shared" si="3"/>
        <v>2135.816949636825</v>
      </c>
      <c r="E27" s="276">
        <f t="shared" si="1"/>
        <v>1423.7984287528677</v>
      </c>
      <c r="F27" s="276">
        <f t="shared" si="4"/>
        <v>125708.16285915337</v>
      </c>
    </row>
    <row r="28" spans="1:6">
      <c r="B28" s="3">
        <f t="shared" si="2"/>
        <v>7</v>
      </c>
      <c r="C28" s="191">
        <f t="shared" si="0"/>
        <v>125708.16285915337</v>
      </c>
      <c r="D28" s="276">
        <f t="shared" si="3"/>
        <v>2111.8971360337769</v>
      </c>
      <c r="E28" s="276">
        <f t="shared" si="1"/>
        <v>1447.7182423559159</v>
      </c>
      <c r="F28" s="276">
        <f t="shared" si="4"/>
        <v>124260.44461679745</v>
      </c>
    </row>
    <row r="29" spans="1:6">
      <c r="B29" s="3">
        <f t="shared" si="2"/>
        <v>8</v>
      </c>
      <c r="C29" s="191">
        <f t="shared" ref="C29:C92" si="5">IF(F28&lt;=0.1,"",IF(C28="","",F28))</f>
        <v>124260.44461679745</v>
      </c>
      <c r="D29" s="276">
        <f t="shared" si="3"/>
        <v>2087.5754695621977</v>
      </c>
      <c r="E29" s="276">
        <f t="shared" si="1"/>
        <v>1472.0399088274951</v>
      </c>
      <c r="F29" s="276">
        <f t="shared" si="4"/>
        <v>122788.40470796995</v>
      </c>
    </row>
    <row r="30" spans="1:6">
      <c r="B30" s="3">
        <f t="shared" si="2"/>
        <v>9</v>
      </c>
      <c r="C30" s="191">
        <f t="shared" si="5"/>
        <v>122788.40470796995</v>
      </c>
      <c r="D30" s="276">
        <f t="shared" si="3"/>
        <v>2062.8451990938952</v>
      </c>
      <c r="E30" s="276">
        <f t="shared" si="1"/>
        <v>1496.7701792957976</v>
      </c>
      <c r="F30" s="276">
        <f t="shared" si="4"/>
        <v>121291.63452867416</v>
      </c>
    </row>
    <row r="31" spans="1:6">
      <c r="B31" s="3">
        <f t="shared" si="2"/>
        <v>10</v>
      </c>
      <c r="C31" s="191">
        <f t="shared" si="5"/>
        <v>121291.63452867416</v>
      </c>
      <c r="D31" s="276">
        <f t="shared" si="3"/>
        <v>2037.6994600817259</v>
      </c>
      <c r="E31" s="276">
        <f t="shared" si="1"/>
        <v>1521.9159183079666</v>
      </c>
      <c r="F31" s="276">
        <f t="shared" si="4"/>
        <v>119769.7186103662</v>
      </c>
    </row>
    <row r="32" spans="1:6">
      <c r="B32" s="3">
        <f t="shared" si="2"/>
        <v>11</v>
      </c>
      <c r="C32" s="191">
        <f t="shared" si="5"/>
        <v>119769.7186103662</v>
      </c>
      <c r="D32" s="276">
        <f t="shared" si="3"/>
        <v>2012.1312726541523</v>
      </c>
      <c r="E32" s="276">
        <f t="shared" si="1"/>
        <v>1547.4841057355404</v>
      </c>
      <c r="F32" s="276">
        <f t="shared" si="4"/>
        <v>118222.23450463066</v>
      </c>
    </row>
    <row r="33" spans="2:6">
      <c r="B33" s="3">
        <f t="shared" si="2"/>
        <v>12</v>
      </c>
      <c r="C33" s="191">
        <f t="shared" si="5"/>
        <v>118222.23450463066</v>
      </c>
      <c r="D33" s="276">
        <f t="shared" si="3"/>
        <v>1986.1335396777952</v>
      </c>
      <c r="E33" s="276">
        <f t="shared" si="1"/>
        <v>1573.4818387118978</v>
      </c>
      <c r="F33" s="276">
        <f t="shared" si="4"/>
        <v>116648.75266591876</v>
      </c>
    </row>
    <row r="34" spans="2:6">
      <c r="B34" s="3">
        <f t="shared" si="2"/>
        <v>13</v>
      </c>
      <c r="C34" s="191">
        <f t="shared" si="5"/>
        <v>116648.75266591876</v>
      </c>
      <c r="D34" s="276">
        <f t="shared" si="3"/>
        <v>1959.6990447874352</v>
      </c>
      <c r="E34" s="276">
        <f t="shared" si="1"/>
        <v>1599.9163336022577</v>
      </c>
      <c r="F34" s="276">
        <f t="shared" si="4"/>
        <v>115048.8363323165</v>
      </c>
    </row>
    <row r="35" spans="2:6">
      <c r="B35" s="3">
        <f t="shared" si="2"/>
        <v>14</v>
      </c>
      <c r="C35" s="191">
        <f t="shared" si="5"/>
        <v>115048.8363323165</v>
      </c>
      <c r="D35" s="276">
        <f t="shared" si="3"/>
        <v>1932.8204503829172</v>
      </c>
      <c r="E35" s="276">
        <f t="shared" si="1"/>
        <v>1626.7949280067753</v>
      </c>
      <c r="F35" s="276">
        <f t="shared" si="4"/>
        <v>113422.04140430973</v>
      </c>
    </row>
    <row r="36" spans="2:6">
      <c r="B36" s="3">
        <f t="shared" si="2"/>
        <v>15</v>
      </c>
      <c r="C36" s="191">
        <f t="shared" si="5"/>
        <v>113422.04140430973</v>
      </c>
      <c r="D36" s="276">
        <f t="shared" si="3"/>
        <v>1905.4902955924035</v>
      </c>
      <c r="E36" s="276">
        <f t="shared" si="1"/>
        <v>1654.1250827972892</v>
      </c>
      <c r="F36" s="276">
        <f t="shared" si="4"/>
        <v>111767.91632151244</v>
      </c>
    </row>
    <row r="37" spans="2:6">
      <c r="B37" s="3">
        <f t="shared" si="2"/>
        <v>16</v>
      </c>
      <c r="C37" s="191">
        <f t="shared" si="5"/>
        <v>111767.91632151244</v>
      </c>
      <c r="D37" s="276">
        <f t="shared" si="3"/>
        <v>1877.7009942014092</v>
      </c>
      <c r="E37" s="276">
        <f t="shared" si="1"/>
        <v>1681.9143841882835</v>
      </c>
      <c r="F37" s="276">
        <f t="shared" si="4"/>
        <v>110086.00193732415</v>
      </c>
    </row>
    <row r="38" spans="2:6">
      <c r="B38" s="3">
        <f t="shared" si="2"/>
        <v>17</v>
      </c>
      <c r="C38" s="191">
        <f t="shared" si="5"/>
        <v>110086.00193732415</v>
      </c>
      <c r="D38" s="276">
        <f t="shared" si="3"/>
        <v>1849.444832547046</v>
      </c>
      <c r="E38" s="276">
        <f t="shared" si="1"/>
        <v>1710.170545842647</v>
      </c>
      <c r="F38" s="276">
        <f t="shared" si="4"/>
        <v>108375.83139148151</v>
      </c>
    </row>
    <row r="39" spans="2:6">
      <c r="B39" s="3">
        <f t="shared" si="2"/>
        <v>18</v>
      </c>
      <c r="C39" s="191">
        <f t="shared" si="5"/>
        <v>108375.83139148151</v>
      </c>
      <c r="D39" s="276">
        <f t="shared" si="3"/>
        <v>1820.7139673768895</v>
      </c>
      <c r="E39" s="276">
        <f t="shared" si="1"/>
        <v>1738.901411012803</v>
      </c>
      <c r="F39" s="276">
        <f t="shared" si="4"/>
        <v>106636.9299804687</v>
      </c>
    </row>
    <row r="40" spans="2:6">
      <c r="B40" s="3">
        <f t="shared" si="2"/>
        <v>19</v>
      </c>
      <c r="C40" s="191">
        <f t="shared" si="5"/>
        <v>106636.9299804687</v>
      </c>
      <c r="D40" s="276">
        <f t="shared" si="3"/>
        <v>1791.5004236718744</v>
      </c>
      <c r="E40" s="276">
        <f t="shared" si="1"/>
        <v>1768.1149547178186</v>
      </c>
      <c r="F40" s="276">
        <f t="shared" si="4"/>
        <v>104868.81502575088</v>
      </c>
    </row>
    <row r="41" spans="2:6">
      <c r="B41" s="3">
        <f t="shared" si="2"/>
        <v>20</v>
      </c>
      <c r="C41" s="191">
        <f t="shared" si="5"/>
        <v>104868.81502575088</v>
      </c>
      <c r="D41" s="276">
        <f t="shared" si="3"/>
        <v>1761.7960924326151</v>
      </c>
      <c r="E41" s="276">
        <f t="shared" si="1"/>
        <v>1797.8192859570775</v>
      </c>
      <c r="F41" s="276">
        <f t="shared" si="4"/>
        <v>103070.9957397938</v>
      </c>
    </row>
    <row r="42" spans="2:6">
      <c r="B42" s="3">
        <f t="shared" si="2"/>
        <v>21</v>
      </c>
      <c r="C42" s="191">
        <f t="shared" si="5"/>
        <v>103070.9957397938</v>
      </c>
      <c r="D42" s="276">
        <f t="shared" si="3"/>
        <v>1731.5927284285358</v>
      </c>
      <c r="E42" s="276">
        <f t="shared" si="1"/>
        <v>1828.022649961157</v>
      </c>
      <c r="F42" s="276">
        <f t="shared" si="4"/>
        <v>101242.97308983264</v>
      </c>
    </row>
    <row r="43" spans="2:6">
      <c r="B43" s="3">
        <f t="shared" si="2"/>
        <v>22</v>
      </c>
      <c r="C43" s="191">
        <f t="shared" si="5"/>
        <v>101242.97308983264</v>
      </c>
      <c r="D43" s="276">
        <f t="shared" si="3"/>
        <v>1700.8819479091885</v>
      </c>
      <c r="E43" s="276">
        <f t="shared" si="1"/>
        <v>1858.7334304805042</v>
      </c>
      <c r="F43" s="276">
        <f t="shared" si="4"/>
        <v>99384.239659352141</v>
      </c>
    </row>
    <row r="44" spans="2:6">
      <c r="B44" s="3">
        <f t="shared" si="2"/>
        <v>23</v>
      </c>
      <c r="C44" s="191">
        <f t="shared" si="5"/>
        <v>99384.239659352141</v>
      </c>
      <c r="D44" s="276">
        <f t="shared" si="3"/>
        <v>1669.6552262771161</v>
      </c>
      <c r="E44" s="276">
        <f t="shared" si="1"/>
        <v>1889.9601521125767</v>
      </c>
      <c r="F44" s="276">
        <f t="shared" si="4"/>
        <v>97494.279507239567</v>
      </c>
    </row>
    <row r="45" spans="2:6">
      <c r="B45" s="3">
        <f t="shared" si="2"/>
        <v>24</v>
      </c>
      <c r="C45" s="191">
        <f t="shared" si="5"/>
        <v>97494.279507239567</v>
      </c>
      <c r="D45" s="276">
        <f t="shared" si="3"/>
        <v>1637.9038957216248</v>
      </c>
      <c r="E45" s="276">
        <f t="shared" si="1"/>
        <v>1921.7114826680679</v>
      </c>
      <c r="F45" s="276">
        <f t="shared" si="4"/>
        <v>95572.568024571505</v>
      </c>
    </row>
    <row r="46" spans="2:6">
      <c r="B46" s="3">
        <f t="shared" si="2"/>
        <v>25</v>
      </c>
      <c r="C46" s="191">
        <f t="shared" si="5"/>
        <v>95572.568024571505</v>
      </c>
      <c r="D46" s="276">
        <f t="shared" si="3"/>
        <v>1605.6191428128013</v>
      </c>
      <c r="E46" s="276">
        <f t="shared" si="1"/>
        <v>1953.9962355768914</v>
      </c>
      <c r="F46" s="276">
        <f t="shared" si="4"/>
        <v>93618.57178899461</v>
      </c>
    </row>
    <row r="47" spans="2:6">
      <c r="B47" s="3">
        <f t="shared" si="2"/>
        <v>26</v>
      </c>
      <c r="C47" s="191">
        <f t="shared" si="5"/>
        <v>93618.57178899461</v>
      </c>
      <c r="D47" s="276">
        <f t="shared" si="3"/>
        <v>1572.7920060551094</v>
      </c>
      <c r="E47" s="276">
        <f t="shared" si="1"/>
        <v>1986.8233723345832</v>
      </c>
      <c r="F47" s="276">
        <f t="shared" si="4"/>
        <v>91631.748416660033</v>
      </c>
    </row>
    <row r="48" spans="2:6">
      <c r="B48" s="3">
        <f t="shared" si="2"/>
        <v>27</v>
      </c>
      <c r="C48" s="191">
        <f t="shared" si="5"/>
        <v>91631.748416660033</v>
      </c>
      <c r="D48" s="276">
        <f t="shared" si="3"/>
        <v>1539.4133733998888</v>
      </c>
      <c r="E48" s="276">
        <f t="shared" si="1"/>
        <v>2020.202004989804</v>
      </c>
      <c r="F48" s="276">
        <f t="shared" si="4"/>
        <v>89611.546411670235</v>
      </c>
    </row>
    <row r="49" spans="2:6">
      <c r="B49" s="3">
        <f t="shared" si="2"/>
        <v>28</v>
      </c>
      <c r="C49" s="191">
        <f t="shared" si="5"/>
        <v>89611.546411670235</v>
      </c>
      <c r="D49" s="276">
        <f t="shared" si="3"/>
        <v>1505.4739797160601</v>
      </c>
      <c r="E49" s="276">
        <f t="shared" si="1"/>
        <v>2054.1413986736325</v>
      </c>
      <c r="F49" s="276">
        <f t="shared" si="4"/>
        <v>87557.405012996605</v>
      </c>
    </row>
    <row r="50" spans="2:6">
      <c r="B50" s="3">
        <f t="shared" si="2"/>
        <v>29</v>
      </c>
      <c r="C50" s="191">
        <f t="shared" si="5"/>
        <v>87557.405012996605</v>
      </c>
      <c r="D50" s="276">
        <f t="shared" si="3"/>
        <v>1470.9644042183431</v>
      </c>
      <c r="E50" s="276">
        <f t="shared" si="1"/>
        <v>2088.6509741713498</v>
      </c>
      <c r="F50" s="276">
        <f t="shared" si="4"/>
        <v>85468.754038825253</v>
      </c>
    </row>
    <row r="51" spans="2:6">
      <c r="B51" s="3">
        <f t="shared" si="2"/>
        <v>30</v>
      </c>
      <c r="C51" s="191">
        <f t="shared" si="5"/>
        <v>85468.754038825253</v>
      </c>
      <c r="D51" s="276">
        <f t="shared" si="3"/>
        <v>1435.8750678522642</v>
      </c>
      <c r="E51" s="276">
        <f t="shared" si="1"/>
        <v>2123.7403105374287</v>
      </c>
      <c r="F51" s="276">
        <f t="shared" si="4"/>
        <v>83345.013728287828</v>
      </c>
    </row>
    <row r="52" spans="2:6">
      <c r="B52" s="3">
        <f t="shared" si="2"/>
        <v>31</v>
      </c>
      <c r="C52" s="191">
        <f t="shared" si="5"/>
        <v>83345.013728287828</v>
      </c>
      <c r="D52" s="276">
        <f t="shared" si="3"/>
        <v>1400.1962306352357</v>
      </c>
      <c r="E52" s="276">
        <f t="shared" si="1"/>
        <v>2159.4191477544573</v>
      </c>
      <c r="F52" s="276">
        <f t="shared" si="4"/>
        <v>81185.594580533376</v>
      </c>
    </row>
    <row r="53" spans="2:6">
      <c r="B53" s="3">
        <f t="shared" si="2"/>
        <v>32</v>
      </c>
      <c r="C53" s="191">
        <f t="shared" si="5"/>
        <v>81185.594580533376</v>
      </c>
      <c r="D53" s="276">
        <f t="shared" si="3"/>
        <v>1363.9179889529607</v>
      </c>
      <c r="E53" s="276">
        <f t="shared" si="1"/>
        <v>2195.697389436732</v>
      </c>
      <c r="F53" s="276">
        <f t="shared" si="4"/>
        <v>78989.89719109665</v>
      </c>
    </row>
    <row r="54" spans="2:6">
      <c r="B54" s="3">
        <f t="shared" si="2"/>
        <v>33</v>
      </c>
      <c r="C54" s="191">
        <f t="shared" si="5"/>
        <v>78989.89719109665</v>
      </c>
      <c r="D54" s="276">
        <f t="shared" si="3"/>
        <v>1327.0302728104239</v>
      </c>
      <c r="E54" s="276">
        <f t="shared" si="1"/>
        <v>2232.5851055792691</v>
      </c>
      <c r="F54" s="276">
        <f t="shared" si="4"/>
        <v>76757.312085517377</v>
      </c>
    </row>
    <row r="55" spans="2:6">
      <c r="B55" s="3">
        <f t="shared" si="2"/>
        <v>34</v>
      </c>
      <c r="C55" s="191">
        <f t="shared" si="5"/>
        <v>76757.312085517377</v>
      </c>
      <c r="D55" s="276">
        <f t="shared" si="3"/>
        <v>1289.5228430366922</v>
      </c>
      <c r="E55" s="276">
        <f t="shared" ref="E55:E86" si="6">IF(D55="","",$F$18-$C$16-D55-$C$19)</f>
        <v>2270.0925353530001</v>
      </c>
      <c r="F55" s="276">
        <f t="shared" si="4"/>
        <v>74487.219550164373</v>
      </c>
    </row>
    <row r="56" spans="2:6">
      <c r="B56" s="3">
        <f t="shared" si="2"/>
        <v>35</v>
      </c>
      <c r="C56" s="191">
        <f t="shared" si="5"/>
        <v>74487.219550164373</v>
      </c>
      <c r="D56" s="276">
        <f t="shared" si="3"/>
        <v>1251.3852884427615</v>
      </c>
      <c r="E56" s="276">
        <f t="shared" si="6"/>
        <v>2308.230089946931</v>
      </c>
      <c r="F56" s="276">
        <f t="shared" si="4"/>
        <v>72178.989460217446</v>
      </c>
    </row>
    <row r="57" spans="2:6">
      <c r="B57" s="3">
        <f t="shared" si="2"/>
        <v>36</v>
      </c>
      <c r="C57" s="191">
        <f t="shared" si="5"/>
        <v>72178.989460217446</v>
      </c>
      <c r="D57" s="276">
        <f t="shared" si="3"/>
        <v>1212.6070229316533</v>
      </c>
      <c r="E57" s="276">
        <f t="shared" si="6"/>
        <v>2347.0083554580397</v>
      </c>
      <c r="F57" s="276">
        <f t="shared" si="4"/>
        <v>69831.981104759412</v>
      </c>
    </row>
    <row r="58" spans="2:6">
      <c r="B58" s="3">
        <f t="shared" si="2"/>
        <v>37</v>
      </c>
      <c r="C58" s="191">
        <f t="shared" si="5"/>
        <v>69831.981104759412</v>
      </c>
      <c r="D58" s="276">
        <f t="shared" si="3"/>
        <v>1173.1772825599583</v>
      </c>
      <c r="E58" s="276">
        <f t="shared" si="6"/>
        <v>2386.4380958297343</v>
      </c>
      <c r="F58" s="276">
        <f t="shared" si="4"/>
        <v>67445.543008929671</v>
      </c>
    </row>
    <row r="59" spans="2:6">
      <c r="B59" s="3">
        <f t="shared" si="2"/>
        <v>38</v>
      </c>
      <c r="C59" s="191">
        <f t="shared" si="5"/>
        <v>67445.543008929671</v>
      </c>
      <c r="D59" s="276">
        <f t="shared" si="3"/>
        <v>1133.0851225500185</v>
      </c>
      <c r="E59" s="276">
        <f t="shared" si="6"/>
        <v>2426.5302558396743</v>
      </c>
      <c r="F59" s="276">
        <f t="shared" si="4"/>
        <v>65019.012753089999</v>
      </c>
    </row>
    <row r="60" spans="2:6">
      <c r="B60" s="3">
        <f t="shared" si="2"/>
        <v>39</v>
      </c>
      <c r="C60" s="191">
        <f t="shared" si="5"/>
        <v>65019.012753089999</v>
      </c>
      <c r="D60" s="276">
        <f t="shared" si="3"/>
        <v>1092.3194142519121</v>
      </c>
      <c r="E60" s="276">
        <f t="shared" si="6"/>
        <v>2467.2959641377802</v>
      </c>
      <c r="F60" s="276">
        <f t="shared" si="4"/>
        <v>62551.716788952217</v>
      </c>
    </row>
    <row r="61" spans="2:6">
      <c r="B61" s="3">
        <f t="shared" si="2"/>
        <v>40</v>
      </c>
      <c r="C61" s="191">
        <f t="shared" si="5"/>
        <v>62551.716788952217</v>
      </c>
      <c r="D61" s="276">
        <f t="shared" si="3"/>
        <v>1050.8688420543974</v>
      </c>
      <c r="E61" s="276">
        <f t="shared" si="6"/>
        <v>2508.7465363352949</v>
      </c>
      <c r="F61" s="276">
        <f t="shared" si="4"/>
        <v>60042.97025261692</v>
      </c>
    </row>
    <row r="62" spans="2:6">
      <c r="B62" s="3">
        <f t="shared" si="2"/>
        <v>41</v>
      </c>
      <c r="C62" s="191">
        <f t="shared" si="5"/>
        <v>60042.97025261692</v>
      </c>
      <c r="D62" s="276">
        <f t="shared" si="3"/>
        <v>1008.7219002439643</v>
      </c>
      <c r="E62" s="276">
        <f t="shared" si="6"/>
        <v>2550.8934781457283</v>
      </c>
      <c r="F62" s="276">
        <f t="shared" si="4"/>
        <v>57492.076774471192</v>
      </c>
    </row>
    <row r="63" spans="2:6">
      <c r="B63" s="3">
        <f t="shared" si="2"/>
        <v>42</v>
      </c>
      <c r="C63" s="191">
        <f t="shared" si="5"/>
        <v>57492.076774471192</v>
      </c>
      <c r="D63" s="276">
        <f t="shared" si="3"/>
        <v>965.86688981111615</v>
      </c>
      <c r="E63" s="276">
        <f t="shared" si="6"/>
        <v>2593.7484885785761</v>
      </c>
      <c r="F63" s="276">
        <f t="shared" si="4"/>
        <v>54898.328285892618</v>
      </c>
    </row>
    <row r="64" spans="2:6">
      <c r="B64" s="3">
        <f t="shared" si="2"/>
        <v>43</v>
      </c>
      <c r="C64" s="191">
        <f t="shared" si="5"/>
        <v>54898.328285892618</v>
      </c>
      <c r="D64" s="276">
        <f t="shared" si="3"/>
        <v>922.29191520299605</v>
      </c>
      <c r="E64" s="276">
        <f t="shared" si="6"/>
        <v>2637.3234631866962</v>
      </c>
      <c r="F64" s="276">
        <f t="shared" si="4"/>
        <v>52261.004822705923</v>
      </c>
    </row>
    <row r="65" spans="2:6">
      <c r="B65" s="3">
        <f t="shared" si="2"/>
        <v>44</v>
      </c>
      <c r="C65" s="191">
        <f t="shared" si="5"/>
        <v>52261.004822705923</v>
      </c>
      <c r="D65" s="276">
        <f t="shared" si="3"/>
        <v>877.98488102145961</v>
      </c>
      <c r="E65" s="276">
        <f t="shared" si="6"/>
        <v>2681.6304973682327</v>
      </c>
      <c r="F65" s="276">
        <f t="shared" si="4"/>
        <v>49579.374325337689</v>
      </c>
    </row>
    <row r="66" spans="2:6">
      <c r="B66" s="3">
        <f>IF(C66="","",B65+1)</f>
        <v>45</v>
      </c>
      <c r="C66" s="191">
        <f t="shared" si="5"/>
        <v>49579.374325337689</v>
      </c>
      <c r="D66" s="276">
        <f t="shared" si="3"/>
        <v>832.93348866567317</v>
      </c>
      <c r="E66" s="276">
        <f t="shared" si="6"/>
        <v>2726.6818897240191</v>
      </c>
      <c r="F66" s="276">
        <f>IF(E66="","",C66-E66)</f>
        <v>46852.692435613673</v>
      </c>
    </row>
    <row r="67" spans="2:6">
      <c r="B67" s="3">
        <f t="shared" ref="B67:B74" si="7">IF(C67="","",B66+1)</f>
        <v>46</v>
      </c>
      <c r="C67" s="191">
        <f t="shared" si="5"/>
        <v>46852.692435613673</v>
      </c>
      <c r="D67" s="276">
        <f t="shared" si="3"/>
        <v>787.12523291830973</v>
      </c>
      <c r="E67" s="276">
        <f t="shared" si="6"/>
        <v>2772.4901454713827</v>
      </c>
      <c r="F67" s="276">
        <f t="shared" ref="F67:F74" si="8">IF(E67="","",C67-E67)</f>
        <v>44080.20229014229</v>
      </c>
    </row>
    <row r="68" spans="2:6">
      <c r="B68" s="3">
        <f t="shared" si="7"/>
        <v>47</v>
      </c>
      <c r="C68" s="191">
        <f t="shared" si="5"/>
        <v>44080.20229014229</v>
      </c>
      <c r="D68" s="276">
        <f t="shared" si="3"/>
        <v>740.54739847439043</v>
      </c>
      <c r="E68" s="276">
        <f t="shared" si="6"/>
        <v>2819.0679799153022</v>
      </c>
      <c r="F68" s="276">
        <f t="shared" si="8"/>
        <v>41261.134310226989</v>
      </c>
    </row>
    <row r="69" spans="2:6">
      <c r="B69" s="3">
        <f t="shared" si="7"/>
        <v>48</v>
      </c>
      <c r="C69" s="191">
        <f t="shared" si="5"/>
        <v>41261.134310226989</v>
      </c>
      <c r="D69" s="276">
        <f t="shared" si="3"/>
        <v>693.1870564118135</v>
      </c>
      <c r="E69" s="276">
        <f t="shared" si="6"/>
        <v>2866.428321977879</v>
      </c>
      <c r="F69" s="276">
        <f t="shared" si="8"/>
        <v>38394.705988249108</v>
      </c>
    </row>
    <row r="70" spans="2:6">
      <c r="B70" s="3">
        <f t="shared" si="7"/>
        <v>49</v>
      </c>
      <c r="C70" s="191">
        <f t="shared" si="5"/>
        <v>38394.705988249108</v>
      </c>
      <c r="D70" s="276">
        <f t="shared" si="3"/>
        <v>645.03106060258506</v>
      </c>
      <c r="E70" s="276">
        <f t="shared" si="6"/>
        <v>2914.5843177871075</v>
      </c>
      <c r="F70" s="276">
        <f t="shared" si="8"/>
        <v>35480.121670462002</v>
      </c>
    </row>
    <row r="71" spans="2:6">
      <c r="B71" s="3">
        <f t="shared" si="7"/>
        <v>50</v>
      </c>
      <c r="C71" s="191">
        <f t="shared" si="5"/>
        <v>35480.121670462002</v>
      </c>
      <c r="D71" s="276">
        <f t="shared" si="3"/>
        <v>596.06604406376164</v>
      </c>
      <c r="E71" s="276">
        <f t="shared" si="6"/>
        <v>2963.5493343259313</v>
      </c>
      <c r="F71" s="276">
        <f t="shared" si="8"/>
        <v>32516.572336136072</v>
      </c>
    </row>
    <row r="72" spans="2:6">
      <c r="B72" s="3">
        <f t="shared" si="7"/>
        <v>51</v>
      </c>
      <c r="C72" s="191">
        <f t="shared" si="5"/>
        <v>32516.572336136072</v>
      </c>
      <c r="D72" s="276">
        <f t="shared" si="3"/>
        <v>546.27841524708606</v>
      </c>
      <c r="E72" s="276">
        <f t="shared" si="6"/>
        <v>3013.3369631426067</v>
      </c>
      <c r="F72" s="276">
        <f t="shared" si="8"/>
        <v>29503.235372993466</v>
      </c>
    </row>
    <row r="73" spans="2:6">
      <c r="B73" s="3">
        <f t="shared" si="7"/>
        <v>52</v>
      </c>
      <c r="C73" s="191">
        <f t="shared" si="5"/>
        <v>29503.235372993466</v>
      </c>
      <c r="D73" s="276">
        <f t="shared" si="3"/>
        <v>495.65435426629028</v>
      </c>
      <c r="E73" s="276">
        <f t="shared" si="6"/>
        <v>3063.9610241234022</v>
      </c>
      <c r="F73" s="276">
        <f t="shared" si="8"/>
        <v>26439.274348870065</v>
      </c>
    </row>
    <row r="74" spans="2:6">
      <c r="B74" s="3">
        <f t="shared" si="7"/>
        <v>53</v>
      </c>
      <c r="C74" s="191">
        <f t="shared" si="5"/>
        <v>26439.274348870065</v>
      </c>
      <c r="D74" s="276">
        <f t="shared" si="3"/>
        <v>444.17980906101712</v>
      </c>
      <c r="E74" s="276">
        <f t="shared" si="6"/>
        <v>3115.4355693286752</v>
      </c>
      <c r="F74" s="276">
        <f t="shared" si="8"/>
        <v>23323.838779541391</v>
      </c>
    </row>
    <row r="75" spans="2:6">
      <c r="B75" s="3">
        <f t="shared" ref="B75:B81" si="9">IF(C75="","",B74+1)</f>
        <v>54</v>
      </c>
      <c r="C75" s="191">
        <f t="shared" si="5"/>
        <v>23323.838779541391</v>
      </c>
      <c r="D75" s="276">
        <f t="shared" si="3"/>
        <v>391.84049149629539</v>
      </c>
      <c r="E75" s="276">
        <f t="shared" si="6"/>
        <v>3167.7748868933977</v>
      </c>
      <c r="F75" s="276">
        <f t="shared" ref="F75:F81" si="10">IF(E75="","",C75-E75)</f>
        <v>20156.063892647995</v>
      </c>
    </row>
    <row r="76" spans="2:6">
      <c r="B76" s="3">
        <f t="shared" si="9"/>
        <v>55</v>
      </c>
      <c r="C76" s="191">
        <f t="shared" si="5"/>
        <v>20156.063892647995</v>
      </c>
      <c r="D76" s="276">
        <f t="shared" si="3"/>
        <v>338.62187339648631</v>
      </c>
      <c r="E76" s="276">
        <f t="shared" si="6"/>
        <v>3220.9935049932064</v>
      </c>
      <c r="F76" s="276">
        <f t="shared" si="10"/>
        <v>16935.070387654789</v>
      </c>
    </row>
    <row r="77" spans="2:6">
      <c r="B77" s="3">
        <f t="shared" si="9"/>
        <v>56</v>
      </c>
      <c r="C77" s="191">
        <f t="shared" si="5"/>
        <v>16935.070387654789</v>
      </c>
      <c r="D77" s="276">
        <f t="shared" si="3"/>
        <v>284.50918251260049</v>
      </c>
      <c r="E77" s="276">
        <f t="shared" si="6"/>
        <v>3275.1061958770924</v>
      </c>
      <c r="F77" s="276">
        <f t="shared" si="10"/>
        <v>13659.964191777697</v>
      </c>
    </row>
    <row r="78" spans="2:6">
      <c r="B78" s="3">
        <f t="shared" si="9"/>
        <v>57</v>
      </c>
      <c r="C78" s="191">
        <f t="shared" si="5"/>
        <v>13659.964191777697</v>
      </c>
      <c r="D78" s="276">
        <f t="shared" si="3"/>
        <v>229.48739842186532</v>
      </c>
      <c r="E78" s="276">
        <f t="shared" si="6"/>
        <v>3330.1279799678277</v>
      </c>
      <c r="F78" s="276">
        <f t="shared" si="10"/>
        <v>10329.83621180987</v>
      </c>
    </row>
    <row r="79" spans="2:6">
      <c r="B79" s="3">
        <f t="shared" si="9"/>
        <v>58</v>
      </c>
      <c r="C79" s="191">
        <f t="shared" si="5"/>
        <v>10329.83621180987</v>
      </c>
      <c r="D79" s="276">
        <f t="shared" si="3"/>
        <v>173.54124835840582</v>
      </c>
      <c r="E79" s="276">
        <f t="shared" si="6"/>
        <v>3386.0741300312866</v>
      </c>
      <c r="F79" s="276">
        <f t="shared" si="10"/>
        <v>6943.7620817785837</v>
      </c>
    </row>
    <row r="80" spans="2:6">
      <c r="B80" s="3">
        <f t="shared" si="9"/>
        <v>59</v>
      </c>
      <c r="C80" s="191">
        <f t="shared" si="5"/>
        <v>6943.7620817785837</v>
      </c>
      <c r="D80" s="276">
        <f t="shared" si="3"/>
        <v>116.65520297388021</v>
      </c>
      <c r="E80" s="276">
        <f t="shared" si="6"/>
        <v>3442.960175415813</v>
      </c>
      <c r="F80" s="276">
        <f t="shared" si="10"/>
        <v>3500.8019063627708</v>
      </c>
    </row>
    <row r="81" spans="2:6">
      <c r="B81" s="3">
        <f t="shared" si="9"/>
        <v>60</v>
      </c>
      <c r="C81" s="191">
        <f t="shared" si="5"/>
        <v>3500.8019063627708</v>
      </c>
      <c r="D81" s="276">
        <f t="shared" si="3"/>
        <v>58.813472026894551</v>
      </c>
      <c r="E81" s="276">
        <f t="shared" si="6"/>
        <v>3500.801906362798</v>
      </c>
      <c r="F81" s="276">
        <f t="shared" si="10"/>
        <v>-2.7284841053187847E-11</v>
      </c>
    </row>
    <row r="82" spans="2:6">
      <c r="B82" s="3" t="str">
        <f t="shared" ref="B82:B133" si="11">IF(C82="","",B81+1)</f>
        <v/>
      </c>
      <c r="C82" s="191" t="str">
        <f t="shared" si="5"/>
        <v/>
      </c>
      <c r="D82" s="276" t="str">
        <f t="shared" si="3"/>
        <v/>
      </c>
      <c r="E82" s="276" t="str">
        <f t="shared" si="6"/>
        <v/>
      </c>
      <c r="F82" s="276" t="str">
        <f t="shared" ref="F82:F133" si="12">IF(E82="","",C82-E82)</f>
        <v/>
      </c>
    </row>
    <row r="83" spans="2:6">
      <c r="B83" s="3" t="str">
        <f t="shared" si="11"/>
        <v/>
      </c>
      <c r="C83" s="191" t="str">
        <f t="shared" si="5"/>
        <v/>
      </c>
      <c r="D83" s="276" t="str">
        <f t="shared" si="3"/>
        <v/>
      </c>
      <c r="E83" s="276" t="str">
        <f t="shared" si="6"/>
        <v/>
      </c>
      <c r="F83" s="276" t="str">
        <f t="shared" si="12"/>
        <v/>
      </c>
    </row>
    <row r="84" spans="2:6">
      <c r="B84" s="3" t="str">
        <f t="shared" si="11"/>
        <v/>
      </c>
      <c r="C84" s="191" t="str">
        <f t="shared" si="5"/>
        <v/>
      </c>
      <c r="D84" s="276" t="str">
        <f t="shared" si="3"/>
        <v/>
      </c>
      <c r="E84" s="276" t="str">
        <f t="shared" si="6"/>
        <v/>
      </c>
      <c r="F84" s="276" t="str">
        <f t="shared" si="12"/>
        <v/>
      </c>
    </row>
    <row r="85" spans="2:6">
      <c r="B85" s="3" t="str">
        <f t="shared" si="11"/>
        <v/>
      </c>
      <c r="C85" s="191" t="str">
        <f t="shared" si="5"/>
        <v/>
      </c>
      <c r="D85" s="276" t="str">
        <f t="shared" si="3"/>
        <v/>
      </c>
      <c r="E85" s="276" t="str">
        <f t="shared" si="6"/>
        <v/>
      </c>
      <c r="F85" s="276" t="str">
        <f t="shared" si="12"/>
        <v/>
      </c>
    </row>
    <row r="86" spans="2:6">
      <c r="B86" s="3" t="str">
        <f t="shared" si="11"/>
        <v/>
      </c>
      <c r="C86" s="191" t="str">
        <f t="shared" si="5"/>
        <v/>
      </c>
      <c r="D86" s="276" t="str">
        <f t="shared" si="3"/>
        <v/>
      </c>
      <c r="E86" s="276" t="str">
        <f t="shared" si="6"/>
        <v/>
      </c>
      <c r="F86" s="276" t="str">
        <f t="shared" si="12"/>
        <v/>
      </c>
    </row>
    <row r="87" spans="2:6">
      <c r="B87" s="3" t="str">
        <f t="shared" si="11"/>
        <v/>
      </c>
      <c r="C87" s="191" t="str">
        <f t="shared" si="5"/>
        <v/>
      </c>
      <c r="D87" s="276" t="str">
        <f t="shared" si="3"/>
        <v/>
      </c>
      <c r="E87" s="276" t="str">
        <f t="shared" ref="E87:E118" si="13">IF(D87="","",$F$18-$C$16-D87-$C$19)</f>
        <v/>
      </c>
      <c r="F87" s="276" t="str">
        <f t="shared" si="12"/>
        <v/>
      </c>
    </row>
    <row r="88" spans="2:6">
      <c r="B88" s="3" t="str">
        <f t="shared" si="11"/>
        <v/>
      </c>
      <c r="C88" s="191" t="str">
        <f t="shared" si="5"/>
        <v/>
      </c>
      <c r="D88" s="276" t="str">
        <f t="shared" ref="D88:D133" si="14">IF(C88="","",(C88*$C$15*1.12))</f>
        <v/>
      </c>
      <c r="E88" s="276" t="str">
        <f t="shared" si="13"/>
        <v/>
      </c>
      <c r="F88" s="276" t="str">
        <f t="shared" si="12"/>
        <v/>
      </c>
    </row>
    <row r="89" spans="2:6">
      <c r="B89" s="3" t="str">
        <f t="shared" si="11"/>
        <v/>
      </c>
      <c r="C89" s="191" t="str">
        <f t="shared" si="5"/>
        <v/>
      </c>
      <c r="D89" s="276" t="str">
        <f t="shared" si="14"/>
        <v/>
      </c>
      <c r="E89" s="276" t="str">
        <f t="shared" si="13"/>
        <v/>
      </c>
      <c r="F89" s="276" t="str">
        <f t="shared" si="12"/>
        <v/>
      </c>
    </row>
    <row r="90" spans="2:6">
      <c r="B90" s="3" t="str">
        <f t="shared" si="11"/>
        <v/>
      </c>
      <c r="C90" s="191" t="str">
        <f t="shared" si="5"/>
        <v/>
      </c>
      <c r="D90" s="276" t="str">
        <f t="shared" si="14"/>
        <v/>
      </c>
      <c r="E90" s="276" t="str">
        <f t="shared" si="13"/>
        <v/>
      </c>
      <c r="F90" s="276" t="str">
        <f t="shared" si="12"/>
        <v/>
      </c>
    </row>
    <row r="91" spans="2:6">
      <c r="B91" s="3" t="str">
        <f t="shared" si="11"/>
        <v/>
      </c>
      <c r="C91" s="191" t="str">
        <f t="shared" si="5"/>
        <v/>
      </c>
      <c r="D91" s="276" t="str">
        <f t="shared" si="14"/>
        <v/>
      </c>
      <c r="E91" s="276" t="str">
        <f t="shared" si="13"/>
        <v/>
      </c>
      <c r="F91" s="276" t="str">
        <f t="shared" si="12"/>
        <v/>
      </c>
    </row>
    <row r="92" spans="2:6">
      <c r="B92" s="3" t="str">
        <f t="shared" si="11"/>
        <v/>
      </c>
      <c r="C92" s="191" t="str">
        <f t="shared" si="5"/>
        <v/>
      </c>
      <c r="D92" s="276" t="str">
        <f t="shared" si="14"/>
        <v/>
      </c>
      <c r="E92" s="276" t="str">
        <f t="shared" si="13"/>
        <v/>
      </c>
      <c r="F92" s="276" t="str">
        <f t="shared" si="12"/>
        <v/>
      </c>
    </row>
    <row r="93" spans="2:6">
      <c r="B93" s="3" t="str">
        <f t="shared" si="11"/>
        <v/>
      </c>
      <c r="C93" s="191" t="str">
        <f t="shared" ref="C93:C133" si="15">IF(F92&lt;=0.1,"",IF(C92="","",F92))</f>
        <v/>
      </c>
      <c r="D93" s="276" t="str">
        <f t="shared" si="14"/>
        <v/>
      </c>
      <c r="E93" s="276" t="str">
        <f t="shared" si="13"/>
        <v/>
      </c>
      <c r="F93" s="276" t="str">
        <f t="shared" si="12"/>
        <v/>
      </c>
    </row>
    <row r="94" spans="2:6">
      <c r="B94" s="3" t="str">
        <f t="shared" si="11"/>
        <v/>
      </c>
      <c r="C94" s="191" t="str">
        <f t="shared" si="15"/>
        <v/>
      </c>
      <c r="D94" s="276" t="str">
        <f t="shared" si="14"/>
        <v/>
      </c>
      <c r="E94" s="276" t="str">
        <f t="shared" si="13"/>
        <v/>
      </c>
      <c r="F94" s="276" t="str">
        <f t="shared" si="12"/>
        <v/>
      </c>
    </row>
    <row r="95" spans="2:6">
      <c r="B95" s="3" t="str">
        <f t="shared" si="11"/>
        <v/>
      </c>
      <c r="C95" s="191" t="str">
        <f t="shared" si="15"/>
        <v/>
      </c>
      <c r="D95" s="276" t="str">
        <f t="shared" si="14"/>
        <v/>
      </c>
      <c r="E95" s="276" t="str">
        <f t="shared" si="13"/>
        <v/>
      </c>
      <c r="F95" s="276" t="str">
        <f t="shared" si="12"/>
        <v/>
      </c>
    </row>
    <row r="96" spans="2:6">
      <c r="B96" s="3" t="str">
        <f t="shared" si="11"/>
        <v/>
      </c>
      <c r="C96" s="191" t="str">
        <f t="shared" si="15"/>
        <v/>
      </c>
      <c r="D96" s="276" t="str">
        <f t="shared" si="14"/>
        <v/>
      </c>
      <c r="E96" s="276" t="str">
        <f t="shared" si="13"/>
        <v/>
      </c>
      <c r="F96" s="276" t="str">
        <f t="shared" si="12"/>
        <v/>
      </c>
    </row>
    <row r="97" spans="2:6">
      <c r="B97" s="3" t="str">
        <f t="shared" si="11"/>
        <v/>
      </c>
      <c r="C97" s="191" t="str">
        <f t="shared" si="15"/>
        <v/>
      </c>
      <c r="D97" s="276" t="str">
        <f t="shared" si="14"/>
        <v/>
      </c>
      <c r="E97" s="276" t="str">
        <f t="shared" si="13"/>
        <v/>
      </c>
      <c r="F97" s="276" t="str">
        <f t="shared" si="12"/>
        <v/>
      </c>
    </row>
    <row r="98" spans="2:6">
      <c r="B98" s="3" t="str">
        <f t="shared" si="11"/>
        <v/>
      </c>
      <c r="C98" s="191" t="str">
        <f t="shared" si="15"/>
        <v/>
      </c>
      <c r="D98" s="276" t="str">
        <f t="shared" si="14"/>
        <v/>
      </c>
      <c r="E98" s="276" t="str">
        <f t="shared" si="13"/>
        <v/>
      </c>
      <c r="F98" s="276" t="str">
        <f t="shared" si="12"/>
        <v/>
      </c>
    </row>
    <row r="99" spans="2:6">
      <c r="B99" s="3" t="str">
        <f t="shared" si="11"/>
        <v/>
      </c>
      <c r="C99" s="191" t="str">
        <f t="shared" si="15"/>
        <v/>
      </c>
      <c r="D99" s="276" t="str">
        <f t="shared" si="14"/>
        <v/>
      </c>
      <c r="E99" s="276" t="str">
        <f t="shared" si="13"/>
        <v/>
      </c>
      <c r="F99" s="276" t="str">
        <f t="shared" si="12"/>
        <v/>
      </c>
    </row>
    <row r="100" spans="2:6">
      <c r="B100" s="3" t="str">
        <f t="shared" si="11"/>
        <v/>
      </c>
      <c r="C100" s="191" t="str">
        <f t="shared" si="15"/>
        <v/>
      </c>
      <c r="D100" s="276" t="str">
        <f t="shared" si="14"/>
        <v/>
      </c>
      <c r="E100" s="276" t="str">
        <f t="shared" si="13"/>
        <v/>
      </c>
      <c r="F100" s="276" t="str">
        <f t="shared" si="12"/>
        <v/>
      </c>
    </row>
    <row r="101" spans="2:6">
      <c r="B101" s="3" t="str">
        <f t="shared" si="11"/>
        <v/>
      </c>
      <c r="C101" s="191" t="str">
        <f t="shared" si="15"/>
        <v/>
      </c>
      <c r="D101" s="276" t="str">
        <f t="shared" si="14"/>
        <v/>
      </c>
      <c r="E101" s="276" t="str">
        <f t="shared" si="13"/>
        <v/>
      </c>
      <c r="F101" s="276" t="str">
        <f t="shared" si="12"/>
        <v/>
      </c>
    </row>
    <row r="102" spans="2:6">
      <c r="B102" s="3" t="str">
        <f t="shared" si="11"/>
        <v/>
      </c>
      <c r="C102" s="191" t="str">
        <f t="shared" si="15"/>
        <v/>
      </c>
      <c r="D102" s="276" t="str">
        <f t="shared" si="14"/>
        <v/>
      </c>
      <c r="E102" s="276" t="str">
        <f t="shared" si="13"/>
        <v/>
      </c>
      <c r="F102" s="276" t="str">
        <f t="shared" si="12"/>
        <v/>
      </c>
    </row>
    <row r="103" spans="2:6">
      <c r="B103" s="3" t="str">
        <f t="shared" si="11"/>
        <v/>
      </c>
      <c r="C103" s="191" t="str">
        <f t="shared" si="15"/>
        <v/>
      </c>
      <c r="D103" s="276" t="str">
        <f t="shared" si="14"/>
        <v/>
      </c>
      <c r="E103" s="276" t="str">
        <f t="shared" si="13"/>
        <v/>
      </c>
      <c r="F103" s="276" t="str">
        <f t="shared" si="12"/>
        <v/>
      </c>
    </row>
    <row r="104" spans="2:6">
      <c r="B104" s="3" t="str">
        <f t="shared" si="11"/>
        <v/>
      </c>
      <c r="C104" s="191" t="str">
        <f t="shared" si="15"/>
        <v/>
      </c>
      <c r="D104" s="276" t="str">
        <f t="shared" si="14"/>
        <v/>
      </c>
      <c r="E104" s="276" t="str">
        <f t="shared" si="13"/>
        <v/>
      </c>
      <c r="F104" s="276" t="str">
        <f t="shared" si="12"/>
        <v/>
      </c>
    </row>
    <row r="105" spans="2:6">
      <c r="B105" s="3" t="str">
        <f t="shared" si="11"/>
        <v/>
      </c>
      <c r="C105" s="191" t="str">
        <f t="shared" si="15"/>
        <v/>
      </c>
      <c r="D105" s="276" t="str">
        <f t="shared" si="14"/>
        <v/>
      </c>
      <c r="E105" s="276" t="str">
        <f t="shared" si="13"/>
        <v/>
      </c>
      <c r="F105" s="276" t="str">
        <f t="shared" si="12"/>
        <v/>
      </c>
    </row>
    <row r="106" spans="2:6">
      <c r="B106" s="3" t="str">
        <f t="shared" si="11"/>
        <v/>
      </c>
      <c r="C106" s="191" t="str">
        <f t="shared" si="15"/>
        <v/>
      </c>
      <c r="D106" s="276" t="str">
        <f t="shared" si="14"/>
        <v/>
      </c>
      <c r="E106" s="276" t="str">
        <f t="shared" si="13"/>
        <v/>
      </c>
      <c r="F106" s="276" t="str">
        <f t="shared" si="12"/>
        <v/>
      </c>
    </row>
    <row r="107" spans="2:6">
      <c r="B107" s="3" t="str">
        <f t="shared" si="11"/>
        <v/>
      </c>
      <c r="C107" s="191" t="str">
        <f t="shared" si="15"/>
        <v/>
      </c>
      <c r="D107" s="276" t="str">
        <f t="shared" si="14"/>
        <v/>
      </c>
      <c r="E107" s="276" t="str">
        <f t="shared" si="13"/>
        <v/>
      </c>
      <c r="F107" s="276" t="str">
        <f t="shared" si="12"/>
        <v/>
      </c>
    </row>
    <row r="108" spans="2:6">
      <c r="B108" s="3" t="str">
        <f t="shared" si="11"/>
        <v/>
      </c>
      <c r="C108" s="191" t="str">
        <f t="shared" si="15"/>
        <v/>
      </c>
      <c r="D108" s="276" t="str">
        <f t="shared" si="14"/>
        <v/>
      </c>
      <c r="E108" s="276" t="str">
        <f t="shared" si="13"/>
        <v/>
      </c>
      <c r="F108" s="276" t="str">
        <f t="shared" si="12"/>
        <v/>
      </c>
    </row>
    <row r="109" spans="2:6">
      <c r="B109" s="3" t="str">
        <f t="shared" si="11"/>
        <v/>
      </c>
      <c r="C109" s="191" t="str">
        <f t="shared" si="15"/>
        <v/>
      </c>
      <c r="D109" s="276" t="str">
        <f t="shared" si="14"/>
        <v/>
      </c>
      <c r="E109" s="276" t="str">
        <f t="shared" si="13"/>
        <v/>
      </c>
      <c r="F109" s="276" t="str">
        <f t="shared" si="12"/>
        <v/>
      </c>
    </row>
    <row r="110" spans="2:6">
      <c r="B110" s="3" t="str">
        <f t="shared" si="11"/>
        <v/>
      </c>
      <c r="C110" s="191" t="str">
        <f t="shared" si="15"/>
        <v/>
      </c>
      <c r="D110" s="276" t="str">
        <f t="shared" si="14"/>
        <v/>
      </c>
      <c r="E110" s="276" t="str">
        <f t="shared" si="13"/>
        <v/>
      </c>
      <c r="F110" s="276" t="str">
        <f t="shared" si="12"/>
        <v/>
      </c>
    </row>
    <row r="111" spans="2:6">
      <c r="B111" s="3" t="str">
        <f t="shared" si="11"/>
        <v/>
      </c>
      <c r="C111" s="191" t="str">
        <f t="shared" si="15"/>
        <v/>
      </c>
      <c r="D111" s="276" t="str">
        <f t="shared" si="14"/>
        <v/>
      </c>
      <c r="E111" s="276" t="str">
        <f t="shared" si="13"/>
        <v/>
      </c>
      <c r="F111" s="276" t="str">
        <f t="shared" si="12"/>
        <v/>
      </c>
    </row>
    <row r="112" spans="2:6">
      <c r="B112" s="3" t="str">
        <f t="shared" si="11"/>
        <v/>
      </c>
      <c r="C112" s="191" t="str">
        <f t="shared" si="15"/>
        <v/>
      </c>
      <c r="D112" s="276" t="str">
        <f t="shared" si="14"/>
        <v/>
      </c>
      <c r="E112" s="276" t="str">
        <f t="shared" si="13"/>
        <v/>
      </c>
      <c r="F112" s="276" t="str">
        <f t="shared" si="12"/>
        <v/>
      </c>
    </row>
    <row r="113" spans="2:6">
      <c r="B113" s="3" t="str">
        <f t="shared" si="11"/>
        <v/>
      </c>
      <c r="C113" s="191" t="str">
        <f t="shared" si="15"/>
        <v/>
      </c>
      <c r="D113" s="276" t="str">
        <f t="shared" si="14"/>
        <v/>
      </c>
      <c r="E113" s="276" t="str">
        <f t="shared" si="13"/>
        <v/>
      </c>
      <c r="F113" s="276" t="str">
        <f t="shared" si="12"/>
        <v/>
      </c>
    </row>
    <row r="114" spans="2:6">
      <c r="B114" s="3" t="str">
        <f t="shared" si="11"/>
        <v/>
      </c>
      <c r="C114" s="191" t="str">
        <f t="shared" si="15"/>
        <v/>
      </c>
      <c r="D114" s="276" t="str">
        <f t="shared" si="14"/>
        <v/>
      </c>
      <c r="E114" s="276" t="str">
        <f t="shared" si="13"/>
        <v/>
      </c>
      <c r="F114" s="276" t="str">
        <f t="shared" si="12"/>
        <v/>
      </c>
    </row>
    <row r="115" spans="2:6">
      <c r="B115" s="3" t="str">
        <f t="shared" si="11"/>
        <v/>
      </c>
      <c r="C115" s="191" t="str">
        <f t="shared" si="15"/>
        <v/>
      </c>
      <c r="D115" s="276" t="str">
        <f t="shared" si="14"/>
        <v/>
      </c>
      <c r="E115" s="276" t="str">
        <f t="shared" si="13"/>
        <v/>
      </c>
      <c r="F115" s="276" t="str">
        <f t="shared" si="12"/>
        <v/>
      </c>
    </row>
    <row r="116" spans="2:6">
      <c r="B116" s="3" t="str">
        <f t="shared" si="11"/>
        <v/>
      </c>
      <c r="C116" s="191" t="str">
        <f t="shared" si="15"/>
        <v/>
      </c>
      <c r="D116" s="276" t="str">
        <f t="shared" si="14"/>
        <v/>
      </c>
      <c r="E116" s="276" t="str">
        <f t="shared" si="13"/>
        <v/>
      </c>
      <c r="F116" s="276" t="str">
        <f t="shared" si="12"/>
        <v/>
      </c>
    </row>
    <row r="117" spans="2:6">
      <c r="B117" s="3" t="str">
        <f t="shared" si="11"/>
        <v/>
      </c>
      <c r="C117" s="191" t="str">
        <f t="shared" si="15"/>
        <v/>
      </c>
      <c r="D117" s="276" t="str">
        <f t="shared" si="14"/>
        <v/>
      </c>
      <c r="E117" s="276" t="str">
        <f t="shared" si="13"/>
        <v/>
      </c>
      <c r="F117" s="276" t="str">
        <f t="shared" si="12"/>
        <v/>
      </c>
    </row>
    <row r="118" spans="2:6">
      <c r="B118" s="3" t="str">
        <f t="shared" si="11"/>
        <v/>
      </c>
      <c r="C118" s="191" t="str">
        <f t="shared" si="15"/>
        <v/>
      </c>
      <c r="D118" s="276" t="str">
        <f t="shared" si="14"/>
        <v/>
      </c>
      <c r="E118" s="276" t="str">
        <f t="shared" si="13"/>
        <v/>
      </c>
      <c r="F118" s="276" t="str">
        <f t="shared" si="12"/>
        <v/>
      </c>
    </row>
    <row r="119" spans="2:6">
      <c r="B119" s="3" t="str">
        <f t="shared" si="11"/>
        <v/>
      </c>
      <c r="C119" s="191" t="str">
        <f t="shared" si="15"/>
        <v/>
      </c>
      <c r="D119" s="276" t="str">
        <f t="shared" si="14"/>
        <v/>
      </c>
      <c r="E119" s="276" t="str">
        <f t="shared" ref="E119:E135" si="16">IF(D119="","",$F$18-$C$16-D119-$C$19)</f>
        <v/>
      </c>
      <c r="F119" s="276" t="str">
        <f t="shared" si="12"/>
        <v/>
      </c>
    </row>
    <row r="120" spans="2:6">
      <c r="B120" s="3" t="str">
        <f t="shared" si="11"/>
        <v/>
      </c>
      <c r="C120" s="191" t="str">
        <f t="shared" si="15"/>
        <v/>
      </c>
      <c r="D120" s="276" t="str">
        <f t="shared" si="14"/>
        <v/>
      </c>
      <c r="E120" s="276" t="str">
        <f t="shared" si="16"/>
        <v/>
      </c>
      <c r="F120" s="276" t="str">
        <f t="shared" si="12"/>
        <v/>
      </c>
    </row>
    <row r="121" spans="2:6">
      <c r="B121" s="3" t="str">
        <f t="shared" si="11"/>
        <v/>
      </c>
      <c r="C121" s="191" t="str">
        <f t="shared" si="15"/>
        <v/>
      </c>
      <c r="D121" s="276" t="str">
        <f t="shared" si="14"/>
        <v/>
      </c>
      <c r="E121" s="276" t="str">
        <f t="shared" si="16"/>
        <v/>
      </c>
      <c r="F121" s="276" t="str">
        <f t="shared" si="12"/>
        <v/>
      </c>
    </row>
    <row r="122" spans="2:6">
      <c r="B122" s="3" t="str">
        <f t="shared" si="11"/>
        <v/>
      </c>
      <c r="C122" s="191" t="str">
        <f t="shared" si="15"/>
        <v/>
      </c>
      <c r="D122" s="276" t="str">
        <f t="shared" si="14"/>
        <v/>
      </c>
      <c r="E122" s="276" t="str">
        <f t="shared" si="16"/>
        <v/>
      </c>
      <c r="F122" s="276" t="str">
        <f t="shared" si="12"/>
        <v/>
      </c>
    </row>
    <row r="123" spans="2:6">
      <c r="B123" s="3" t="str">
        <f t="shared" si="11"/>
        <v/>
      </c>
      <c r="C123" s="191" t="str">
        <f t="shared" si="15"/>
        <v/>
      </c>
      <c r="D123" s="276" t="str">
        <f t="shared" si="14"/>
        <v/>
      </c>
      <c r="E123" s="276" t="str">
        <f t="shared" si="16"/>
        <v/>
      </c>
      <c r="F123" s="276" t="str">
        <f t="shared" si="12"/>
        <v/>
      </c>
    </row>
    <row r="124" spans="2:6">
      <c r="B124" s="3" t="str">
        <f t="shared" si="11"/>
        <v/>
      </c>
      <c r="C124" s="191" t="str">
        <f t="shared" si="15"/>
        <v/>
      </c>
      <c r="D124" s="276" t="str">
        <f t="shared" si="14"/>
        <v/>
      </c>
      <c r="E124" s="276" t="str">
        <f t="shared" si="16"/>
        <v/>
      </c>
      <c r="F124" s="276" t="str">
        <f t="shared" si="12"/>
        <v/>
      </c>
    </row>
    <row r="125" spans="2:6">
      <c r="B125" s="3" t="str">
        <f t="shared" si="11"/>
        <v/>
      </c>
      <c r="C125" s="191" t="str">
        <f t="shared" si="15"/>
        <v/>
      </c>
      <c r="D125" s="276" t="str">
        <f t="shared" si="14"/>
        <v/>
      </c>
      <c r="E125" s="276" t="str">
        <f t="shared" si="16"/>
        <v/>
      </c>
      <c r="F125" s="276" t="str">
        <f t="shared" si="12"/>
        <v/>
      </c>
    </row>
    <row r="126" spans="2:6">
      <c r="B126" s="3" t="str">
        <f t="shared" si="11"/>
        <v/>
      </c>
      <c r="C126" s="191" t="str">
        <f t="shared" si="15"/>
        <v/>
      </c>
      <c r="D126" s="276" t="str">
        <f t="shared" si="14"/>
        <v/>
      </c>
      <c r="E126" s="276" t="str">
        <f t="shared" si="16"/>
        <v/>
      </c>
      <c r="F126" s="276" t="str">
        <f t="shared" si="12"/>
        <v/>
      </c>
    </row>
    <row r="127" spans="2:6">
      <c r="B127" s="3" t="str">
        <f t="shared" si="11"/>
        <v/>
      </c>
      <c r="C127" s="191" t="str">
        <f t="shared" si="15"/>
        <v/>
      </c>
      <c r="D127" s="276" t="str">
        <f t="shared" si="14"/>
        <v/>
      </c>
      <c r="E127" s="276" t="str">
        <f t="shared" si="16"/>
        <v/>
      </c>
      <c r="F127" s="276" t="str">
        <f t="shared" si="12"/>
        <v/>
      </c>
    </row>
    <row r="128" spans="2:6">
      <c r="B128" s="3" t="str">
        <f t="shared" si="11"/>
        <v/>
      </c>
      <c r="C128" s="191" t="str">
        <f t="shared" si="15"/>
        <v/>
      </c>
      <c r="D128" s="276" t="str">
        <f t="shared" si="14"/>
        <v/>
      </c>
      <c r="E128" s="276" t="str">
        <f t="shared" si="16"/>
        <v/>
      </c>
      <c r="F128" s="276" t="str">
        <f t="shared" si="12"/>
        <v/>
      </c>
    </row>
    <row r="129" spans="2:6">
      <c r="B129" s="3" t="str">
        <f t="shared" si="11"/>
        <v/>
      </c>
      <c r="C129" s="191" t="str">
        <f t="shared" si="15"/>
        <v/>
      </c>
      <c r="D129" s="276" t="str">
        <f t="shared" si="14"/>
        <v/>
      </c>
      <c r="E129" s="276" t="str">
        <f t="shared" si="16"/>
        <v/>
      </c>
      <c r="F129" s="276" t="str">
        <f t="shared" si="12"/>
        <v/>
      </c>
    </row>
    <row r="130" spans="2:6">
      <c r="B130" s="3" t="str">
        <f t="shared" si="11"/>
        <v/>
      </c>
      <c r="C130" s="191" t="str">
        <f t="shared" si="15"/>
        <v/>
      </c>
      <c r="D130" s="276" t="str">
        <f t="shared" si="14"/>
        <v/>
      </c>
      <c r="E130" s="276" t="str">
        <f t="shared" si="16"/>
        <v/>
      </c>
      <c r="F130" s="276" t="str">
        <f t="shared" si="12"/>
        <v/>
      </c>
    </row>
    <row r="131" spans="2:6">
      <c r="B131" s="3" t="str">
        <f t="shared" si="11"/>
        <v/>
      </c>
      <c r="C131" s="191" t="str">
        <f t="shared" si="15"/>
        <v/>
      </c>
      <c r="D131" s="276" t="str">
        <f t="shared" si="14"/>
        <v/>
      </c>
      <c r="E131" s="276" t="str">
        <f t="shared" si="16"/>
        <v/>
      </c>
      <c r="F131" s="276" t="str">
        <f t="shared" si="12"/>
        <v/>
      </c>
    </row>
    <row r="132" spans="2:6">
      <c r="B132" s="3" t="str">
        <f t="shared" si="11"/>
        <v/>
      </c>
      <c r="C132" s="191" t="str">
        <f t="shared" si="15"/>
        <v/>
      </c>
      <c r="D132" s="276" t="str">
        <f t="shared" si="14"/>
        <v/>
      </c>
      <c r="E132" s="276" t="str">
        <f t="shared" si="16"/>
        <v/>
      </c>
      <c r="F132" s="276" t="str">
        <f t="shared" si="12"/>
        <v/>
      </c>
    </row>
    <row r="133" spans="2:6">
      <c r="B133" s="3" t="str">
        <f t="shared" si="11"/>
        <v/>
      </c>
      <c r="C133" s="191" t="str">
        <f t="shared" si="15"/>
        <v/>
      </c>
      <c r="D133" s="276" t="str">
        <f t="shared" si="14"/>
        <v/>
      </c>
      <c r="E133" s="276" t="str">
        <f t="shared" si="16"/>
        <v/>
      </c>
      <c r="F133" s="276" t="str">
        <f t="shared" si="12"/>
        <v/>
      </c>
    </row>
    <row r="134" spans="2:6">
      <c r="E134" s="276" t="str">
        <f t="shared" si="16"/>
        <v/>
      </c>
    </row>
    <row r="135" spans="2:6">
      <c r="E135" s="276" t="str">
        <f t="shared" si="16"/>
        <v/>
      </c>
    </row>
  </sheetData>
  <sheetProtection algorithmName="SHA-512" hashValue="CkwLhys46daZ5exRRRxEmbM03UN+JUFFu+Nab/MGvMcLK4XjUASXxXiVNjiZpXpb/Uc2fTBnkooe4rT1JMDvsA==" saltValue="bwi+jqP2mLCVmQf3NYAkrg==" spinCount="100000" sheet="1" selectLockedCells="1"/>
  <mergeCells count="2">
    <mergeCell ref="A1:G1"/>
    <mergeCell ref="B7:E7"/>
  </mergeCells>
  <conditionalFormatting sqref="D12">
    <cfRule type="cellIs" dxfId="10" priority="1" operator="equal">
      <formula>0.9</formula>
    </cfRule>
    <cfRule type="cellIs" dxfId="9" priority="2" operator="lessThan">
      <formula>0.9</formula>
    </cfRule>
    <cfRule type="cellIs" dxfId="8" priority="3" operator="greaterThan">
      <formula>0.901</formula>
    </cfRule>
  </conditionalFormatting>
  <pageMargins left="0.42" right="0.3" top="0.75" bottom="0.75" header="0.3" footer="0.3"/>
  <pageSetup orientation="portrait" r:id="rId1"/>
  <headerFooter>
    <oddHeader>&amp;L&amp;G
&amp;R&amp;G</oddHeader>
    <oddFooter>&amp;L&amp;G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82"/>
  <sheetViews>
    <sheetView zoomScaleNormal="100" workbookViewId="0">
      <pane xSplit="2" ySplit="1" topLeftCell="C293" activePane="bottomRight" state="frozen"/>
      <selection pane="topRight" activeCell="C1" sqref="C1"/>
      <selection pane="bottomLeft" activeCell="A2" sqref="A2"/>
      <selection pane="bottomRight" activeCell="E297" sqref="E297"/>
    </sheetView>
  </sheetViews>
  <sheetFormatPr baseColWidth="10" defaultRowHeight="15"/>
  <cols>
    <col min="2" max="2" width="14.5703125" style="276" bestFit="1" customWidth="1"/>
    <col min="3" max="4" width="12.42578125" customWidth="1"/>
    <col min="5" max="5" width="20.7109375" bestFit="1" customWidth="1"/>
    <col min="6" max="6" width="18.28515625" bestFit="1" customWidth="1"/>
    <col min="7" max="7" width="22.42578125" bestFit="1" customWidth="1"/>
    <col min="8" max="8" width="24.28515625" bestFit="1" customWidth="1"/>
    <col min="9" max="10" width="12.42578125" style="343" customWidth="1"/>
    <col min="11" max="11" width="20.7109375" style="48" bestFit="1" customWidth="1"/>
    <col min="12" max="12" width="18.28515625" style="48" bestFit="1" customWidth="1"/>
    <col min="15" max="15" width="18.7109375" customWidth="1"/>
    <col min="24" max="24" width="17.28515625" customWidth="1"/>
  </cols>
  <sheetData>
    <row r="1" spans="2:12">
      <c r="B1" s="333" t="s">
        <v>486</v>
      </c>
      <c r="C1" s="4" t="s">
        <v>504</v>
      </c>
      <c r="D1" s="4" t="s">
        <v>505</v>
      </c>
      <c r="E1" s="4" t="s">
        <v>508</v>
      </c>
      <c r="F1" s="4" t="s">
        <v>513</v>
      </c>
      <c r="I1" s="340" t="s">
        <v>504</v>
      </c>
      <c r="J1" s="340" t="s">
        <v>505</v>
      </c>
      <c r="K1" s="341" t="s">
        <v>508</v>
      </c>
      <c r="L1" s="341" t="s">
        <v>513</v>
      </c>
    </row>
    <row r="2" spans="2:12">
      <c r="B2" s="330">
        <v>20000</v>
      </c>
      <c r="C2" s="300">
        <v>245.00000000000003</v>
      </c>
      <c r="D2" s="300">
        <v>245.00000000000003</v>
      </c>
      <c r="E2" s="276">
        <v>245.00000000000003</v>
      </c>
      <c r="F2" s="304">
        <v>329.36500000000001</v>
      </c>
      <c r="H2" s="191"/>
      <c r="I2" s="342">
        <v>260.92500000000001</v>
      </c>
      <c r="J2" s="342">
        <v>260.92500000000001</v>
      </c>
      <c r="K2" s="343">
        <v>260.92500000000001</v>
      </c>
      <c r="L2" s="344">
        <v>313.44</v>
      </c>
    </row>
    <row r="3" spans="2:12">
      <c r="B3" s="330">
        <v>21000</v>
      </c>
      <c r="C3" s="300">
        <v>245.00000000000003</v>
      </c>
      <c r="D3" s="300">
        <v>245.00000000000003</v>
      </c>
      <c r="E3" s="276">
        <v>245.00000000000003</v>
      </c>
      <c r="F3" s="304">
        <v>329.36500000000001</v>
      </c>
      <c r="H3" s="191"/>
      <c r="I3" s="342">
        <v>260.92500000000001</v>
      </c>
      <c r="J3" s="342">
        <v>260.92500000000001</v>
      </c>
      <c r="K3" s="343">
        <v>260.92500000000001</v>
      </c>
      <c r="L3" s="344">
        <v>313.44</v>
      </c>
    </row>
    <row r="4" spans="2:12">
      <c r="B4" s="330">
        <v>22000</v>
      </c>
      <c r="C4" s="300">
        <v>245.00000000000003</v>
      </c>
      <c r="D4" s="300">
        <v>245.00000000000003</v>
      </c>
      <c r="E4" s="276">
        <v>245.00000000000003</v>
      </c>
      <c r="F4" s="304">
        <v>329.36500000000001</v>
      </c>
      <c r="H4" s="191"/>
      <c r="I4" s="342">
        <v>260.92500000000001</v>
      </c>
      <c r="J4" s="342">
        <v>260.92500000000001</v>
      </c>
      <c r="K4" s="343">
        <v>260.92500000000001</v>
      </c>
      <c r="L4" s="344">
        <v>313.44</v>
      </c>
    </row>
    <row r="5" spans="2:12">
      <c r="B5" s="330">
        <v>23000</v>
      </c>
      <c r="C5" s="300">
        <v>245.00000000000003</v>
      </c>
      <c r="D5" s="300">
        <v>245.00000000000003</v>
      </c>
      <c r="E5" s="276">
        <v>245.00000000000003</v>
      </c>
      <c r="F5" s="304">
        <v>329.36500000000001</v>
      </c>
      <c r="H5" s="191"/>
      <c r="I5" s="342">
        <v>260.92500000000001</v>
      </c>
      <c r="J5" s="342">
        <v>260.92500000000001</v>
      </c>
      <c r="K5" s="343">
        <v>260.92500000000001</v>
      </c>
      <c r="L5" s="344">
        <v>313.44</v>
      </c>
    </row>
    <row r="6" spans="2:12">
      <c r="B6" s="330">
        <v>24000</v>
      </c>
      <c r="C6" s="300">
        <v>245.00000000000003</v>
      </c>
      <c r="D6" s="300">
        <v>245.00000000000003</v>
      </c>
      <c r="E6" s="276">
        <v>245.00000000000003</v>
      </c>
      <c r="F6" s="304">
        <v>329.36500000000001</v>
      </c>
      <c r="H6" s="191"/>
      <c r="I6" s="342">
        <v>260.92500000000001</v>
      </c>
      <c r="J6" s="342">
        <v>260.92500000000001</v>
      </c>
      <c r="K6" s="343">
        <v>260.92500000000001</v>
      </c>
      <c r="L6" s="344">
        <v>313.44</v>
      </c>
    </row>
    <row r="7" spans="2:12">
      <c r="B7" s="330">
        <v>25000</v>
      </c>
      <c r="C7" s="300">
        <v>245.00000000000003</v>
      </c>
      <c r="D7" s="300">
        <v>245.00000000000003</v>
      </c>
      <c r="E7" s="276">
        <v>245.00000000000003</v>
      </c>
      <c r="F7" s="304">
        <v>329.36500000000001</v>
      </c>
      <c r="H7" s="191"/>
      <c r="I7" s="342">
        <v>260.92500000000001</v>
      </c>
      <c r="J7" s="342">
        <v>260.92500000000001</v>
      </c>
      <c r="K7" s="343">
        <v>260.92500000000001</v>
      </c>
      <c r="L7" s="344">
        <v>313.44</v>
      </c>
    </row>
    <row r="8" spans="2:12">
      <c r="B8" s="329">
        <v>26000</v>
      </c>
      <c r="C8" s="300">
        <v>245.00000000000003</v>
      </c>
      <c r="D8" s="300">
        <v>245.00000000000003</v>
      </c>
      <c r="E8" s="276">
        <v>245.00000000000003</v>
      </c>
      <c r="F8" s="304">
        <v>329.36500000000001</v>
      </c>
      <c r="H8" s="191"/>
      <c r="I8" s="342">
        <v>260.92500000000001</v>
      </c>
      <c r="J8" s="342">
        <v>260.92500000000001</v>
      </c>
      <c r="K8" s="343">
        <v>260.92500000000001</v>
      </c>
      <c r="L8" s="344">
        <v>313.44</v>
      </c>
    </row>
    <row r="9" spans="2:12">
      <c r="B9" s="329">
        <v>27000</v>
      </c>
      <c r="C9" s="300">
        <v>245.00000000000003</v>
      </c>
      <c r="D9" s="300">
        <v>245.00000000000003</v>
      </c>
      <c r="E9" s="276">
        <v>245.00000000000003</v>
      </c>
      <c r="F9" s="304">
        <v>329.36500000000001</v>
      </c>
      <c r="H9" s="191"/>
      <c r="I9" s="342">
        <v>260.92500000000001</v>
      </c>
      <c r="J9" s="342">
        <v>260.92500000000001</v>
      </c>
      <c r="K9" s="343">
        <v>260.92500000000001</v>
      </c>
      <c r="L9" s="344">
        <v>313.44</v>
      </c>
    </row>
    <row r="10" spans="2:12">
      <c r="B10" s="330">
        <v>28000</v>
      </c>
      <c r="C10" s="300">
        <v>245.00000000000003</v>
      </c>
      <c r="D10" s="300">
        <v>245.00000000000003</v>
      </c>
      <c r="E10" s="276">
        <v>245.00000000000003</v>
      </c>
      <c r="F10" s="304">
        <v>329.36500000000001</v>
      </c>
      <c r="H10" s="191"/>
      <c r="I10" s="342">
        <v>260.92500000000001</v>
      </c>
      <c r="J10" s="342">
        <v>260.92500000000001</v>
      </c>
      <c r="K10" s="343">
        <v>260.92500000000001</v>
      </c>
      <c r="L10" s="344">
        <v>313.44</v>
      </c>
    </row>
    <row r="11" spans="2:12">
      <c r="B11" s="329">
        <v>29000</v>
      </c>
      <c r="C11" s="300">
        <v>245.00000000000003</v>
      </c>
      <c r="D11" s="300">
        <v>245.00000000000003</v>
      </c>
      <c r="E11" s="276">
        <v>245.00000000000003</v>
      </c>
      <c r="F11" s="304">
        <v>329.36500000000001</v>
      </c>
      <c r="H11" s="191"/>
      <c r="I11" s="342">
        <v>260.92500000000001</v>
      </c>
      <c r="J11" s="342">
        <v>260.92500000000001</v>
      </c>
      <c r="K11" s="343">
        <v>260.92500000000001</v>
      </c>
      <c r="L11" s="344">
        <v>313.44</v>
      </c>
    </row>
    <row r="12" spans="2:12">
      <c r="B12" s="330">
        <v>30000</v>
      </c>
      <c r="C12" s="300">
        <v>245.00000000000003</v>
      </c>
      <c r="D12" s="300">
        <v>245.00000000000003</v>
      </c>
      <c r="E12" s="276">
        <v>245.00000000000003</v>
      </c>
      <c r="F12" s="304">
        <v>329.36500000000001</v>
      </c>
      <c r="H12" s="191"/>
      <c r="I12" s="342">
        <v>260.92500000000001</v>
      </c>
      <c r="J12" s="342">
        <v>260.92500000000001</v>
      </c>
      <c r="K12" s="343">
        <v>260.92500000000001</v>
      </c>
      <c r="L12" s="344">
        <v>313.44</v>
      </c>
    </row>
    <row r="13" spans="2:12">
      <c r="B13" s="329">
        <v>31000</v>
      </c>
      <c r="C13" s="300">
        <v>245.00000000000003</v>
      </c>
      <c r="D13" s="300">
        <v>245.00000000000003</v>
      </c>
      <c r="E13" s="276">
        <v>245.00000000000003</v>
      </c>
      <c r="F13" s="304">
        <v>329.36500000000001</v>
      </c>
      <c r="H13" s="191"/>
      <c r="I13" s="342">
        <v>260.92500000000001</v>
      </c>
      <c r="J13" s="342">
        <v>260.92500000000001</v>
      </c>
      <c r="K13" s="343">
        <v>260.92500000000001</v>
      </c>
      <c r="L13" s="344">
        <v>313.44</v>
      </c>
    </row>
    <row r="14" spans="2:12">
      <c r="B14" s="330">
        <v>32000</v>
      </c>
      <c r="C14" s="300">
        <v>245.00000000000003</v>
      </c>
      <c r="D14" s="300">
        <v>245.00000000000003</v>
      </c>
      <c r="E14" s="276">
        <v>245.00000000000003</v>
      </c>
      <c r="F14" s="304">
        <v>329.36500000000001</v>
      </c>
      <c r="H14" s="191"/>
      <c r="I14" s="342">
        <v>260.92500000000001</v>
      </c>
      <c r="J14" s="342">
        <v>260.92500000000001</v>
      </c>
      <c r="K14" s="343">
        <v>260.92500000000001</v>
      </c>
      <c r="L14" s="344">
        <v>313.44</v>
      </c>
    </row>
    <row r="15" spans="2:12">
      <c r="B15" s="329">
        <v>33000</v>
      </c>
      <c r="C15" s="300">
        <v>245.00000000000003</v>
      </c>
      <c r="D15" s="300">
        <v>245.00000000000003</v>
      </c>
      <c r="E15" s="276">
        <v>245.00000000000003</v>
      </c>
      <c r="F15" s="304">
        <v>329.36500000000001</v>
      </c>
      <c r="H15" s="191"/>
      <c r="I15" s="342">
        <v>260.92500000000001</v>
      </c>
      <c r="J15" s="342">
        <v>260.92500000000001</v>
      </c>
      <c r="K15" s="343">
        <v>260.92500000000001</v>
      </c>
      <c r="L15" s="344">
        <v>313.44</v>
      </c>
    </row>
    <row r="16" spans="2:12">
      <c r="B16" s="329">
        <v>34000</v>
      </c>
      <c r="C16" s="300">
        <v>245.00000000000003</v>
      </c>
      <c r="D16" s="300">
        <v>245.00000000000003</v>
      </c>
      <c r="E16" s="276">
        <v>245.00000000000003</v>
      </c>
      <c r="F16" s="304">
        <v>329.36500000000001</v>
      </c>
      <c r="H16" s="191"/>
      <c r="I16" s="342">
        <v>260.92500000000001</v>
      </c>
      <c r="J16" s="342">
        <v>260.92500000000001</v>
      </c>
      <c r="K16" s="343">
        <v>260.92500000000001</v>
      </c>
      <c r="L16" s="344">
        <v>313.44</v>
      </c>
    </row>
    <row r="17" spans="2:12">
      <c r="B17" s="330">
        <v>35000</v>
      </c>
      <c r="C17" s="300">
        <v>245.00000000000003</v>
      </c>
      <c r="D17" s="300">
        <v>245.00000000000003</v>
      </c>
      <c r="E17" s="276">
        <v>245.00000000000003</v>
      </c>
      <c r="F17" s="304">
        <v>329.36500000000001</v>
      </c>
      <c r="H17" s="191"/>
      <c r="I17" s="342">
        <v>260.92500000000001</v>
      </c>
      <c r="J17" s="342">
        <v>260.92500000000001</v>
      </c>
      <c r="K17" s="343">
        <v>260.92500000000001</v>
      </c>
      <c r="L17" s="344">
        <v>313.44</v>
      </c>
    </row>
    <row r="18" spans="2:12">
      <c r="B18" s="329">
        <v>36000</v>
      </c>
      <c r="C18" s="300">
        <v>245.00000000000003</v>
      </c>
      <c r="D18" s="300">
        <v>245.00000000000003</v>
      </c>
      <c r="E18" s="276">
        <v>245.00000000000003</v>
      </c>
      <c r="F18" s="304">
        <v>329.36500000000001</v>
      </c>
      <c r="H18" s="191"/>
      <c r="I18" s="342">
        <v>260.92500000000001</v>
      </c>
      <c r="J18" s="342">
        <v>260.92500000000001</v>
      </c>
      <c r="K18" s="343">
        <v>260.92500000000001</v>
      </c>
      <c r="L18" s="344">
        <v>313.44</v>
      </c>
    </row>
    <row r="19" spans="2:12">
      <c r="B19" s="330">
        <v>37000</v>
      </c>
      <c r="C19" s="300">
        <v>245.00000000000003</v>
      </c>
      <c r="D19" s="300">
        <v>245.00000000000003</v>
      </c>
      <c r="E19" s="276">
        <v>245.00000000000003</v>
      </c>
      <c r="F19" s="304">
        <v>329.36500000000001</v>
      </c>
      <c r="H19" s="191"/>
      <c r="I19" s="342">
        <v>260.92500000000001</v>
      </c>
      <c r="J19" s="342">
        <v>260.92500000000001</v>
      </c>
      <c r="K19" s="343">
        <v>260.92500000000001</v>
      </c>
      <c r="L19" s="344">
        <v>313.44</v>
      </c>
    </row>
    <row r="20" spans="2:12">
      <c r="B20" s="329">
        <v>38000</v>
      </c>
      <c r="C20" s="300">
        <v>245.00000000000003</v>
      </c>
      <c r="D20" s="300">
        <v>245.00000000000003</v>
      </c>
      <c r="E20" s="276">
        <v>245.00000000000003</v>
      </c>
      <c r="F20" s="304">
        <v>329.36500000000001</v>
      </c>
      <c r="H20" s="191"/>
      <c r="I20" s="342">
        <v>260.92500000000001</v>
      </c>
      <c r="J20" s="342">
        <v>260.92500000000001</v>
      </c>
      <c r="K20" s="343">
        <v>260.92500000000001</v>
      </c>
      <c r="L20" s="344">
        <v>313.44</v>
      </c>
    </row>
    <row r="21" spans="2:12">
      <c r="B21" s="330">
        <v>39000</v>
      </c>
      <c r="C21" s="300">
        <v>245.00000000000003</v>
      </c>
      <c r="D21" s="300">
        <v>245.00000000000003</v>
      </c>
      <c r="E21" s="276">
        <v>245.00000000000003</v>
      </c>
      <c r="F21" s="304">
        <v>329.36500000000001</v>
      </c>
      <c r="H21" s="191"/>
      <c r="I21" s="342">
        <v>260.92500000000001</v>
      </c>
      <c r="J21" s="342">
        <v>260.92500000000001</v>
      </c>
      <c r="K21" s="343">
        <v>260.92500000000001</v>
      </c>
      <c r="L21" s="344">
        <v>313.44</v>
      </c>
    </row>
    <row r="22" spans="2:12">
      <c r="B22" s="329">
        <v>40000</v>
      </c>
      <c r="C22" s="300">
        <v>245.00000000000003</v>
      </c>
      <c r="D22" s="300">
        <v>245.00000000000003</v>
      </c>
      <c r="E22" s="276">
        <v>245.00000000000003</v>
      </c>
      <c r="F22" s="304">
        <v>373.51499999999999</v>
      </c>
      <c r="H22" s="191"/>
      <c r="I22" s="342">
        <v>260.92500000000001</v>
      </c>
      <c r="J22" s="342">
        <v>260.92500000000001</v>
      </c>
      <c r="K22" s="343">
        <v>260.92500000000001</v>
      </c>
      <c r="L22" s="344">
        <v>357.59</v>
      </c>
    </row>
    <row r="23" spans="2:12">
      <c r="B23" s="329">
        <v>41000</v>
      </c>
      <c r="C23" s="300">
        <v>245.00000000000003</v>
      </c>
      <c r="D23" s="300">
        <v>245.00000000000003</v>
      </c>
      <c r="E23" s="276">
        <v>245.00000000000003</v>
      </c>
      <c r="F23" s="304">
        <v>373.51499999999999</v>
      </c>
      <c r="H23" s="191"/>
      <c r="I23" s="342">
        <v>260.92500000000001</v>
      </c>
      <c r="J23" s="342">
        <v>260.92500000000001</v>
      </c>
      <c r="K23" s="343">
        <v>260.92500000000001</v>
      </c>
      <c r="L23" s="344">
        <v>357.59</v>
      </c>
    </row>
    <row r="24" spans="2:12">
      <c r="B24" s="330">
        <v>42000</v>
      </c>
      <c r="C24" s="300">
        <v>245.00000000000003</v>
      </c>
      <c r="D24" s="300">
        <v>245.00000000000003</v>
      </c>
      <c r="E24" s="276">
        <v>246.96000000000004</v>
      </c>
      <c r="F24" s="304">
        <v>373.64239999999995</v>
      </c>
      <c r="H24" s="191"/>
      <c r="I24" s="342">
        <v>260.92500000000001</v>
      </c>
      <c r="J24" s="342">
        <v>260.92500000000001</v>
      </c>
      <c r="K24" s="343">
        <v>263.01240000000001</v>
      </c>
      <c r="L24" s="344">
        <v>357.59</v>
      </c>
    </row>
    <row r="25" spans="2:12">
      <c r="B25" s="329">
        <v>43000</v>
      </c>
      <c r="C25" s="300">
        <v>245.00000000000003</v>
      </c>
      <c r="D25" s="300">
        <v>245.00000000000003</v>
      </c>
      <c r="E25" s="276">
        <v>252.84000000000003</v>
      </c>
      <c r="F25" s="304">
        <v>374.02459999999996</v>
      </c>
      <c r="H25" s="191"/>
      <c r="I25" s="342">
        <v>260.92500000000001</v>
      </c>
      <c r="J25" s="342">
        <v>260.92500000000001</v>
      </c>
      <c r="K25" s="343">
        <v>269.27460000000002</v>
      </c>
      <c r="L25" s="344">
        <v>357.59</v>
      </c>
    </row>
    <row r="26" spans="2:12">
      <c r="B26" s="330">
        <v>44000</v>
      </c>
      <c r="C26" s="300">
        <v>245.00000000000003</v>
      </c>
      <c r="D26" s="300">
        <v>245.00000000000003</v>
      </c>
      <c r="E26" s="276">
        <v>258.72000000000003</v>
      </c>
      <c r="F26" s="304">
        <v>374.40679999999998</v>
      </c>
      <c r="H26" s="191"/>
      <c r="I26" s="342">
        <v>260.92500000000001</v>
      </c>
      <c r="J26" s="342">
        <v>260.92500000000001</v>
      </c>
      <c r="K26" s="343">
        <v>275.53680000000003</v>
      </c>
      <c r="L26" s="344">
        <v>357.59</v>
      </c>
    </row>
    <row r="27" spans="2:12">
      <c r="B27" s="330">
        <v>45000</v>
      </c>
      <c r="C27" s="300">
        <v>245.00000000000003</v>
      </c>
      <c r="D27" s="300">
        <v>245.00000000000003</v>
      </c>
      <c r="E27" s="276">
        <v>264.60000000000002</v>
      </c>
      <c r="F27" s="304">
        <v>374.78899999999999</v>
      </c>
      <c r="H27" s="191"/>
      <c r="I27" s="342">
        <v>260.92500000000001</v>
      </c>
      <c r="J27" s="342">
        <v>260.92500000000001</v>
      </c>
      <c r="K27" s="343">
        <v>281.79900000000004</v>
      </c>
      <c r="L27" s="344">
        <v>357.59</v>
      </c>
    </row>
    <row r="28" spans="2:12">
      <c r="B28" s="329">
        <v>46000</v>
      </c>
      <c r="C28" s="300">
        <v>245.00000000000003</v>
      </c>
      <c r="D28" s="300">
        <v>245.00000000000003</v>
      </c>
      <c r="E28" s="276">
        <v>270.48</v>
      </c>
      <c r="F28" s="304">
        <v>375.1712</v>
      </c>
      <c r="H28" s="191"/>
      <c r="I28" s="342">
        <v>260.92500000000001</v>
      </c>
      <c r="J28" s="342">
        <v>260.92500000000001</v>
      </c>
      <c r="K28" s="343">
        <v>288.06120000000004</v>
      </c>
      <c r="L28" s="344">
        <v>357.59</v>
      </c>
    </row>
    <row r="29" spans="2:12">
      <c r="B29" s="329">
        <v>47000</v>
      </c>
      <c r="C29" s="300">
        <v>245.00000000000003</v>
      </c>
      <c r="D29" s="300">
        <v>245.00000000000003</v>
      </c>
      <c r="E29" s="276">
        <v>276.36</v>
      </c>
      <c r="F29" s="304">
        <v>375.55339999999995</v>
      </c>
      <c r="H29" s="191"/>
      <c r="I29" s="342">
        <v>260.92500000000001</v>
      </c>
      <c r="J29" s="342">
        <v>260.92500000000001</v>
      </c>
      <c r="K29" s="343">
        <v>294.32339999999999</v>
      </c>
      <c r="L29" s="344">
        <v>357.59</v>
      </c>
    </row>
    <row r="30" spans="2:12">
      <c r="B30" s="329">
        <v>48000</v>
      </c>
      <c r="C30" s="300">
        <v>245.00000000000003</v>
      </c>
      <c r="D30" s="300">
        <v>245.00000000000003</v>
      </c>
      <c r="E30" s="276">
        <v>282.24</v>
      </c>
      <c r="F30" s="304">
        <v>375.93559999999997</v>
      </c>
      <c r="H30" s="191"/>
      <c r="I30" s="342">
        <v>260.92500000000001</v>
      </c>
      <c r="J30" s="342">
        <v>260.92500000000001</v>
      </c>
      <c r="K30" s="343">
        <v>300.5856</v>
      </c>
      <c r="L30" s="344">
        <v>357.59</v>
      </c>
    </row>
    <row r="31" spans="2:12">
      <c r="B31" s="329">
        <v>49000</v>
      </c>
      <c r="C31" s="300">
        <v>245.00000000000003</v>
      </c>
      <c r="D31" s="300">
        <v>245.00000000000003</v>
      </c>
      <c r="E31" s="276">
        <v>288.12000000000006</v>
      </c>
      <c r="F31" s="304">
        <v>376.31779999999998</v>
      </c>
      <c r="H31" s="191"/>
      <c r="I31" s="342">
        <v>260.92500000000001</v>
      </c>
      <c r="J31" s="342">
        <v>260.92500000000001</v>
      </c>
      <c r="K31" s="343">
        <v>306.84780000000006</v>
      </c>
      <c r="L31" s="344">
        <v>357.59</v>
      </c>
    </row>
    <row r="32" spans="2:12">
      <c r="B32" s="329">
        <v>50000</v>
      </c>
      <c r="C32" s="300">
        <v>245.00000000000003</v>
      </c>
      <c r="D32" s="300">
        <v>245.00000000000003</v>
      </c>
      <c r="E32" s="276">
        <v>294.00000000000006</v>
      </c>
      <c r="F32" s="304">
        <v>418.84000000000003</v>
      </c>
      <c r="H32" s="191"/>
      <c r="I32" s="342">
        <v>260.92500000000001</v>
      </c>
      <c r="J32" s="342">
        <v>260.92500000000001</v>
      </c>
      <c r="K32" s="343">
        <v>313.11000000000007</v>
      </c>
      <c r="L32" s="344">
        <v>399.73</v>
      </c>
    </row>
    <row r="33" spans="2:12">
      <c r="B33" s="330">
        <v>51000</v>
      </c>
      <c r="C33" s="300">
        <v>245.00000000000003</v>
      </c>
      <c r="D33" s="300">
        <v>245.00000000000003</v>
      </c>
      <c r="E33" s="276">
        <v>299.88000000000005</v>
      </c>
      <c r="F33" s="304">
        <v>419.22220000000004</v>
      </c>
      <c r="H33" s="191"/>
      <c r="I33" s="342">
        <v>260.92500000000001</v>
      </c>
      <c r="J33" s="342">
        <v>260.92500000000001</v>
      </c>
      <c r="K33" s="343">
        <v>319.37220000000008</v>
      </c>
      <c r="L33" s="344">
        <v>399.73</v>
      </c>
    </row>
    <row r="34" spans="2:12">
      <c r="B34" s="330">
        <v>52000</v>
      </c>
      <c r="C34" s="300">
        <v>245.00000000000003</v>
      </c>
      <c r="D34" s="300">
        <v>245.00000000000003</v>
      </c>
      <c r="E34" s="276">
        <v>305.76000000000005</v>
      </c>
      <c r="F34" s="304">
        <v>419.6044</v>
      </c>
      <c r="H34" s="191"/>
      <c r="I34" s="342">
        <v>260.92500000000001</v>
      </c>
      <c r="J34" s="342">
        <v>260.92500000000001</v>
      </c>
      <c r="K34" s="343">
        <v>325.63440000000003</v>
      </c>
      <c r="L34" s="344">
        <v>399.73</v>
      </c>
    </row>
    <row r="35" spans="2:12">
      <c r="B35" s="330">
        <v>53000</v>
      </c>
      <c r="C35" s="300">
        <v>245.00000000000003</v>
      </c>
      <c r="D35" s="300">
        <v>245.00000000000003</v>
      </c>
      <c r="E35" s="276">
        <v>311.64000000000004</v>
      </c>
      <c r="F35" s="304">
        <v>419.98660000000001</v>
      </c>
      <c r="H35" s="191"/>
      <c r="I35" s="342">
        <v>260.92500000000001</v>
      </c>
      <c r="J35" s="342">
        <v>260.92500000000001</v>
      </c>
      <c r="K35" s="343">
        <v>331.89660000000003</v>
      </c>
      <c r="L35" s="344">
        <v>399.73</v>
      </c>
    </row>
    <row r="36" spans="2:12">
      <c r="B36" s="329">
        <v>54000</v>
      </c>
      <c r="C36" s="300">
        <v>245.00000000000003</v>
      </c>
      <c r="D36" s="300">
        <v>245.00000000000003</v>
      </c>
      <c r="E36" s="276">
        <v>317.52000000000004</v>
      </c>
      <c r="F36" s="304">
        <v>420.36880000000002</v>
      </c>
      <c r="H36" s="191"/>
      <c r="I36" s="342">
        <v>260.92500000000001</v>
      </c>
      <c r="J36" s="342">
        <v>260.92500000000001</v>
      </c>
      <c r="K36" s="343">
        <v>338.15880000000004</v>
      </c>
      <c r="L36" s="344">
        <v>399.73</v>
      </c>
    </row>
    <row r="37" spans="2:12">
      <c r="B37" s="329">
        <v>55000</v>
      </c>
      <c r="C37" s="300">
        <v>245.00000000000003</v>
      </c>
      <c r="D37" s="300">
        <v>245.00000000000003</v>
      </c>
      <c r="E37" s="276">
        <v>323.40000000000003</v>
      </c>
      <c r="F37" s="304">
        <v>434.27100000000002</v>
      </c>
      <c r="H37" s="191"/>
      <c r="I37" s="342">
        <v>260.92500000000001</v>
      </c>
      <c r="J37" s="342">
        <v>260.92500000000001</v>
      </c>
      <c r="K37" s="343">
        <v>344.42100000000005</v>
      </c>
      <c r="L37" s="344">
        <v>413.25</v>
      </c>
    </row>
    <row r="38" spans="2:12">
      <c r="B38" s="329">
        <v>56000</v>
      </c>
      <c r="C38" s="300">
        <v>245.00000000000003</v>
      </c>
      <c r="D38" s="300">
        <v>245.00000000000003</v>
      </c>
      <c r="E38" s="276">
        <v>329.28000000000003</v>
      </c>
      <c r="F38" s="304">
        <v>434.65320000000003</v>
      </c>
      <c r="H38" s="191"/>
      <c r="I38" s="342">
        <v>260.92500000000001</v>
      </c>
      <c r="J38" s="342">
        <v>260.92500000000001</v>
      </c>
      <c r="K38" s="343">
        <v>350.68320000000006</v>
      </c>
      <c r="L38" s="344">
        <v>413.25</v>
      </c>
    </row>
    <row r="39" spans="2:12">
      <c r="B39" s="329">
        <v>57000</v>
      </c>
      <c r="C39" s="300">
        <v>245.00000000000003</v>
      </c>
      <c r="D39" s="300">
        <v>245.00000000000003</v>
      </c>
      <c r="E39" s="276">
        <v>335.16</v>
      </c>
      <c r="F39" s="304">
        <v>435.03539999999998</v>
      </c>
      <c r="H39" s="191"/>
      <c r="I39" s="342">
        <v>260.92500000000001</v>
      </c>
      <c r="J39" s="342">
        <v>260.92500000000001</v>
      </c>
      <c r="K39" s="343">
        <v>356.94540000000001</v>
      </c>
      <c r="L39" s="344">
        <v>413.25</v>
      </c>
    </row>
    <row r="40" spans="2:12">
      <c r="B40" s="329">
        <v>58000</v>
      </c>
      <c r="C40" s="300">
        <v>245.00000000000003</v>
      </c>
      <c r="D40" s="300">
        <v>245.00000000000003</v>
      </c>
      <c r="E40" s="276">
        <v>341.04</v>
      </c>
      <c r="F40" s="304">
        <v>435.41759999999999</v>
      </c>
      <c r="H40" s="191"/>
      <c r="I40" s="342">
        <v>260.92500000000001</v>
      </c>
      <c r="J40" s="342">
        <v>260.92500000000001</v>
      </c>
      <c r="K40" s="343">
        <v>363.20760000000001</v>
      </c>
      <c r="L40" s="344">
        <v>413.25</v>
      </c>
    </row>
    <row r="41" spans="2:12">
      <c r="B41" s="329">
        <v>59000</v>
      </c>
      <c r="C41" s="300">
        <v>245.00000000000003</v>
      </c>
      <c r="D41" s="300">
        <v>245.00000000000003</v>
      </c>
      <c r="E41" s="276">
        <v>346.92</v>
      </c>
      <c r="F41" s="304">
        <v>435.7998</v>
      </c>
      <c r="H41" s="191"/>
      <c r="I41" s="342">
        <v>260.92500000000001</v>
      </c>
      <c r="J41" s="342">
        <v>260.92500000000001</v>
      </c>
      <c r="K41" s="343">
        <v>369.46980000000002</v>
      </c>
      <c r="L41" s="344">
        <v>413.25</v>
      </c>
    </row>
    <row r="42" spans="2:12">
      <c r="B42" s="330">
        <v>60000</v>
      </c>
      <c r="C42" s="300">
        <v>245.00000000000003</v>
      </c>
      <c r="D42" s="300">
        <v>245.00000000000003</v>
      </c>
      <c r="E42" s="276">
        <v>352.8</v>
      </c>
      <c r="F42" s="304">
        <v>457.68200000000002</v>
      </c>
      <c r="H42" s="191"/>
      <c r="I42" s="342">
        <v>260.92500000000001</v>
      </c>
      <c r="J42" s="342">
        <v>260.92500000000001</v>
      </c>
      <c r="K42" s="343">
        <v>375.73200000000003</v>
      </c>
      <c r="L42" s="344">
        <v>434.75</v>
      </c>
    </row>
    <row r="43" spans="2:12">
      <c r="B43" s="329">
        <v>61000</v>
      </c>
      <c r="C43" s="300">
        <v>245.00000000000003</v>
      </c>
      <c r="D43" s="300">
        <v>245.00000000000003</v>
      </c>
      <c r="E43" s="276">
        <v>358.68000000000006</v>
      </c>
      <c r="F43" s="304">
        <v>458.06420000000003</v>
      </c>
      <c r="H43" s="191"/>
      <c r="I43" s="342">
        <v>260.92500000000001</v>
      </c>
      <c r="J43" s="342">
        <v>260.92500000000001</v>
      </c>
      <c r="K43" s="343">
        <v>381.99420000000009</v>
      </c>
      <c r="L43" s="344">
        <v>434.75</v>
      </c>
    </row>
    <row r="44" spans="2:12">
      <c r="B44" s="329">
        <v>62000</v>
      </c>
      <c r="C44" s="300">
        <v>245.00000000000003</v>
      </c>
      <c r="D44" s="300">
        <v>245.00000000000003</v>
      </c>
      <c r="E44" s="276">
        <v>364.56</v>
      </c>
      <c r="F44" s="304">
        <v>458.44639999999998</v>
      </c>
      <c r="H44" s="191"/>
      <c r="I44" s="342">
        <v>260.92500000000001</v>
      </c>
      <c r="J44" s="342">
        <v>260.92500000000001</v>
      </c>
      <c r="K44" s="343">
        <v>388.25639999999999</v>
      </c>
      <c r="L44" s="344">
        <v>434.75</v>
      </c>
    </row>
    <row r="45" spans="2:12">
      <c r="B45" s="329">
        <v>63000</v>
      </c>
      <c r="C45" s="300">
        <v>245.00000000000003</v>
      </c>
      <c r="D45" s="300">
        <v>246.96000000000004</v>
      </c>
      <c r="E45" s="276">
        <v>370.44000000000005</v>
      </c>
      <c r="F45" s="304">
        <v>458.82859999999999</v>
      </c>
      <c r="H45" s="191"/>
      <c r="I45" s="342">
        <v>260.92500000000001</v>
      </c>
      <c r="J45" s="342">
        <v>263.01240000000001</v>
      </c>
      <c r="K45" s="343">
        <v>394.51860000000005</v>
      </c>
      <c r="L45" s="344">
        <v>434.75</v>
      </c>
    </row>
    <row r="46" spans="2:12">
      <c r="B46" s="329">
        <v>64000</v>
      </c>
      <c r="C46" s="300">
        <v>245.00000000000003</v>
      </c>
      <c r="D46" s="300">
        <v>250.88000000000002</v>
      </c>
      <c r="E46" s="276">
        <v>376.32</v>
      </c>
      <c r="F46" s="304">
        <v>459.21080000000001</v>
      </c>
      <c r="H46" s="191"/>
      <c r="I46" s="342">
        <v>260.92500000000001</v>
      </c>
      <c r="J46" s="342">
        <v>267.18720000000002</v>
      </c>
      <c r="K46" s="343">
        <v>400.7808</v>
      </c>
      <c r="L46" s="344">
        <v>434.75</v>
      </c>
    </row>
    <row r="47" spans="2:12">
      <c r="B47" s="329">
        <v>65000</v>
      </c>
      <c r="C47" s="300">
        <v>245.00000000000003</v>
      </c>
      <c r="D47" s="300">
        <v>254.80000000000004</v>
      </c>
      <c r="E47" s="276">
        <v>382.20000000000005</v>
      </c>
      <c r="F47" s="304">
        <v>473.483</v>
      </c>
      <c r="H47" s="191"/>
      <c r="I47" s="342">
        <v>260.92500000000001</v>
      </c>
      <c r="J47" s="342">
        <v>271.36200000000002</v>
      </c>
      <c r="K47" s="343">
        <v>407.04300000000006</v>
      </c>
      <c r="L47" s="344">
        <v>448.64</v>
      </c>
    </row>
    <row r="48" spans="2:12">
      <c r="B48" s="329">
        <v>66000</v>
      </c>
      <c r="C48" s="300">
        <v>245.00000000000003</v>
      </c>
      <c r="D48" s="300">
        <v>258.72000000000003</v>
      </c>
      <c r="E48" s="276">
        <v>388.08</v>
      </c>
      <c r="F48" s="304">
        <v>473.86520000000002</v>
      </c>
      <c r="H48" s="191"/>
      <c r="I48" s="342">
        <v>260.92500000000001</v>
      </c>
      <c r="J48" s="342">
        <v>275.53680000000003</v>
      </c>
      <c r="K48" s="343">
        <v>413.30520000000001</v>
      </c>
      <c r="L48" s="344">
        <v>448.64</v>
      </c>
    </row>
    <row r="49" spans="2:12">
      <c r="B49" s="329">
        <v>67000</v>
      </c>
      <c r="C49" s="300">
        <v>245.00000000000003</v>
      </c>
      <c r="D49" s="300">
        <v>262.64000000000004</v>
      </c>
      <c r="E49" s="276">
        <v>393.96000000000004</v>
      </c>
      <c r="F49" s="304">
        <v>474.24739999999997</v>
      </c>
      <c r="H49" s="191"/>
      <c r="I49" s="342">
        <v>260.92500000000001</v>
      </c>
      <c r="J49" s="342">
        <v>279.71160000000003</v>
      </c>
      <c r="K49" s="343">
        <v>419.56740000000002</v>
      </c>
      <c r="L49" s="344">
        <v>448.64</v>
      </c>
    </row>
    <row r="50" spans="2:12">
      <c r="B50" s="330">
        <v>68000</v>
      </c>
      <c r="C50" s="300">
        <v>245.00000000000003</v>
      </c>
      <c r="D50" s="300">
        <v>266.56</v>
      </c>
      <c r="E50" s="276">
        <v>399.84000000000009</v>
      </c>
      <c r="F50" s="304">
        <v>474.62959999999998</v>
      </c>
      <c r="H50" s="191"/>
      <c r="I50" s="342">
        <v>260.92500000000001</v>
      </c>
      <c r="J50" s="342">
        <v>283.88639999999998</v>
      </c>
      <c r="K50" s="343">
        <v>425.82960000000008</v>
      </c>
      <c r="L50" s="344">
        <v>448.64</v>
      </c>
    </row>
    <row r="51" spans="2:12">
      <c r="B51" s="329">
        <v>69000</v>
      </c>
      <c r="C51" s="300">
        <v>245.00000000000003</v>
      </c>
      <c r="D51" s="300">
        <v>270.48</v>
      </c>
      <c r="E51" s="276">
        <v>405.72</v>
      </c>
      <c r="F51" s="304">
        <v>475.01179999999999</v>
      </c>
      <c r="H51" s="191"/>
      <c r="I51" s="342">
        <v>260.92500000000001</v>
      </c>
      <c r="J51" s="342">
        <v>288.06120000000004</v>
      </c>
      <c r="K51" s="343">
        <v>432.09180000000003</v>
      </c>
      <c r="L51" s="344">
        <v>448.64</v>
      </c>
    </row>
    <row r="52" spans="2:12">
      <c r="B52" s="330">
        <v>70000</v>
      </c>
      <c r="C52" s="300">
        <v>245.00000000000003</v>
      </c>
      <c r="D52" s="300">
        <v>274.40000000000003</v>
      </c>
      <c r="E52" s="276">
        <v>411.60000000000008</v>
      </c>
      <c r="F52" s="304">
        <v>521.84399999999994</v>
      </c>
      <c r="H52" s="191"/>
      <c r="I52" s="342">
        <v>260.92500000000001</v>
      </c>
      <c r="J52" s="342">
        <v>292.23600000000005</v>
      </c>
      <c r="K52" s="343">
        <v>438.3540000000001</v>
      </c>
      <c r="L52" s="344">
        <v>495.08999999999992</v>
      </c>
    </row>
    <row r="53" spans="2:12">
      <c r="B53" s="329">
        <v>71000</v>
      </c>
      <c r="C53" s="300">
        <v>245.00000000000003</v>
      </c>
      <c r="D53" s="300">
        <v>278.32</v>
      </c>
      <c r="E53" s="276">
        <v>417.48</v>
      </c>
      <c r="F53" s="304">
        <v>522.22619999999995</v>
      </c>
      <c r="H53" s="191"/>
      <c r="I53" s="342">
        <v>260.92500000000001</v>
      </c>
      <c r="J53" s="342">
        <v>296.41079999999999</v>
      </c>
      <c r="K53" s="343">
        <v>444.61620000000005</v>
      </c>
      <c r="L53" s="344">
        <v>495.08999999999992</v>
      </c>
    </row>
    <row r="54" spans="2:12">
      <c r="B54" s="329">
        <v>72000</v>
      </c>
      <c r="C54" s="300">
        <v>246.96000000000006</v>
      </c>
      <c r="D54" s="300">
        <v>282.24</v>
      </c>
      <c r="E54" s="276">
        <v>423.36000000000007</v>
      </c>
      <c r="F54" s="304">
        <v>520.64839999999981</v>
      </c>
      <c r="H54" s="191"/>
      <c r="I54" s="342">
        <v>263.01240000000007</v>
      </c>
      <c r="J54" s="342">
        <v>300.5856</v>
      </c>
      <c r="K54" s="343">
        <v>450.87840000000006</v>
      </c>
      <c r="L54" s="344">
        <v>493.12999999999988</v>
      </c>
    </row>
    <row r="55" spans="2:12">
      <c r="B55" s="330">
        <v>73000</v>
      </c>
      <c r="C55" s="300">
        <v>250.39000000000007</v>
      </c>
      <c r="D55" s="300">
        <v>286.16000000000003</v>
      </c>
      <c r="E55" s="276">
        <v>429.24</v>
      </c>
      <c r="F55" s="304">
        <v>517.60059999999999</v>
      </c>
      <c r="H55" s="191"/>
      <c r="I55" s="342">
        <v>266.6653500000001</v>
      </c>
      <c r="J55" s="342">
        <v>304.7604</v>
      </c>
      <c r="K55" s="343">
        <v>457.14060000000001</v>
      </c>
      <c r="L55" s="344">
        <v>489.69999999999993</v>
      </c>
    </row>
    <row r="56" spans="2:12">
      <c r="B56" s="329">
        <v>74000</v>
      </c>
      <c r="C56" s="300">
        <v>253.82000000000005</v>
      </c>
      <c r="D56" s="300">
        <v>290.08000000000004</v>
      </c>
      <c r="E56" s="276">
        <v>435.12000000000006</v>
      </c>
      <c r="F56" s="304">
        <v>514.55279999999993</v>
      </c>
      <c r="H56" s="191"/>
      <c r="I56" s="342">
        <v>270.31830000000008</v>
      </c>
      <c r="J56" s="342">
        <v>308.93520000000007</v>
      </c>
      <c r="K56" s="343">
        <v>463.40280000000007</v>
      </c>
      <c r="L56" s="344">
        <v>486.26999999999992</v>
      </c>
    </row>
    <row r="57" spans="2:12">
      <c r="B57" s="330">
        <v>75000</v>
      </c>
      <c r="C57" s="300">
        <v>257.25000000000006</v>
      </c>
      <c r="D57" s="300">
        <v>294.00000000000006</v>
      </c>
      <c r="E57" s="276">
        <v>441.00000000000006</v>
      </c>
      <c r="F57" s="304">
        <v>526.76499999999999</v>
      </c>
      <c r="H57" s="191"/>
      <c r="I57" s="342">
        <v>273.97125000000005</v>
      </c>
      <c r="J57" s="342">
        <v>313.11000000000007</v>
      </c>
      <c r="K57" s="343">
        <v>469.66500000000008</v>
      </c>
      <c r="L57" s="344">
        <v>498.09999999999997</v>
      </c>
    </row>
    <row r="58" spans="2:12">
      <c r="B58" s="329">
        <v>76000</v>
      </c>
      <c r="C58" s="300">
        <v>245.00000000000003</v>
      </c>
      <c r="D58" s="300">
        <v>268.12800000000004</v>
      </c>
      <c r="E58" s="276">
        <v>446.88000000000005</v>
      </c>
      <c r="F58" s="304">
        <v>539.39720000000011</v>
      </c>
      <c r="H58" s="191"/>
      <c r="I58" s="342">
        <v>260.92500000000001</v>
      </c>
      <c r="J58" s="342">
        <v>285.55632000000003</v>
      </c>
      <c r="K58" s="343">
        <v>475.92720000000008</v>
      </c>
      <c r="L58" s="344">
        <v>510.35</v>
      </c>
    </row>
    <row r="59" spans="2:12">
      <c r="B59" s="330">
        <v>77000</v>
      </c>
      <c r="C59" s="300">
        <v>245.00000000000003</v>
      </c>
      <c r="D59" s="300">
        <v>271.65600000000001</v>
      </c>
      <c r="E59" s="276">
        <v>452.76000000000005</v>
      </c>
      <c r="F59" s="304">
        <v>539.77940000000001</v>
      </c>
      <c r="H59" s="191"/>
      <c r="I59" s="342">
        <v>260.92500000000001</v>
      </c>
      <c r="J59" s="342">
        <v>289.31364000000002</v>
      </c>
      <c r="K59" s="343">
        <v>482.18940000000003</v>
      </c>
      <c r="L59" s="344">
        <v>510.35</v>
      </c>
    </row>
    <row r="60" spans="2:12">
      <c r="B60" s="329">
        <v>78000</v>
      </c>
      <c r="C60" s="300">
        <v>245.00000000000003</v>
      </c>
      <c r="D60" s="300">
        <v>275.18400000000003</v>
      </c>
      <c r="E60" s="276">
        <v>458.64000000000004</v>
      </c>
      <c r="F60" s="304">
        <v>540.16160000000002</v>
      </c>
      <c r="H60" s="191"/>
      <c r="I60" s="342">
        <v>260.92500000000001</v>
      </c>
      <c r="J60" s="342">
        <v>293.07096000000001</v>
      </c>
      <c r="K60" s="343">
        <v>488.45160000000004</v>
      </c>
      <c r="L60" s="344">
        <v>510.35</v>
      </c>
    </row>
    <row r="61" spans="2:12">
      <c r="B61" s="329">
        <v>79000</v>
      </c>
      <c r="C61" s="300">
        <v>245.00000000000003</v>
      </c>
      <c r="D61" s="300">
        <v>278.71200000000005</v>
      </c>
      <c r="E61" s="276">
        <v>464.52000000000004</v>
      </c>
      <c r="F61" s="304">
        <v>540.54380000000003</v>
      </c>
      <c r="H61" s="191"/>
      <c r="I61" s="342">
        <v>260.92500000000001</v>
      </c>
      <c r="J61" s="342">
        <v>296.82828000000006</v>
      </c>
      <c r="K61" s="343">
        <v>494.71380000000005</v>
      </c>
      <c r="L61" s="344">
        <v>510.35</v>
      </c>
    </row>
    <row r="62" spans="2:12">
      <c r="B62" s="330">
        <v>80000</v>
      </c>
      <c r="C62" s="300">
        <v>246.96000000000004</v>
      </c>
      <c r="D62" s="300">
        <v>282.24</v>
      </c>
      <c r="E62" s="276">
        <v>470.40000000000003</v>
      </c>
      <c r="F62" s="304">
        <v>554.226</v>
      </c>
      <c r="H62" s="191"/>
      <c r="I62" s="342">
        <v>263.01240000000001</v>
      </c>
      <c r="J62" s="342">
        <v>300.5856</v>
      </c>
      <c r="K62" s="343">
        <v>500.97600000000006</v>
      </c>
      <c r="L62" s="344">
        <v>523.65</v>
      </c>
    </row>
    <row r="63" spans="2:12">
      <c r="B63" s="329">
        <v>81000</v>
      </c>
      <c r="C63" s="300">
        <v>250.04700000000005</v>
      </c>
      <c r="D63" s="300">
        <v>285.76800000000003</v>
      </c>
      <c r="E63" s="276">
        <v>476.28000000000003</v>
      </c>
      <c r="F63" s="304">
        <v>551.52119999999991</v>
      </c>
      <c r="H63" s="191"/>
      <c r="I63" s="342">
        <v>266.30005500000004</v>
      </c>
      <c r="J63" s="342">
        <v>304.34292000000005</v>
      </c>
      <c r="K63" s="343">
        <v>507.23820000000001</v>
      </c>
      <c r="L63" s="344">
        <v>520.56299999999999</v>
      </c>
    </row>
    <row r="64" spans="2:12">
      <c r="B64" s="330">
        <v>82000</v>
      </c>
      <c r="C64" s="300">
        <v>253.13400000000001</v>
      </c>
      <c r="D64" s="300">
        <v>289.29599999999999</v>
      </c>
      <c r="E64" s="276">
        <v>482.16000000000008</v>
      </c>
      <c r="F64" s="304">
        <v>548.81640000000004</v>
      </c>
      <c r="H64" s="191"/>
      <c r="I64" s="342">
        <v>269.58771000000002</v>
      </c>
      <c r="J64" s="342">
        <v>308.10023999999999</v>
      </c>
      <c r="K64" s="343">
        <v>513.50040000000013</v>
      </c>
      <c r="L64" s="344">
        <v>517.476</v>
      </c>
    </row>
    <row r="65" spans="2:12">
      <c r="B65" s="331">
        <v>83000</v>
      </c>
      <c r="C65" s="300">
        <v>256.221</v>
      </c>
      <c r="D65" s="300">
        <v>292.82400000000001</v>
      </c>
      <c r="E65" s="276">
        <v>488.04</v>
      </c>
      <c r="F65" s="304">
        <v>546.11159999999995</v>
      </c>
      <c r="H65" s="191"/>
      <c r="I65" s="342">
        <v>272.87536499999999</v>
      </c>
      <c r="J65" s="342">
        <v>311.85756000000003</v>
      </c>
      <c r="K65" s="343">
        <v>519.76260000000002</v>
      </c>
      <c r="L65" s="344">
        <v>514.38900000000001</v>
      </c>
    </row>
    <row r="66" spans="2:12">
      <c r="B66" s="331">
        <v>84000</v>
      </c>
      <c r="C66" s="300">
        <v>259.30800000000005</v>
      </c>
      <c r="D66" s="300">
        <v>296.35200000000003</v>
      </c>
      <c r="E66" s="276">
        <v>493.92000000000007</v>
      </c>
      <c r="F66" s="304">
        <v>543.40679999999998</v>
      </c>
      <c r="H66" s="191"/>
      <c r="I66" s="342">
        <v>276.16302000000007</v>
      </c>
      <c r="J66" s="342">
        <v>315.61488000000003</v>
      </c>
      <c r="K66" s="343">
        <v>526.02480000000003</v>
      </c>
      <c r="L66" s="344">
        <v>511.30199999999996</v>
      </c>
    </row>
    <row r="67" spans="2:12">
      <c r="B67" s="330">
        <v>85000</v>
      </c>
      <c r="C67" s="300">
        <v>262.39500000000004</v>
      </c>
      <c r="D67" s="300">
        <v>299.88</v>
      </c>
      <c r="E67" s="276">
        <v>499.8</v>
      </c>
      <c r="F67" s="304">
        <v>555.952</v>
      </c>
      <c r="H67" s="191"/>
      <c r="I67" s="342">
        <v>279.45067500000005</v>
      </c>
      <c r="J67" s="342">
        <v>319.37220000000002</v>
      </c>
      <c r="K67" s="343">
        <v>532.28700000000003</v>
      </c>
      <c r="L67" s="344">
        <v>523.46499999999992</v>
      </c>
    </row>
    <row r="68" spans="2:12">
      <c r="B68" s="329">
        <v>86000</v>
      </c>
      <c r="C68" s="300">
        <v>265.48200000000003</v>
      </c>
      <c r="D68" s="300">
        <v>303.40800000000002</v>
      </c>
      <c r="E68" s="276">
        <v>505.68000000000006</v>
      </c>
      <c r="F68" s="304">
        <v>553.24719999999991</v>
      </c>
      <c r="H68" s="191"/>
      <c r="I68" s="342">
        <v>282.73833000000002</v>
      </c>
      <c r="J68" s="342">
        <v>323.12952000000001</v>
      </c>
      <c r="K68" s="343">
        <v>538.54920000000004</v>
      </c>
      <c r="L68" s="344">
        <v>520.37799999999993</v>
      </c>
    </row>
    <row r="69" spans="2:12">
      <c r="B69" s="330">
        <v>87000</v>
      </c>
      <c r="C69" s="300">
        <v>268.56900000000002</v>
      </c>
      <c r="D69" s="300">
        <v>306.93599999999998</v>
      </c>
      <c r="E69" s="276">
        <v>511.56</v>
      </c>
      <c r="F69" s="304">
        <v>550.54240000000004</v>
      </c>
      <c r="H69" s="191"/>
      <c r="I69" s="342">
        <v>286.02598499999999</v>
      </c>
      <c r="J69" s="342">
        <v>326.88684000000001</v>
      </c>
      <c r="K69" s="343">
        <v>544.81140000000005</v>
      </c>
      <c r="L69" s="344">
        <v>517.29099999999994</v>
      </c>
    </row>
    <row r="70" spans="2:12">
      <c r="B70" s="329">
        <v>88000</v>
      </c>
      <c r="C70" s="300">
        <v>271.65600000000001</v>
      </c>
      <c r="D70" s="300">
        <v>310.464</v>
      </c>
      <c r="E70" s="276">
        <v>517.44000000000005</v>
      </c>
      <c r="F70" s="304">
        <v>547.83759999999995</v>
      </c>
      <c r="H70" s="191"/>
      <c r="I70" s="342">
        <v>289.31364000000002</v>
      </c>
      <c r="J70" s="342">
        <v>330.64416</v>
      </c>
      <c r="K70" s="343">
        <v>551.07360000000006</v>
      </c>
      <c r="L70" s="344">
        <v>514.20399999999995</v>
      </c>
    </row>
    <row r="71" spans="2:12">
      <c r="B71" s="329">
        <v>89000</v>
      </c>
      <c r="C71" s="300">
        <v>274.74300000000005</v>
      </c>
      <c r="D71" s="300">
        <v>313.99200000000002</v>
      </c>
      <c r="E71" s="276">
        <v>523.32000000000005</v>
      </c>
      <c r="F71" s="304">
        <v>545.13279999999997</v>
      </c>
      <c r="H71" s="191"/>
      <c r="I71" s="342">
        <v>292.60129500000005</v>
      </c>
      <c r="J71" s="342">
        <v>334.40147999999999</v>
      </c>
      <c r="K71" s="343">
        <v>557.33580000000006</v>
      </c>
      <c r="L71" s="344">
        <v>511.11699999999996</v>
      </c>
    </row>
    <row r="72" spans="2:12">
      <c r="B72" s="330">
        <v>90000</v>
      </c>
      <c r="C72" s="300">
        <v>277.83000000000004</v>
      </c>
      <c r="D72" s="300">
        <v>317.52</v>
      </c>
      <c r="E72" s="276">
        <v>529.20000000000005</v>
      </c>
      <c r="F72" s="304">
        <v>557.68799999999999</v>
      </c>
      <c r="H72" s="191"/>
      <c r="I72" s="342">
        <v>295.88895000000002</v>
      </c>
      <c r="J72" s="342">
        <v>338.15879999999999</v>
      </c>
      <c r="K72" s="343">
        <v>563.59800000000007</v>
      </c>
      <c r="L72" s="344">
        <v>523.29</v>
      </c>
    </row>
    <row r="73" spans="2:12">
      <c r="B73" s="329">
        <v>91000</v>
      </c>
      <c r="C73" s="300">
        <v>280.91700000000009</v>
      </c>
      <c r="D73" s="300">
        <v>321.048</v>
      </c>
      <c r="E73" s="276">
        <v>535.08000000000004</v>
      </c>
      <c r="F73" s="304">
        <v>554.98320000000001</v>
      </c>
      <c r="H73" s="191"/>
      <c r="I73" s="342">
        <v>299.17660500000011</v>
      </c>
      <c r="J73" s="342">
        <v>341.91611999999998</v>
      </c>
      <c r="K73" s="343">
        <v>569.86020000000008</v>
      </c>
      <c r="L73" s="344">
        <v>520.20299999999997</v>
      </c>
    </row>
    <row r="74" spans="2:12">
      <c r="B74" s="330">
        <v>92000</v>
      </c>
      <c r="C74" s="300">
        <v>284.00400000000002</v>
      </c>
      <c r="D74" s="300">
        <v>324.57599999999996</v>
      </c>
      <c r="E74" s="276">
        <v>540.96</v>
      </c>
      <c r="F74" s="304">
        <v>552.27840000000003</v>
      </c>
      <c r="H74" s="191"/>
      <c r="I74" s="342">
        <v>302.46426000000002</v>
      </c>
      <c r="J74" s="342">
        <v>345.67343999999997</v>
      </c>
      <c r="K74" s="343">
        <v>576.12240000000008</v>
      </c>
      <c r="L74" s="344">
        <v>517.11599999999999</v>
      </c>
    </row>
    <row r="75" spans="2:12">
      <c r="B75" s="329">
        <v>93000</v>
      </c>
      <c r="C75" s="300">
        <v>287.09100000000001</v>
      </c>
      <c r="D75" s="300">
        <v>328.10399999999998</v>
      </c>
      <c r="E75" s="276">
        <v>546.84</v>
      </c>
      <c r="F75" s="304">
        <v>549.57360000000006</v>
      </c>
      <c r="H75" s="191"/>
      <c r="I75" s="342">
        <v>305.751915</v>
      </c>
      <c r="J75" s="342">
        <v>349.43075999999996</v>
      </c>
      <c r="K75" s="343">
        <v>582.38460000000009</v>
      </c>
      <c r="L75" s="344">
        <v>514.029</v>
      </c>
    </row>
    <row r="76" spans="2:12">
      <c r="B76" s="329">
        <v>94000</v>
      </c>
      <c r="C76" s="300">
        <v>290.17800000000005</v>
      </c>
      <c r="D76" s="300">
        <v>331.63200000000001</v>
      </c>
      <c r="E76" s="276">
        <v>552.72</v>
      </c>
      <c r="F76" s="304">
        <v>546.86879999999996</v>
      </c>
      <c r="H76" s="191"/>
      <c r="I76" s="342">
        <v>309.03957000000008</v>
      </c>
      <c r="J76" s="342">
        <v>353.18808000000001</v>
      </c>
      <c r="K76" s="343">
        <v>588.64679999999998</v>
      </c>
      <c r="L76" s="344">
        <v>510.94199999999995</v>
      </c>
    </row>
    <row r="77" spans="2:12">
      <c r="B77" s="329">
        <v>95000</v>
      </c>
      <c r="C77" s="300">
        <v>293.26500000000004</v>
      </c>
      <c r="D77" s="300">
        <v>335.16</v>
      </c>
      <c r="E77" s="276">
        <v>558.6</v>
      </c>
      <c r="F77" s="304">
        <v>559.42399999999998</v>
      </c>
      <c r="H77" s="191"/>
      <c r="I77" s="342">
        <v>312.32722500000006</v>
      </c>
      <c r="J77" s="342">
        <v>356.94540000000001</v>
      </c>
      <c r="K77" s="343">
        <v>594.90899999999999</v>
      </c>
      <c r="L77" s="344">
        <v>523.11500000000001</v>
      </c>
    </row>
    <row r="78" spans="2:12">
      <c r="B78" s="330">
        <v>96000</v>
      </c>
      <c r="C78" s="300">
        <v>296.35200000000003</v>
      </c>
      <c r="D78" s="300">
        <v>338.68799999999999</v>
      </c>
      <c r="E78" s="276">
        <v>564.48</v>
      </c>
      <c r="F78" s="304">
        <v>556.7192</v>
      </c>
      <c r="H78" s="191"/>
      <c r="I78" s="342">
        <v>315.61488000000003</v>
      </c>
      <c r="J78" s="342">
        <v>360.70272</v>
      </c>
      <c r="K78" s="343">
        <v>601.1712</v>
      </c>
      <c r="L78" s="344">
        <v>520.02800000000002</v>
      </c>
    </row>
    <row r="79" spans="2:12">
      <c r="B79" s="329">
        <v>97000</v>
      </c>
      <c r="C79" s="300">
        <v>299.43900000000002</v>
      </c>
      <c r="D79" s="300">
        <v>342.21599999999995</v>
      </c>
      <c r="E79" s="276">
        <v>570.36</v>
      </c>
      <c r="F79" s="304">
        <v>554.01440000000002</v>
      </c>
      <c r="H79" s="191"/>
      <c r="I79" s="342">
        <v>318.902535</v>
      </c>
      <c r="J79" s="342">
        <v>364.46003999999994</v>
      </c>
      <c r="K79" s="343">
        <v>607.43340000000001</v>
      </c>
      <c r="L79" s="344">
        <v>516.94100000000003</v>
      </c>
    </row>
    <row r="80" spans="2:12">
      <c r="B80" s="330">
        <v>98000</v>
      </c>
      <c r="C80" s="300">
        <v>302.52600000000007</v>
      </c>
      <c r="D80" s="300">
        <v>345.74399999999997</v>
      </c>
      <c r="E80" s="276">
        <v>576.24000000000012</v>
      </c>
      <c r="F80" s="304">
        <v>551.30959999999993</v>
      </c>
      <c r="H80" s="191"/>
      <c r="I80" s="342">
        <v>322.19019000000009</v>
      </c>
      <c r="J80" s="342">
        <v>368.21735999999999</v>
      </c>
      <c r="K80" s="343">
        <v>613.69560000000013</v>
      </c>
      <c r="L80" s="344">
        <v>513.85399999999993</v>
      </c>
    </row>
    <row r="81" spans="2:12">
      <c r="B81" s="330">
        <v>99000</v>
      </c>
      <c r="C81" s="300">
        <v>305.61300000000006</v>
      </c>
      <c r="D81" s="300">
        <v>349.27199999999999</v>
      </c>
      <c r="E81" s="276">
        <v>582.12</v>
      </c>
      <c r="F81" s="304">
        <v>548.60479999999995</v>
      </c>
      <c r="H81" s="191"/>
      <c r="I81" s="342">
        <v>325.47784500000006</v>
      </c>
      <c r="J81" s="342">
        <v>371.97467999999998</v>
      </c>
      <c r="K81" s="343">
        <v>619.95780000000002</v>
      </c>
      <c r="L81" s="344">
        <v>510.76699999999994</v>
      </c>
    </row>
    <row r="82" spans="2:12">
      <c r="B82" s="329">
        <v>100000</v>
      </c>
      <c r="C82" s="300">
        <v>308.70000000000005</v>
      </c>
      <c r="D82" s="300">
        <v>352.79999999999995</v>
      </c>
      <c r="E82" s="276">
        <v>588.00000000000011</v>
      </c>
      <c r="F82" s="304">
        <v>552.14</v>
      </c>
      <c r="H82" s="191"/>
      <c r="I82" s="342">
        <v>328.76550000000003</v>
      </c>
      <c r="J82" s="342">
        <v>375.73199999999997</v>
      </c>
      <c r="K82" s="343">
        <v>626.22000000000014</v>
      </c>
      <c r="L82" s="344">
        <v>513.91999999999996</v>
      </c>
    </row>
    <row r="83" spans="2:12">
      <c r="B83" s="329">
        <v>101000</v>
      </c>
      <c r="C83" s="300">
        <v>311.78700000000009</v>
      </c>
      <c r="D83" s="300">
        <v>356.32799999999997</v>
      </c>
      <c r="E83" s="276">
        <v>593.88</v>
      </c>
      <c r="F83" s="304">
        <v>549.4351999999999</v>
      </c>
      <c r="H83" s="191"/>
      <c r="I83" s="342">
        <v>332.05315500000012</v>
      </c>
      <c r="J83" s="342">
        <v>379.48931999999996</v>
      </c>
      <c r="K83" s="343">
        <v>632.48220000000003</v>
      </c>
      <c r="L83" s="344">
        <v>510.83299999999991</v>
      </c>
    </row>
    <row r="84" spans="2:12">
      <c r="B84" s="329">
        <v>102000</v>
      </c>
      <c r="C84" s="300">
        <v>314.87400000000002</v>
      </c>
      <c r="D84" s="300">
        <v>359.85599999999999</v>
      </c>
      <c r="E84" s="276">
        <v>599.7600000000001</v>
      </c>
      <c r="F84" s="304">
        <v>546.73040000000003</v>
      </c>
      <c r="H84" s="191"/>
      <c r="I84" s="342">
        <v>335.34081000000003</v>
      </c>
      <c r="J84" s="342">
        <v>383.24664000000001</v>
      </c>
      <c r="K84" s="343">
        <v>638.74440000000016</v>
      </c>
      <c r="L84" s="344">
        <v>507.74599999999998</v>
      </c>
    </row>
    <row r="85" spans="2:12">
      <c r="B85" s="329">
        <v>103000</v>
      </c>
      <c r="C85" s="300">
        <v>317.96100000000007</v>
      </c>
      <c r="D85" s="300">
        <v>363.38400000000001</v>
      </c>
      <c r="E85" s="276">
        <v>605.64</v>
      </c>
      <c r="F85" s="304">
        <v>544.02559999999994</v>
      </c>
      <c r="H85" s="191"/>
      <c r="I85" s="342">
        <v>338.62846500000006</v>
      </c>
      <c r="J85" s="342">
        <v>387.00396000000001</v>
      </c>
      <c r="K85" s="343">
        <v>645.00659999999993</v>
      </c>
      <c r="L85" s="344">
        <v>504.65899999999993</v>
      </c>
    </row>
    <row r="86" spans="2:12">
      <c r="B86" s="329">
        <v>104000</v>
      </c>
      <c r="C86" s="300">
        <v>321.04800000000006</v>
      </c>
      <c r="D86" s="300">
        <v>366.91200000000003</v>
      </c>
      <c r="E86" s="276">
        <v>611.5200000000001</v>
      </c>
      <c r="F86" s="304">
        <v>541.32079999999996</v>
      </c>
      <c r="H86" s="191"/>
      <c r="I86" s="342">
        <v>341.91612000000009</v>
      </c>
      <c r="J86" s="342">
        <v>390.76128000000006</v>
      </c>
      <c r="K86" s="343">
        <v>651.26880000000006</v>
      </c>
      <c r="L86" s="344">
        <v>501.57199999999995</v>
      </c>
    </row>
    <row r="87" spans="2:12">
      <c r="B87" s="330">
        <v>105000</v>
      </c>
      <c r="C87" s="300">
        <v>324.13500000000005</v>
      </c>
      <c r="D87" s="300">
        <v>370.44</v>
      </c>
      <c r="E87" s="276">
        <v>617.40000000000009</v>
      </c>
      <c r="F87" s="304">
        <v>550.77599999999995</v>
      </c>
      <c r="H87" s="191"/>
      <c r="I87" s="342">
        <v>345.20377500000006</v>
      </c>
      <c r="J87" s="342">
        <v>394.51859999999999</v>
      </c>
      <c r="K87" s="343">
        <v>657.53100000000006</v>
      </c>
      <c r="L87" s="344">
        <v>510.64499999999998</v>
      </c>
    </row>
    <row r="88" spans="2:12">
      <c r="B88" s="330">
        <v>106000</v>
      </c>
      <c r="C88" s="300">
        <v>327.22200000000004</v>
      </c>
      <c r="D88" s="300">
        <v>373.96800000000002</v>
      </c>
      <c r="E88" s="276">
        <v>623.28000000000009</v>
      </c>
      <c r="F88" s="304">
        <v>548.07119999999998</v>
      </c>
      <c r="H88" s="191"/>
      <c r="I88" s="342">
        <v>348.49143000000004</v>
      </c>
      <c r="J88" s="342">
        <v>398.27592000000004</v>
      </c>
      <c r="K88" s="343">
        <v>663.79320000000007</v>
      </c>
      <c r="L88" s="344">
        <v>507.55799999999999</v>
      </c>
    </row>
    <row r="89" spans="2:12">
      <c r="B89" s="329">
        <v>107000</v>
      </c>
      <c r="C89" s="300">
        <v>330.30900000000003</v>
      </c>
      <c r="D89" s="300">
        <v>377.49600000000004</v>
      </c>
      <c r="E89" s="276">
        <v>629.16000000000008</v>
      </c>
      <c r="F89" s="304">
        <v>545.3664</v>
      </c>
      <c r="H89" s="191"/>
      <c r="I89" s="342">
        <v>351.77908500000001</v>
      </c>
      <c r="J89" s="342">
        <v>402.03324000000003</v>
      </c>
      <c r="K89" s="343">
        <v>670.05540000000008</v>
      </c>
      <c r="L89" s="344">
        <v>504.471</v>
      </c>
    </row>
    <row r="90" spans="2:12">
      <c r="B90" s="329">
        <v>108000</v>
      </c>
      <c r="C90" s="300">
        <v>333.39600000000007</v>
      </c>
      <c r="D90" s="300">
        <v>381.02400000000006</v>
      </c>
      <c r="E90" s="276">
        <v>635.04000000000008</v>
      </c>
      <c r="F90" s="304">
        <v>542.66159999999991</v>
      </c>
      <c r="H90" s="191"/>
      <c r="I90" s="342">
        <v>355.0667400000001</v>
      </c>
      <c r="J90" s="342">
        <v>405.79056000000008</v>
      </c>
      <c r="K90" s="343">
        <v>676.31760000000008</v>
      </c>
      <c r="L90" s="344">
        <v>501.38399999999996</v>
      </c>
    </row>
    <row r="91" spans="2:12">
      <c r="B91" s="329">
        <v>109000</v>
      </c>
      <c r="C91" s="300">
        <v>336.48300000000006</v>
      </c>
      <c r="D91" s="300">
        <v>384.55199999999996</v>
      </c>
      <c r="E91" s="276">
        <v>640.92000000000007</v>
      </c>
      <c r="F91" s="304">
        <v>539.95679999999993</v>
      </c>
      <c r="H91" s="191"/>
      <c r="I91" s="342">
        <v>358.35439500000007</v>
      </c>
      <c r="J91" s="342">
        <v>409.54787999999996</v>
      </c>
      <c r="K91" s="343">
        <v>682.57980000000009</v>
      </c>
      <c r="L91" s="344">
        <v>498.29699999999997</v>
      </c>
    </row>
    <row r="92" spans="2:12">
      <c r="B92" s="329">
        <v>110000</v>
      </c>
      <c r="C92" s="300">
        <v>339.57000000000005</v>
      </c>
      <c r="D92" s="300">
        <v>388.08</v>
      </c>
      <c r="E92" s="276">
        <v>646.80000000000007</v>
      </c>
      <c r="F92" s="304">
        <v>549.42200000000003</v>
      </c>
      <c r="H92" s="191"/>
      <c r="I92" s="342">
        <v>361.64205000000004</v>
      </c>
      <c r="J92" s="342">
        <v>413.30520000000001</v>
      </c>
      <c r="K92" s="343">
        <v>688.8420000000001</v>
      </c>
      <c r="L92" s="344">
        <v>507.37999999999994</v>
      </c>
    </row>
    <row r="93" spans="2:12">
      <c r="B93" s="329">
        <v>111000</v>
      </c>
      <c r="C93" s="300">
        <v>342.6570000000001</v>
      </c>
      <c r="D93" s="300">
        <v>391.60799999999995</v>
      </c>
      <c r="E93" s="276">
        <v>652.68000000000006</v>
      </c>
      <c r="F93" s="304">
        <v>546.71719999999993</v>
      </c>
      <c r="H93" s="191"/>
      <c r="I93" s="342">
        <v>364.92970500000013</v>
      </c>
      <c r="J93" s="342">
        <v>417.06251999999995</v>
      </c>
      <c r="K93" s="343">
        <v>695.10420000000011</v>
      </c>
      <c r="L93" s="344">
        <v>504.29299999999989</v>
      </c>
    </row>
    <row r="94" spans="2:12">
      <c r="B94" s="329">
        <v>112000</v>
      </c>
      <c r="C94" s="300">
        <v>345.74400000000009</v>
      </c>
      <c r="D94" s="300">
        <v>395.13599999999997</v>
      </c>
      <c r="E94" s="276">
        <v>658.56000000000006</v>
      </c>
      <c r="F94" s="304">
        <v>544.01239999999996</v>
      </c>
      <c r="H94" s="191"/>
      <c r="I94" s="342">
        <v>368.2173600000001</v>
      </c>
      <c r="J94" s="342">
        <v>420.81983999999994</v>
      </c>
      <c r="K94" s="343">
        <v>701.36640000000011</v>
      </c>
      <c r="L94" s="344">
        <v>501.2059999999999</v>
      </c>
    </row>
    <row r="95" spans="2:12">
      <c r="B95" s="329">
        <v>113000</v>
      </c>
      <c r="C95" s="300">
        <v>348.83100000000007</v>
      </c>
      <c r="D95" s="300">
        <v>398.66399999999999</v>
      </c>
      <c r="E95" s="276">
        <v>664.44</v>
      </c>
      <c r="F95" s="304">
        <v>541.30759999999987</v>
      </c>
      <c r="H95" s="191"/>
      <c r="I95" s="342">
        <v>371.50501500000007</v>
      </c>
      <c r="J95" s="342">
        <v>424.57715999999999</v>
      </c>
      <c r="K95" s="343">
        <v>707.62860000000001</v>
      </c>
      <c r="L95" s="344">
        <v>498.11899999999991</v>
      </c>
    </row>
    <row r="96" spans="2:12">
      <c r="B96" s="329">
        <v>114000</v>
      </c>
      <c r="C96" s="300">
        <v>351.91800000000006</v>
      </c>
      <c r="D96" s="300">
        <v>402.19200000000001</v>
      </c>
      <c r="E96" s="276">
        <v>670.32</v>
      </c>
      <c r="F96" s="304">
        <v>538.60279999999989</v>
      </c>
      <c r="H96" s="191"/>
      <c r="I96" s="342">
        <v>374.79267000000004</v>
      </c>
      <c r="J96" s="342">
        <v>428.33447999999999</v>
      </c>
      <c r="K96" s="343">
        <v>713.89080000000001</v>
      </c>
      <c r="L96" s="344">
        <v>495.03199999999993</v>
      </c>
    </row>
    <row r="97" spans="2:12">
      <c r="B97" s="329">
        <v>115000</v>
      </c>
      <c r="C97" s="300">
        <v>355.00500000000005</v>
      </c>
      <c r="D97" s="300">
        <v>405.72</v>
      </c>
      <c r="E97" s="276">
        <v>676.2</v>
      </c>
      <c r="F97" s="304">
        <v>548.05799999999999</v>
      </c>
      <c r="H97" s="191"/>
      <c r="I97" s="342">
        <v>378.08032500000007</v>
      </c>
      <c r="J97" s="342">
        <v>432.09180000000003</v>
      </c>
      <c r="K97" s="343">
        <v>720.15300000000002</v>
      </c>
      <c r="L97" s="344">
        <v>504.10499999999996</v>
      </c>
    </row>
    <row r="98" spans="2:12">
      <c r="B98" s="329">
        <v>116000</v>
      </c>
      <c r="C98" s="300">
        <v>358.09200000000004</v>
      </c>
      <c r="D98" s="300">
        <v>409.24800000000005</v>
      </c>
      <c r="E98" s="276">
        <v>682.08</v>
      </c>
      <c r="F98" s="304">
        <v>545.35320000000002</v>
      </c>
      <c r="H98" s="191"/>
      <c r="I98" s="342">
        <v>381.36798000000005</v>
      </c>
      <c r="J98" s="342">
        <v>435.84912000000003</v>
      </c>
      <c r="K98" s="343">
        <v>726.41520000000003</v>
      </c>
      <c r="L98" s="344">
        <v>501.01799999999997</v>
      </c>
    </row>
    <row r="99" spans="2:12">
      <c r="B99" s="329">
        <v>117000</v>
      </c>
      <c r="C99" s="300">
        <v>361.17900000000003</v>
      </c>
      <c r="D99" s="300">
        <v>412.77600000000007</v>
      </c>
      <c r="E99" s="276">
        <v>687.96</v>
      </c>
      <c r="F99" s="304">
        <v>542.64840000000004</v>
      </c>
      <c r="H99" s="191"/>
      <c r="I99" s="342">
        <v>384.65563500000002</v>
      </c>
      <c r="J99" s="342">
        <v>439.60644000000008</v>
      </c>
      <c r="K99" s="343">
        <v>732.67740000000003</v>
      </c>
      <c r="L99" s="344">
        <v>497.93099999999998</v>
      </c>
    </row>
    <row r="100" spans="2:12">
      <c r="B100" s="329">
        <v>118000</v>
      </c>
      <c r="C100" s="300">
        <v>364.26600000000008</v>
      </c>
      <c r="D100" s="300">
        <v>416.30400000000009</v>
      </c>
      <c r="E100" s="276">
        <v>693.84</v>
      </c>
      <c r="F100" s="304">
        <v>539.94359999999995</v>
      </c>
      <c r="H100" s="191"/>
      <c r="I100" s="342">
        <v>387.9432900000001</v>
      </c>
      <c r="J100" s="342">
        <v>443.36376000000007</v>
      </c>
      <c r="K100" s="343">
        <v>738.93960000000004</v>
      </c>
      <c r="L100" s="344">
        <v>494.84399999999994</v>
      </c>
    </row>
    <row r="101" spans="2:12">
      <c r="B101" s="329">
        <v>119000</v>
      </c>
      <c r="C101" s="300">
        <v>367.35300000000007</v>
      </c>
      <c r="D101" s="300">
        <v>419.83200000000005</v>
      </c>
      <c r="E101" s="276">
        <v>699.72000000000014</v>
      </c>
      <c r="F101" s="304">
        <v>537.23879999999997</v>
      </c>
      <c r="H101" s="191"/>
      <c r="I101" s="342">
        <v>391.23094500000008</v>
      </c>
      <c r="J101" s="342">
        <v>447.12108000000006</v>
      </c>
      <c r="K101" s="343">
        <v>745.20180000000016</v>
      </c>
      <c r="L101" s="344">
        <v>491.75699999999995</v>
      </c>
    </row>
    <row r="102" spans="2:12">
      <c r="B102" s="329">
        <v>120000</v>
      </c>
      <c r="C102" s="300">
        <v>370.44000000000005</v>
      </c>
      <c r="D102" s="300">
        <v>423.36000000000007</v>
      </c>
      <c r="E102" s="276">
        <v>705.6</v>
      </c>
      <c r="F102" s="304">
        <v>546.69399999999996</v>
      </c>
      <c r="H102" s="191"/>
      <c r="I102" s="342">
        <v>394.51860000000005</v>
      </c>
      <c r="J102" s="342">
        <v>450.87840000000006</v>
      </c>
      <c r="K102" s="343">
        <v>751.46400000000006</v>
      </c>
      <c r="L102" s="344">
        <v>500.82999999999993</v>
      </c>
    </row>
    <row r="103" spans="2:12">
      <c r="B103" s="329">
        <v>121000</v>
      </c>
      <c r="C103" s="300">
        <v>373.52700000000004</v>
      </c>
      <c r="D103" s="300">
        <v>426.88800000000009</v>
      </c>
      <c r="E103" s="276">
        <v>711.48</v>
      </c>
      <c r="F103" s="304">
        <v>543.98919999999998</v>
      </c>
      <c r="H103" s="191"/>
      <c r="I103" s="342">
        <v>397.80625500000002</v>
      </c>
      <c r="J103" s="342">
        <v>454.63572000000011</v>
      </c>
      <c r="K103" s="343">
        <v>757.72620000000006</v>
      </c>
      <c r="L103" s="344">
        <v>497.74299999999994</v>
      </c>
    </row>
    <row r="104" spans="2:12">
      <c r="B104" s="329">
        <v>122000</v>
      </c>
      <c r="C104" s="300">
        <v>376.61400000000003</v>
      </c>
      <c r="D104" s="300">
        <v>430.41600000000011</v>
      </c>
      <c r="E104" s="276">
        <v>717.36000000000013</v>
      </c>
      <c r="F104" s="304">
        <v>541.28440000000001</v>
      </c>
      <c r="H104" s="191"/>
      <c r="I104" s="342">
        <v>401.09391000000005</v>
      </c>
      <c r="J104" s="342">
        <v>458.3930400000001</v>
      </c>
      <c r="K104" s="343">
        <v>763.98840000000018</v>
      </c>
      <c r="L104" s="344">
        <v>494.65599999999995</v>
      </c>
    </row>
    <row r="105" spans="2:12">
      <c r="B105" s="329">
        <v>123000</v>
      </c>
      <c r="C105" s="300">
        <v>379.70100000000008</v>
      </c>
      <c r="D105" s="300">
        <v>433.94400000000013</v>
      </c>
      <c r="E105" s="276">
        <v>723.24000000000012</v>
      </c>
      <c r="F105" s="304">
        <v>538.5795999999998</v>
      </c>
      <c r="H105" s="191"/>
      <c r="I105" s="342">
        <v>404.38156500000008</v>
      </c>
      <c r="J105" s="342">
        <v>462.15036000000015</v>
      </c>
      <c r="K105" s="343">
        <v>770.25060000000008</v>
      </c>
      <c r="L105" s="344">
        <v>491.5689999999999</v>
      </c>
    </row>
    <row r="106" spans="2:12">
      <c r="B106" s="310">
        <v>124000</v>
      </c>
      <c r="C106" s="310">
        <v>382.78800000000007</v>
      </c>
      <c r="D106" s="310">
        <v>437.47200000000004</v>
      </c>
      <c r="E106" s="276">
        <v>729.12</v>
      </c>
      <c r="F106" s="304">
        <v>535.87479999999982</v>
      </c>
      <c r="H106" s="191"/>
      <c r="I106" s="345">
        <v>407.66922000000005</v>
      </c>
      <c r="J106" s="345">
        <v>465.90768000000003</v>
      </c>
      <c r="K106" s="343">
        <v>776.51279999999997</v>
      </c>
      <c r="L106" s="344">
        <v>488.48199999999991</v>
      </c>
    </row>
    <row r="107" spans="2:12">
      <c r="B107" s="310">
        <v>125000</v>
      </c>
      <c r="C107" s="310">
        <v>385.875</v>
      </c>
      <c r="D107" s="310">
        <v>441.00000000000006</v>
      </c>
      <c r="E107" s="276">
        <v>735</v>
      </c>
      <c r="F107" s="304">
        <v>545.33999999999992</v>
      </c>
      <c r="H107" s="191"/>
      <c r="I107" s="345">
        <v>410.95687500000003</v>
      </c>
      <c r="J107" s="345">
        <v>469.66500000000008</v>
      </c>
      <c r="K107" s="343">
        <v>782.77499999999998</v>
      </c>
      <c r="L107" s="344">
        <v>497.565</v>
      </c>
    </row>
    <row r="108" spans="2:12">
      <c r="B108" s="310">
        <v>126000</v>
      </c>
      <c r="C108" s="310">
        <v>388.96199999999999</v>
      </c>
      <c r="D108" s="310">
        <v>444.52800000000008</v>
      </c>
      <c r="E108" s="276">
        <v>740.88000000000011</v>
      </c>
      <c r="F108" s="304">
        <v>542.63519999999994</v>
      </c>
      <c r="H108" s="191"/>
      <c r="I108" s="345">
        <v>414.24453</v>
      </c>
      <c r="J108" s="345">
        <v>473.42232000000007</v>
      </c>
      <c r="K108" s="343">
        <v>789.0372000000001</v>
      </c>
      <c r="L108" s="344">
        <v>494.47800000000001</v>
      </c>
    </row>
    <row r="109" spans="2:12">
      <c r="B109" s="310">
        <v>127000</v>
      </c>
      <c r="C109" s="310">
        <v>392.04900000000004</v>
      </c>
      <c r="D109" s="310">
        <v>448.05600000000004</v>
      </c>
      <c r="E109" s="276">
        <v>746.7600000000001</v>
      </c>
      <c r="F109" s="304">
        <v>539.93039999999996</v>
      </c>
      <c r="H109" s="191"/>
      <c r="I109" s="345">
        <v>417.53218500000003</v>
      </c>
      <c r="J109" s="345">
        <v>477.17964000000006</v>
      </c>
      <c r="K109" s="343">
        <v>795.29940000000011</v>
      </c>
      <c r="L109" s="344">
        <v>491.39099999999996</v>
      </c>
    </row>
    <row r="110" spans="2:12">
      <c r="B110" s="310">
        <v>128000</v>
      </c>
      <c r="C110" s="310">
        <v>395.13600000000002</v>
      </c>
      <c r="D110" s="310">
        <v>451.58400000000006</v>
      </c>
      <c r="E110" s="276">
        <v>752.64</v>
      </c>
      <c r="F110" s="304">
        <v>537.22559999999999</v>
      </c>
      <c r="H110" s="191"/>
      <c r="I110" s="345">
        <v>420.81984</v>
      </c>
      <c r="J110" s="345">
        <v>480.93696000000006</v>
      </c>
      <c r="K110" s="343">
        <v>801.5616</v>
      </c>
      <c r="L110" s="344">
        <v>488.30399999999997</v>
      </c>
    </row>
    <row r="111" spans="2:12">
      <c r="B111" s="310">
        <v>129000</v>
      </c>
      <c r="C111" s="310">
        <v>398.22300000000001</v>
      </c>
      <c r="D111" s="310">
        <v>455.11200000000002</v>
      </c>
      <c r="E111" s="276">
        <v>758.5200000000001</v>
      </c>
      <c r="F111" s="304">
        <v>534.52080000000001</v>
      </c>
      <c r="H111" s="191"/>
      <c r="I111" s="345">
        <v>424.10749500000003</v>
      </c>
      <c r="J111" s="345">
        <v>484.69428000000005</v>
      </c>
      <c r="K111" s="343">
        <v>807.82380000000012</v>
      </c>
      <c r="L111" s="344">
        <v>485.21699999999998</v>
      </c>
    </row>
    <row r="112" spans="2:12">
      <c r="B112" s="310">
        <v>130000</v>
      </c>
      <c r="C112" s="310">
        <v>401.31</v>
      </c>
      <c r="D112" s="310">
        <v>458.64000000000004</v>
      </c>
      <c r="E112" s="276">
        <v>764.40000000000009</v>
      </c>
      <c r="F112" s="304">
        <v>543.97600000000011</v>
      </c>
      <c r="H112" s="191"/>
      <c r="I112" s="345">
        <v>427.39515</v>
      </c>
      <c r="J112" s="345">
        <v>488.45160000000004</v>
      </c>
      <c r="K112" s="343">
        <v>814.08600000000013</v>
      </c>
      <c r="L112" s="344">
        <v>494.29</v>
      </c>
    </row>
    <row r="113" spans="2:12">
      <c r="B113" s="310">
        <v>131000</v>
      </c>
      <c r="C113" s="310">
        <v>404.39699999999999</v>
      </c>
      <c r="D113" s="310">
        <v>462.16800000000006</v>
      </c>
      <c r="E113" s="276">
        <v>770.28000000000009</v>
      </c>
      <c r="F113" s="304">
        <v>541.27120000000014</v>
      </c>
      <c r="H113" s="191"/>
      <c r="I113" s="345">
        <v>430.68280499999997</v>
      </c>
      <c r="J113" s="345">
        <v>492.20892000000009</v>
      </c>
      <c r="K113" s="343">
        <v>820.34820000000013</v>
      </c>
      <c r="L113" s="344">
        <v>491.20300000000003</v>
      </c>
    </row>
    <row r="114" spans="2:12">
      <c r="B114" s="310">
        <v>132000</v>
      </c>
      <c r="C114" s="310">
        <v>407.48400000000009</v>
      </c>
      <c r="D114" s="310">
        <v>465.69600000000008</v>
      </c>
      <c r="E114" s="276">
        <v>776.16</v>
      </c>
      <c r="F114" s="304">
        <v>538.56639999999993</v>
      </c>
      <c r="H114" s="191"/>
      <c r="I114" s="345">
        <v>433.97046000000012</v>
      </c>
      <c r="J114" s="345">
        <v>495.96624000000008</v>
      </c>
      <c r="K114" s="343">
        <v>826.61040000000003</v>
      </c>
      <c r="L114" s="344">
        <v>488.11599999999993</v>
      </c>
    </row>
    <row r="115" spans="2:12">
      <c r="B115" s="310">
        <v>133000</v>
      </c>
      <c r="C115" s="310">
        <v>410.57100000000008</v>
      </c>
      <c r="D115" s="310">
        <v>469.2240000000001</v>
      </c>
      <c r="E115" s="276">
        <v>782.04000000000008</v>
      </c>
      <c r="F115" s="304">
        <v>535.86159999999995</v>
      </c>
      <c r="H115" s="191"/>
      <c r="I115" s="345">
        <v>437.25811500000009</v>
      </c>
      <c r="J115" s="345">
        <v>499.72356000000013</v>
      </c>
      <c r="K115" s="343">
        <v>832.87260000000003</v>
      </c>
      <c r="L115" s="344">
        <v>485.02899999999994</v>
      </c>
    </row>
    <row r="116" spans="2:12">
      <c r="B116" s="310">
        <v>134000</v>
      </c>
      <c r="C116" s="310">
        <v>413.65800000000007</v>
      </c>
      <c r="D116" s="310">
        <v>472.75200000000001</v>
      </c>
      <c r="E116" s="276">
        <v>787.92000000000007</v>
      </c>
      <c r="F116" s="304">
        <v>533.15679999999998</v>
      </c>
      <c r="H116" s="191"/>
      <c r="I116" s="345">
        <v>440.54577000000006</v>
      </c>
      <c r="J116" s="345">
        <v>503.48088000000001</v>
      </c>
      <c r="K116" s="343">
        <v>839.13480000000004</v>
      </c>
      <c r="L116" s="344">
        <v>481.94199999999995</v>
      </c>
    </row>
    <row r="117" spans="2:12">
      <c r="B117" s="310">
        <v>135000</v>
      </c>
      <c r="C117" s="310">
        <v>416.74500000000006</v>
      </c>
      <c r="D117" s="310">
        <v>476.28000000000003</v>
      </c>
      <c r="E117" s="276">
        <v>793.80000000000007</v>
      </c>
      <c r="F117" s="304">
        <v>542.61199999999985</v>
      </c>
      <c r="H117" s="191"/>
      <c r="I117" s="345">
        <v>443.83342500000009</v>
      </c>
      <c r="J117" s="345">
        <v>507.23820000000001</v>
      </c>
      <c r="K117" s="343">
        <v>845.39700000000005</v>
      </c>
      <c r="L117" s="344">
        <v>491.01499999999993</v>
      </c>
    </row>
    <row r="118" spans="2:12">
      <c r="B118" s="310">
        <v>136000</v>
      </c>
      <c r="C118" s="310">
        <v>419.83200000000005</v>
      </c>
      <c r="D118" s="310">
        <v>479.80800000000005</v>
      </c>
      <c r="E118" s="276">
        <v>799.68000000000018</v>
      </c>
      <c r="F118" s="304">
        <v>539.90719999999988</v>
      </c>
      <c r="H118" s="191"/>
      <c r="I118" s="345">
        <v>447.12108000000006</v>
      </c>
      <c r="J118" s="345">
        <v>510.99552000000006</v>
      </c>
      <c r="K118" s="343">
        <v>851.65920000000017</v>
      </c>
      <c r="L118" s="344">
        <v>487.92799999999994</v>
      </c>
    </row>
    <row r="119" spans="2:12">
      <c r="B119" s="310">
        <v>137000</v>
      </c>
      <c r="C119" s="310">
        <v>422.9190000000001</v>
      </c>
      <c r="D119" s="310">
        <v>483.33600000000007</v>
      </c>
      <c r="E119" s="276">
        <v>805.56000000000006</v>
      </c>
      <c r="F119" s="304">
        <v>537.2023999999999</v>
      </c>
      <c r="H119" s="191"/>
      <c r="I119" s="345">
        <v>450.40873500000009</v>
      </c>
      <c r="J119" s="345">
        <v>514.75284000000011</v>
      </c>
      <c r="K119" s="343">
        <v>857.92140000000006</v>
      </c>
      <c r="L119" s="344">
        <v>484.84099999999989</v>
      </c>
    </row>
    <row r="120" spans="2:12">
      <c r="B120" s="310">
        <v>138000</v>
      </c>
      <c r="C120" s="310">
        <v>426.00600000000009</v>
      </c>
      <c r="D120" s="310">
        <v>486.86400000000009</v>
      </c>
      <c r="E120" s="276">
        <v>811.44</v>
      </c>
      <c r="F120" s="304">
        <v>534.49759999999992</v>
      </c>
      <c r="H120" s="191"/>
      <c r="I120" s="345">
        <v>453.69639000000006</v>
      </c>
      <c r="J120" s="345">
        <v>518.51016000000004</v>
      </c>
      <c r="K120" s="343">
        <v>864.18360000000007</v>
      </c>
      <c r="L120" s="344">
        <v>481.75399999999991</v>
      </c>
    </row>
    <row r="121" spans="2:12">
      <c r="B121" s="310">
        <v>139000</v>
      </c>
      <c r="C121" s="310">
        <v>429.09300000000007</v>
      </c>
      <c r="D121" s="310">
        <v>490.39200000000005</v>
      </c>
      <c r="E121" s="276">
        <v>817.32</v>
      </c>
      <c r="F121" s="304">
        <v>531.79279999999994</v>
      </c>
      <c r="H121" s="191"/>
      <c r="I121" s="345">
        <v>456.98404500000009</v>
      </c>
      <c r="J121" s="345">
        <v>522.26748000000009</v>
      </c>
      <c r="K121" s="343">
        <v>870.44580000000008</v>
      </c>
      <c r="L121" s="344">
        <v>478.66699999999992</v>
      </c>
    </row>
    <row r="122" spans="2:12">
      <c r="B122" s="310">
        <v>140000</v>
      </c>
      <c r="C122" s="310">
        <v>432.18000000000006</v>
      </c>
      <c r="D122" s="310">
        <v>493.92000000000007</v>
      </c>
      <c r="E122" s="276">
        <v>823.20000000000016</v>
      </c>
      <c r="F122" s="304">
        <v>541.25800000000004</v>
      </c>
      <c r="H122" s="191"/>
      <c r="I122" s="345">
        <v>460.27170000000007</v>
      </c>
      <c r="J122" s="345">
        <v>526.02480000000003</v>
      </c>
      <c r="K122" s="343">
        <v>876.7080000000002</v>
      </c>
      <c r="L122" s="344">
        <v>487.74999999999994</v>
      </c>
    </row>
    <row r="123" spans="2:12">
      <c r="B123" s="310">
        <v>141000</v>
      </c>
      <c r="C123" s="310">
        <v>435.26700000000005</v>
      </c>
      <c r="D123" s="310">
        <v>497.44800000000009</v>
      </c>
      <c r="E123" s="276">
        <v>829.08</v>
      </c>
      <c r="F123" s="304">
        <v>538.55320000000006</v>
      </c>
      <c r="H123" s="191"/>
      <c r="I123" s="345">
        <v>463.55935500000004</v>
      </c>
      <c r="J123" s="345">
        <v>529.78212000000008</v>
      </c>
      <c r="K123" s="343">
        <v>882.97020000000009</v>
      </c>
      <c r="L123" s="344">
        <v>484.66299999999995</v>
      </c>
    </row>
    <row r="124" spans="2:12">
      <c r="B124" s="310">
        <v>142000</v>
      </c>
      <c r="C124" s="310">
        <v>438.3540000000001</v>
      </c>
      <c r="D124" s="310">
        <v>500.97600000000011</v>
      </c>
      <c r="E124" s="276">
        <v>834.96</v>
      </c>
      <c r="F124" s="304">
        <v>535.84839999999997</v>
      </c>
      <c r="H124" s="191"/>
      <c r="I124" s="345">
        <v>466.84701000000013</v>
      </c>
      <c r="J124" s="345">
        <v>533.53944000000013</v>
      </c>
      <c r="K124" s="343">
        <v>889.2324000000001</v>
      </c>
      <c r="L124" s="344">
        <v>481.57599999999991</v>
      </c>
    </row>
    <row r="125" spans="2:12">
      <c r="B125" s="310">
        <v>143000</v>
      </c>
      <c r="C125" s="310">
        <v>441.44100000000009</v>
      </c>
      <c r="D125" s="310">
        <v>504.50400000000013</v>
      </c>
      <c r="E125" s="276">
        <v>840.84000000000015</v>
      </c>
      <c r="F125" s="304">
        <v>533.14359999999988</v>
      </c>
      <c r="H125" s="191"/>
      <c r="I125" s="345">
        <v>470.1346650000001</v>
      </c>
      <c r="J125" s="345">
        <v>537.29676000000018</v>
      </c>
      <c r="K125" s="343">
        <v>895.4946000000001</v>
      </c>
      <c r="L125" s="344">
        <v>478.48899999999992</v>
      </c>
    </row>
    <row r="126" spans="2:12">
      <c r="B126" s="310">
        <v>144000</v>
      </c>
      <c r="C126" s="310">
        <v>444.52800000000008</v>
      </c>
      <c r="D126" s="310">
        <v>508.03199999999998</v>
      </c>
      <c r="E126" s="276">
        <v>846.72000000000014</v>
      </c>
      <c r="F126" s="304">
        <v>530.4387999999999</v>
      </c>
      <c r="H126" s="191"/>
      <c r="I126" s="345">
        <v>473.42232000000007</v>
      </c>
      <c r="J126" s="345">
        <v>541.05408</v>
      </c>
      <c r="K126" s="343">
        <v>901.75680000000011</v>
      </c>
      <c r="L126" s="344">
        <v>475.40199999999993</v>
      </c>
    </row>
    <row r="127" spans="2:12">
      <c r="B127" s="310">
        <v>145000</v>
      </c>
      <c r="C127" s="310">
        <v>447.61500000000001</v>
      </c>
      <c r="D127" s="310">
        <v>511.56</v>
      </c>
      <c r="E127" s="276">
        <v>852.6</v>
      </c>
      <c r="F127" s="304">
        <v>539.89400000000001</v>
      </c>
      <c r="H127" s="191"/>
      <c r="I127" s="345">
        <v>476.70997499999999</v>
      </c>
      <c r="J127" s="345">
        <v>544.81140000000005</v>
      </c>
      <c r="K127" s="343">
        <v>908.01900000000001</v>
      </c>
      <c r="L127" s="344">
        <v>484.47500000000002</v>
      </c>
    </row>
    <row r="128" spans="2:12">
      <c r="B128" s="310">
        <v>146000</v>
      </c>
      <c r="C128" s="310">
        <v>450.702</v>
      </c>
      <c r="D128" s="310">
        <v>515.08800000000008</v>
      </c>
      <c r="E128" s="276">
        <v>858.48</v>
      </c>
      <c r="F128" s="304">
        <v>537.18920000000003</v>
      </c>
      <c r="H128" s="191"/>
      <c r="I128" s="345">
        <v>479.99763000000002</v>
      </c>
      <c r="J128" s="345">
        <v>548.5687200000001</v>
      </c>
      <c r="K128" s="343">
        <v>914.28120000000001</v>
      </c>
      <c r="L128" s="344">
        <v>481.38800000000003</v>
      </c>
    </row>
    <row r="129" spans="2:12">
      <c r="B129" s="310">
        <v>147000</v>
      </c>
      <c r="C129" s="310">
        <v>453.78900000000004</v>
      </c>
      <c r="D129" s="310">
        <v>518.6160000000001</v>
      </c>
      <c r="E129" s="276">
        <v>864.36000000000013</v>
      </c>
      <c r="F129" s="304">
        <v>534.48440000000005</v>
      </c>
      <c r="H129" s="191"/>
      <c r="I129" s="345">
        <v>483.28528500000004</v>
      </c>
      <c r="J129" s="345">
        <v>552.32604000000015</v>
      </c>
      <c r="K129" s="343">
        <v>920.54340000000013</v>
      </c>
      <c r="L129" s="344">
        <v>478.30099999999999</v>
      </c>
    </row>
    <row r="130" spans="2:12">
      <c r="B130" s="310">
        <v>148000</v>
      </c>
      <c r="C130" s="310">
        <v>456.87600000000003</v>
      </c>
      <c r="D130" s="310">
        <v>522.14400000000012</v>
      </c>
      <c r="E130" s="276">
        <v>870.24000000000012</v>
      </c>
      <c r="F130" s="304">
        <v>531.77960000000007</v>
      </c>
      <c r="H130" s="191"/>
      <c r="I130" s="345">
        <v>486.57294000000002</v>
      </c>
      <c r="J130" s="345">
        <v>556.08336000000008</v>
      </c>
      <c r="K130" s="343">
        <v>926.80560000000014</v>
      </c>
      <c r="L130" s="344">
        <v>475.214</v>
      </c>
    </row>
    <row r="131" spans="2:12">
      <c r="B131" s="310">
        <v>149000</v>
      </c>
      <c r="C131" s="310">
        <v>459.96300000000002</v>
      </c>
      <c r="D131" s="310">
        <v>525.67200000000003</v>
      </c>
      <c r="E131" s="276">
        <v>876.12</v>
      </c>
      <c r="F131" s="304">
        <v>529.0748000000001</v>
      </c>
      <c r="H131" s="191"/>
      <c r="I131" s="345">
        <v>489.86059500000005</v>
      </c>
      <c r="J131" s="345">
        <v>559.84068000000002</v>
      </c>
      <c r="K131" s="343">
        <v>933.06780000000003</v>
      </c>
      <c r="L131" s="344">
        <v>472.12700000000001</v>
      </c>
    </row>
    <row r="132" spans="2:12">
      <c r="B132" s="310">
        <v>150000</v>
      </c>
      <c r="C132" s="310">
        <v>463.05</v>
      </c>
      <c r="D132" s="310">
        <v>529.20000000000005</v>
      </c>
      <c r="E132" s="276">
        <v>882.00000000000011</v>
      </c>
      <c r="F132" s="304">
        <v>538.53</v>
      </c>
      <c r="H132" s="191"/>
      <c r="I132" s="345">
        <v>493.14825000000002</v>
      </c>
      <c r="J132" s="345">
        <v>563.59800000000007</v>
      </c>
      <c r="K132" s="343">
        <v>939.33000000000015</v>
      </c>
      <c r="L132" s="344">
        <v>481.2</v>
      </c>
    </row>
    <row r="133" spans="2:12">
      <c r="B133" s="310">
        <v>151000</v>
      </c>
      <c r="C133" s="310">
        <v>439.50060000000008</v>
      </c>
      <c r="D133" s="310">
        <v>506.09160000000003</v>
      </c>
      <c r="E133" s="276">
        <v>887.88000000000011</v>
      </c>
      <c r="F133" s="304">
        <v>562.46159999999998</v>
      </c>
      <c r="H133" s="191"/>
      <c r="I133" s="345">
        <v>468.06813900000009</v>
      </c>
      <c r="J133" s="345">
        <v>538.98755400000005</v>
      </c>
      <c r="K133" s="343">
        <v>945.59220000000016</v>
      </c>
      <c r="L133" s="344">
        <v>504.74939999999992</v>
      </c>
    </row>
    <row r="134" spans="2:12">
      <c r="B134" s="310">
        <v>152000</v>
      </c>
      <c r="C134" s="310">
        <v>442.41120000000006</v>
      </c>
      <c r="D134" s="310">
        <v>509.4432000000001</v>
      </c>
      <c r="E134" s="276">
        <v>893.7600000000001</v>
      </c>
      <c r="F134" s="304">
        <v>559.93319999999994</v>
      </c>
      <c r="H134" s="191"/>
      <c r="I134" s="345">
        <v>471.16792800000007</v>
      </c>
      <c r="J134" s="345">
        <v>542.55700800000011</v>
      </c>
      <c r="K134" s="343">
        <v>951.85440000000017</v>
      </c>
      <c r="L134" s="344">
        <v>501.83879999999994</v>
      </c>
    </row>
    <row r="135" spans="2:12">
      <c r="B135" s="310">
        <v>153000</v>
      </c>
      <c r="C135" s="310">
        <v>445.32180000000011</v>
      </c>
      <c r="D135" s="310">
        <v>512.79480000000012</v>
      </c>
      <c r="E135" s="276">
        <v>899.64</v>
      </c>
      <c r="F135" s="304">
        <v>557.4047999999998</v>
      </c>
      <c r="H135" s="191"/>
      <c r="I135" s="345">
        <v>474.26771700000012</v>
      </c>
      <c r="J135" s="345">
        <v>546.12646200000017</v>
      </c>
      <c r="K135" s="343">
        <v>958.11659999999995</v>
      </c>
      <c r="L135" s="344">
        <v>498.92819999999989</v>
      </c>
    </row>
    <row r="136" spans="2:12">
      <c r="B136" s="310">
        <v>154000</v>
      </c>
      <c r="C136" s="310">
        <v>448.2324000000001</v>
      </c>
      <c r="D136" s="310">
        <v>516.14640000000009</v>
      </c>
      <c r="E136" s="276">
        <v>905.5200000000001</v>
      </c>
      <c r="F136" s="304">
        <v>554.87639999999988</v>
      </c>
      <c r="H136" s="191"/>
      <c r="I136" s="345">
        <v>477.36750600000011</v>
      </c>
      <c r="J136" s="345">
        <v>549.69591600000012</v>
      </c>
      <c r="K136" s="343">
        <v>964.37880000000007</v>
      </c>
      <c r="L136" s="344">
        <v>496.0175999999999</v>
      </c>
    </row>
    <row r="137" spans="2:12">
      <c r="B137" s="310">
        <v>155000</v>
      </c>
      <c r="C137" s="310">
        <v>451.14300000000003</v>
      </c>
      <c r="D137" s="310">
        <v>519.49800000000005</v>
      </c>
      <c r="E137" s="276">
        <v>911.40000000000009</v>
      </c>
      <c r="F137" s="304">
        <v>564.50799999999992</v>
      </c>
      <c r="H137" s="191"/>
      <c r="I137" s="345">
        <v>480.46729500000004</v>
      </c>
      <c r="J137" s="345">
        <v>553.26537000000008</v>
      </c>
      <c r="K137" s="343">
        <v>970.64100000000008</v>
      </c>
      <c r="L137" s="344">
        <v>505.26699999999994</v>
      </c>
    </row>
    <row r="138" spans="2:12">
      <c r="B138" s="310">
        <v>156000</v>
      </c>
      <c r="C138" s="310">
        <v>454.05360000000002</v>
      </c>
      <c r="D138" s="310">
        <v>522.84960000000012</v>
      </c>
      <c r="E138" s="276">
        <v>917.28000000000009</v>
      </c>
      <c r="F138" s="304">
        <v>561.97959999999989</v>
      </c>
      <c r="H138" s="191"/>
      <c r="I138" s="345">
        <v>483.56708400000002</v>
      </c>
      <c r="J138" s="345">
        <v>556.83482400000014</v>
      </c>
      <c r="K138" s="343">
        <v>976.90320000000008</v>
      </c>
      <c r="L138" s="344">
        <v>502.35639999999995</v>
      </c>
    </row>
    <row r="139" spans="2:12">
      <c r="B139" s="310">
        <v>157000</v>
      </c>
      <c r="C139" s="310">
        <v>456.96420000000012</v>
      </c>
      <c r="D139" s="310">
        <v>526.20120000000009</v>
      </c>
      <c r="E139" s="276">
        <v>923.1600000000002</v>
      </c>
      <c r="F139" s="304">
        <v>559.45119999999986</v>
      </c>
      <c r="H139" s="191"/>
      <c r="I139" s="345">
        <v>486.66687300000012</v>
      </c>
      <c r="J139" s="345">
        <v>560.40427800000009</v>
      </c>
      <c r="K139" s="343">
        <v>983.1654000000002</v>
      </c>
      <c r="L139" s="344">
        <v>499.44579999999985</v>
      </c>
    </row>
    <row r="140" spans="2:12">
      <c r="B140" s="310">
        <v>158000</v>
      </c>
      <c r="C140" s="310">
        <v>459.87480000000005</v>
      </c>
      <c r="D140" s="310">
        <v>529.55280000000005</v>
      </c>
      <c r="E140" s="276">
        <v>929.04000000000008</v>
      </c>
      <c r="F140" s="304">
        <v>556.92279999999994</v>
      </c>
      <c r="H140" s="191"/>
      <c r="I140" s="345">
        <v>489.76666200000005</v>
      </c>
      <c r="J140" s="345">
        <v>563.97373200000004</v>
      </c>
      <c r="K140" s="343">
        <v>989.4276000000001</v>
      </c>
      <c r="L140" s="344">
        <v>496.53519999999992</v>
      </c>
    </row>
    <row r="141" spans="2:12">
      <c r="B141" s="310">
        <v>159000</v>
      </c>
      <c r="C141" s="310">
        <v>462.78540000000004</v>
      </c>
      <c r="D141" s="310">
        <v>532.90440000000012</v>
      </c>
      <c r="E141" s="276">
        <v>934.92000000000007</v>
      </c>
      <c r="F141" s="304">
        <v>554.39439999999991</v>
      </c>
      <c r="H141" s="191"/>
      <c r="I141" s="345">
        <v>492.86645100000004</v>
      </c>
      <c r="J141" s="345">
        <v>567.54318600000011</v>
      </c>
      <c r="K141" s="343">
        <v>995.6898000000001</v>
      </c>
      <c r="L141" s="344">
        <v>493.62459999999993</v>
      </c>
    </row>
    <row r="142" spans="2:12">
      <c r="B142" s="310">
        <v>160000</v>
      </c>
      <c r="C142" s="310">
        <v>465.69600000000008</v>
      </c>
      <c r="D142" s="310">
        <v>536.25600000000009</v>
      </c>
      <c r="E142" s="276">
        <v>940.80000000000007</v>
      </c>
      <c r="F142" s="304">
        <v>564.03600000000006</v>
      </c>
      <c r="H142" s="191"/>
      <c r="I142" s="345">
        <v>495.96624000000008</v>
      </c>
      <c r="J142" s="345">
        <v>571.11264000000006</v>
      </c>
      <c r="K142" s="343">
        <v>1001.9520000000001</v>
      </c>
      <c r="L142" s="344">
        <v>502.88399999999996</v>
      </c>
    </row>
    <row r="143" spans="2:12">
      <c r="B143" s="310">
        <v>161000</v>
      </c>
      <c r="C143" s="310">
        <v>468.60660000000001</v>
      </c>
      <c r="D143" s="310">
        <v>539.60760000000005</v>
      </c>
      <c r="E143" s="276">
        <v>946.68000000000018</v>
      </c>
      <c r="F143" s="304">
        <v>561.50760000000014</v>
      </c>
      <c r="H143" s="191"/>
      <c r="I143" s="345">
        <v>499.06602900000001</v>
      </c>
      <c r="J143" s="345">
        <v>574.68209400000001</v>
      </c>
      <c r="K143" s="343">
        <v>1008.2142000000002</v>
      </c>
      <c r="L143" s="344">
        <v>499.97340000000003</v>
      </c>
    </row>
    <row r="144" spans="2:12">
      <c r="B144" s="310">
        <v>162000</v>
      </c>
      <c r="C144" s="310">
        <v>471.51720000000017</v>
      </c>
      <c r="D144" s="310">
        <v>542.95920000000012</v>
      </c>
      <c r="E144" s="276">
        <v>952.56000000000006</v>
      </c>
      <c r="F144" s="304">
        <v>558.97919999999976</v>
      </c>
      <c r="H144" s="191"/>
      <c r="I144" s="345">
        <v>502.16581800000017</v>
      </c>
      <c r="J144" s="345">
        <v>578.25154800000018</v>
      </c>
      <c r="K144" s="343">
        <v>1014.4764</v>
      </c>
      <c r="L144" s="344">
        <v>497.06279999999987</v>
      </c>
    </row>
    <row r="145" spans="2:12">
      <c r="B145" s="310">
        <v>163000</v>
      </c>
      <c r="C145" s="310">
        <v>474.4278000000001</v>
      </c>
      <c r="D145" s="310">
        <v>546.31080000000009</v>
      </c>
      <c r="E145" s="276">
        <v>958.44</v>
      </c>
      <c r="F145" s="304">
        <v>556.45079999999984</v>
      </c>
      <c r="H145" s="191"/>
      <c r="I145" s="345">
        <v>505.2656070000001</v>
      </c>
      <c r="J145" s="345">
        <v>581.82100200000014</v>
      </c>
      <c r="K145" s="343">
        <v>1020.7386</v>
      </c>
      <c r="L145" s="344">
        <v>494.15219999999994</v>
      </c>
    </row>
    <row r="146" spans="2:12">
      <c r="B146" s="310">
        <v>164000</v>
      </c>
      <c r="C146" s="310">
        <v>477.33840000000009</v>
      </c>
      <c r="D146" s="310">
        <v>549.66240000000005</v>
      </c>
      <c r="E146" s="276">
        <v>964.32000000000016</v>
      </c>
      <c r="F146" s="304">
        <v>553.92240000000004</v>
      </c>
      <c r="H146" s="191"/>
      <c r="I146" s="345">
        <v>508.36539600000009</v>
      </c>
      <c r="J146" s="345">
        <v>585.39045600000009</v>
      </c>
      <c r="K146" s="343">
        <v>1027.0008000000003</v>
      </c>
      <c r="L146" s="344">
        <v>491.24159999999995</v>
      </c>
    </row>
    <row r="147" spans="2:12">
      <c r="B147" s="310">
        <v>165000</v>
      </c>
      <c r="C147" s="310">
        <v>480.24900000000008</v>
      </c>
      <c r="D147" s="310">
        <v>553.01400000000012</v>
      </c>
      <c r="E147" s="276">
        <v>970.20000000000016</v>
      </c>
      <c r="F147" s="304">
        <v>563.55399999999986</v>
      </c>
      <c r="H147" s="191"/>
      <c r="I147" s="345">
        <v>511.46518500000008</v>
      </c>
      <c r="J147" s="345">
        <v>588.95991000000015</v>
      </c>
      <c r="K147" s="343">
        <v>1033.2630000000001</v>
      </c>
      <c r="L147" s="344">
        <v>500.49099999999993</v>
      </c>
    </row>
    <row r="148" spans="2:12">
      <c r="B148" s="310">
        <v>166000</v>
      </c>
      <c r="C148" s="310">
        <v>483.15960000000001</v>
      </c>
      <c r="D148" s="310">
        <v>556.36560000000009</v>
      </c>
      <c r="E148" s="276">
        <v>976.08</v>
      </c>
      <c r="F148" s="304">
        <v>561.02559999999994</v>
      </c>
      <c r="H148" s="191"/>
      <c r="I148" s="345">
        <v>514.56497400000001</v>
      </c>
      <c r="J148" s="345">
        <v>592.5293640000001</v>
      </c>
      <c r="K148" s="343">
        <v>1039.5252</v>
      </c>
      <c r="L148" s="344">
        <v>497.5804</v>
      </c>
    </row>
    <row r="149" spans="2:12">
      <c r="B149" s="310">
        <v>167000</v>
      </c>
      <c r="C149" s="310">
        <v>486.07020000000011</v>
      </c>
      <c r="D149" s="310">
        <v>559.71720000000016</v>
      </c>
      <c r="E149" s="276">
        <v>981.96</v>
      </c>
      <c r="F149" s="304">
        <v>558.49719999999979</v>
      </c>
      <c r="H149" s="191"/>
      <c r="I149" s="345">
        <v>517.66476300000011</v>
      </c>
      <c r="J149" s="345">
        <v>596.09881800000016</v>
      </c>
      <c r="K149" s="343">
        <v>1045.7873999999999</v>
      </c>
      <c r="L149" s="344">
        <v>494.6697999999999</v>
      </c>
    </row>
    <row r="150" spans="2:12">
      <c r="B150" s="310">
        <v>168000</v>
      </c>
      <c r="C150" s="310">
        <v>488.9808000000001</v>
      </c>
      <c r="D150" s="310">
        <v>563.06880000000012</v>
      </c>
      <c r="E150" s="276">
        <v>987.84000000000015</v>
      </c>
      <c r="F150" s="304">
        <v>555.96879999999987</v>
      </c>
      <c r="H150" s="191"/>
      <c r="I150" s="345">
        <v>520.76455200000009</v>
      </c>
      <c r="J150" s="345">
        <v>599.66827200000012</v>
      </c>
      <c r="K150" s="343">
        <v>1052.0496000000001</v>
      </c>
      <c r="L150" s="344">
        <v>491.75919999999991</v>
      </c>
    </row>
    <row r="151" spans="2:12">
      <c r="B151" s="310">
        <v>169000</v>
      </c>
      <c r="C151" s="310">
        <v>491.89140000000003</v>
      </c>
      <c r="D151" s="310">
        <v>566.42040000000009</v>
      </c>
      <c r="E151" s="276">
        <v>993.72000000000014</v>
      </c>
      <c r="F151" s="304">
        <v>553.44039999999995</v>
      </c>
      <c r="H151" s="191"/>
      <c r="I151" s="345">
        <v>523.86434100000008</v>
      </c>
      <c r="J151" s="345">
        <v>603.23772600000007</v>
      </c>
      <c r="K151" s="343">
        <v>1058.3118000000002</v>
      </c>
      <c r="L151" s="344">
        <v>488.84859999999998</v>
      </c>
    </row>
    <row r="152" spans="2:12">
      <c r="B152" s="310">
        <v>170000</v>
      </c>
      <c r="C152" s="310">
        <v>494.80200000000008</v>
      </c>
      <c r="D152" s="310">
        <v>569.77200000000005</v>
      </c>
      <c r="E152" s="276">
        <v>999.6</v>
      </c>
      <c r="F152" s="304">
        <v>563.07199999999989</v>
      </c>
      <c r="H152" s="191"/>
      <c r="I152" s="345">
        <v>526.96413000000007</v>
      </c>
      <c r="J152" s="345">
        <v>606.80718000000002</v>
      </c>
      <c r="K152" s="343">
        <v>1064.5740000000001</v>
      </c>
      <c r="L152" s="344">
        <v>498.0979999999999</v>
      </c>
    </row>
    <row r="153" spans="2:12">
      <c r="B153" s="310">
        <v>171000</v>
      </c>
      <c r="C153" s="310">
        <v>497.71260000000007</v>
      </c>
      <c r="D153" s="310">
        <v>573.12360000000001</v>
      </c>
      <c r="E153" s="276">
        <v>1005.4800000000001</v>
      </c>
      <c r="F153" s="304">
        <v>560.54359999999997</v>
      </c>
      <c r="H153" s="191"/>
      <c r="I153" s="345">
        <v>530.06391900000006</v>
      </c>
      <c r="J153" s="345">
        <v>610.37663399999997</v>
      </c>
      <c r="K153" s="343">
        <v>1070.8362000000002</v>
      </c>
      <c r="L153" s="344">
        <v>495.18739999999991</v>
      </c>
    </row>
    <row r="154" spans="2:12">
      <c r="B154" s="310">
        <v>172000</v>
      </c>
      <c r="C154" s="310">
        <v>500.62320000000005</v>
      </c>
      <c r="D154" s="310">
        <v>576.47520000000009</v>
      </c>
      <c r="E154" s="276">
        <v>1011.3600000000001</v>
      </c>
      <c r="F154" s="304">
        <v>558.01519999999982</v>
      </c>
      <c r="H154" s="191"/>
      <c r="I154" s="345">
        <v>533.16370800000004</v>
      </c>
      <c r="J154" s="345">
        <v>613.94608800000015</v>
      </c>
      <c r="K154" s="343">
        <v>1077.0984000000001</v>
      </c>
      <c r="L154" s="344">
        <v>492.27679999999992</v>
      </c>
    </row>
    <row r="155" spans="2:12">
      <c r="B155" s="310">
        <v>173000</v>
      </c>
      <c r="C155" s="310">
        <v>503.53380000000016</v>
      </c>
      <c r="D155" s="310">
        <v>579.82680000000005</v>
      </c>
      <c r="E155" s="276">
        <v>1017.2400000000001</v>
      </c>
      <c r="F155" s="304">
        <v>555.4867999999999</v>
      </c>
      <c r="H155" s="191"/>
      <c r="I155" s="345">
        <v>536.26349700000014</v>
      </c>
      <c r="J155" s="345">
        <v>617.5155420000001</v>
      </c>
      <c r="K155" s="343">
        <v>1083.3606000000002</v>
      </c>
      <c r="L155" s="344">
        <v>489.36619999999982</v>
      </c>
    </row>
    <row r="156" spans="2:12">
      <c r="B156" s="310">
        <v>174000</v>
      </c>
      <c r="C156" s="310">
        <v>506.44440000000009</v>
      </c>
      <c r="D156" s="310">
        <v>583.17840000000012</v>
      </c>
      <c r="E156" s="276">
        <v>1023.12</v>
      </c>
      <c r="F156" s="304">
        <v>552.95839999999998</v>
      </c>
      <c r="H156" s="191"/>
      <c r="I156" s="345">
        <v>539.36328600000013</v>
      </c>
      <c r="J156" s="345">
        <v>621.08499600000016</v>
      </c>
      <c r="K156" s="343">
        <v>1089.6228000000001</v>
      </c>
      <c r="L156" s="344">
        <v>486.45559999999989</v>
      </c>
    </row>
    <row r="157" spans="2:12">
      <c r="B157" s="310">
        <v>175000</v>
      </c>
      <c r="C157" s="310">
        <v>509.35500000000002</v>
      </c>
      <c r="D157" s="310">
        <v>586.53000000000009</v>
      </c>
      <c r="E157" s="276">
        <v>1029.0000000000002</v>
      </c>
      <c r="F157" s="304">
        <v>562.6</v>
      </c>
      <c r="H157" s="191"/>
      <c r="I157" s="345">
        <v>542.463075</v>
      </c>
      <c r="J157" s="345">
        <v>624.65445000000011</v>
      </c>
      <c r="K157" s="343">
        <v>1095.8850000000002</v>
      </c>
      <c r="L157" s="344">
        <v>495.71500000000003</v>
      </c>
    </row>
    <row r="158" spans="2:12">
      <c r="B158" s="310">
        <v>176000</v>
      </c>
      <c r="C158" s="310">
        <v>512.26560000000006</v>
      </c>
      <c r="D158" s="310">
        <v>589.88160000000005</v>
      </c>
      <c r="E158" s="276">
        <v>1034.8800000000001</v>
      </c>
      <c r="F158" s="304">
        <v>560.07159999999999</v>
      </c>
      <c r="H158" s="191"/>
      <c r="I158" s="345">
        <v>545.5628640000001</v>
      </c>
      <c r="J158" s="345">
        <v>628.22390400000006</v>
      </c>
      <c r="K158" s="343">
        <v>1102.1472000000001</v>
      </c>
      <c r="L158" s="344">
        <v>492.80439999999999</v>
      </c>
    </row>
    <row r="159" spans="2:12">
      <c r="B159" s="310">
        <v>177000</v>
      </c>
      <c r="C159" s="310">
        <v>515.17620000000011</v>
      </c>
      <c r="D159" s="310">
        <v>593.23320000000012</v>
      </c>
      <c r="E159" s="276">
        <v>1040.76</v>
      </c>
      <c r="F159" s="304">
        <v>557.54319999999996</v>
      </c>
      <c r="H159" s="191"/>
      <c r="I159" s="345">
        <v>548.66265300000009</v>
      </c>
      <c r="J159" s="345">
        <v>631.79335800000013</v>
      </c>
      <c r="K159" s="343">
        <v>1108.4094</v>
      </c>
      <c r="L159" s="344">
        <v>489.89379999999994</v>
      </c>
    </row>
    <row r="160" spans="2:12">
      <c r="B160" s="310">
        <v>178000</v>
      </c>
      <c r="C160" s="310">
        <v>518.08680000000004</v>
      </c>
      <c r="D160" s="310">
        <v>596.58480000000009</v>
      </c>
      <c r="E160" s="276">
        <v>1046.6400000000001</v>
      </c>
      <c r="F160" s="304">
        <v>555.01480000000004</v>
      </c>
      <c r="H160" s="191"/>
      <c r="I160" s="345">
        <v>551.76244200000008</v>
      </c>
      <c r="J160" s="345">
        <v>635.36281200000008</v>
      </c>
      <c r="K160" s="343">
        <v>1114.6716000000001</v>
      </c>
      <c r="L160" s="344">
        <v>486.98320000000001</v>
      </c>
    </row>
    <row r="161" spans="2:12">
      <c r="B161" s="310">
        <v>179000</v>
      </c>
      <c r="C161" s="310">
        <v>520.99740000000008</v>
      </c>
      <c r="D161" s="310">
        <v>599.93640000000016</v>
      </c>
      <c r="E161" s="276">
        <v>1052.5200000000002</v>
      </c>
      <c r="F161" s="304">
        <v>552.4864</v>
      </c>
      <c r="H161" s="191"/>
      <c r="I161" s="345">
        <v>554.86223100000007</v>
      </c>
      <c r="J161" s="345">
        <v>638.93226600000014</v>
      </c>
      <c r="K161" s="343">
        <v>1120.9338000000002</v>
      </c>
      <c r="L161" s="344">
        <v>484.07259999999997</v>
      </c>
    </row>
    <row r="162" spans="2:12">
      <c r="B162" s="310">
        <v>180000</v>
      </c>
      <c r="C162" s="310">
        <v>523.90800000000002</v>
      </c>
      <c r="D162" s="310">
        <v>603.28800000000012</v>
      </c>
      <c r="E162" s="276">
        <v>1058.4000000000001</v>
      </c>
      <c r="F162" s="304">
        <v>562.11800000000005</v>
      </c>
      <c r="H162" s="191"/>
      <c r="I162" s="345">
        <v>557.96202000000005</v>
      </c>
      <c r="J162" s="345">
        <v>642.50172000000009</v>
      </c>
      <c r="K162" s="343">
        <v>1127.1960000000001</v>
      </c>
      <c r="L162" s="344">
        <v>493.322</v>
      </c>
    </row>
    <row r="163" spans="2:12">
      <c r="B163" s="310">
        <v>181000</v>
      </c>
      <c r="C163" s="310">
        <v>526.81859999999995</v>
      </c>
      <c r="D163" s="310">
        <v>606.63960000000009</v>
      </c>
      <c r="E163" s="276">
        <v>1064.28</v>
      </c>
      <c r="F163" s="304">
        <v>559.58960000000013</v>
      </c>
      <c r="H163" s="191"/>
      <c r="I163" s="345">
        <v>561.06180899999993</v>
      </c>
      <c r="J163" s="345">
        <v>646.07117400000004</v>
      </c>
      <c r="K163" s="343">
        <v>1133.4582</v>
      </c>
      <c r="L163" s="344">
        <v>490.41140000000007</v>
      </c>
    </row>
    <row r="164" spans="2:12">
      <c r="B164" s="310">
        <v>182000</v>
      </c>
      <c r="C164" s="310">
        <v>529.72920000000011</v>
      </c>
      <c r="D164" s="310">
        <v>609.99120000000016</v>
      </c>
      <c r="E164" s="276">
        <v>1070.1600000000001</v>
      </c>
      <c r="F164" s="304">
        <v>557.06119999999999</v>
      </c>
      <c r="H164" s="191"/>
      <c r="I164" s="345">
        <v>564.16159800000014</v>
      </c>
      <c r="J164" s="345">
        <v>649.64062800000022</v>
      </c>
      <c r="K164" s="343">
        <v>1139.7204000000002</v>
      </c>
      <c r="L164" s="344">
        <v>487.50079999999991</v>
      </c>
    </row>
    <row r="165" spans="2:12">
      <c r="B165" s="310">
        <v>183000</v>
      </c>
      <c r="C165" s="310">
        <v>532.63980000000004</v>
      </c>
      <c r="D165" s="310">
        <v>613.34280000000012</v>
      </c>
      <c r="E165" s="276">
        <v>1076.0400000000002</v>
      </c>
      <c r="F165" s="304">
        <v>554.53280000000007</v>
      </c>
      <c r="H165" s="191"/>
      <c r="I165" s="345">
        <v>567.26138700000001</v>
      </c>
      <c r="J165" s="345">
        <v>653.21008200000017</v>
      </c>
      <c r="K165" s="343">
        <v>1145.9826000000003</v>
      </c>
      <c r="L165" s="344">
        <v>484.59019999999998</v>
      </c>
    </row>
    <row r="166" spans="2:12">
      <c r="B166" s="310">
        <v>184000</v>
      </c>
      <c r="C166" s="310">
        <v>535.5504000000002</v>
      </c>
      <c r="D166" s="310">
        <v>616.69440000000009</v>
      </c>
      <c r="E166" s="276">
        <v>1081.92</v>
      </c>
      <c r="F166" s="304">
        <v>552.00439999999992</v>
      </c>
      <c r="H166" s="191"/>
      <c r="I166" s="345">
        <v>570.36117600000023</v>
      </c>
      <c r="J166" s="345">
        <v>656.77953600000012</v>
      </c>
      <c r="K166" s="343">
        <v>1152.2448000000002</v>
      </c>
      <c r="L166" s="344">
        <v>481.67959999999982</v>
      </c>
    </row>
    <row r="167" spans="2:12">
      <c r="B167" s="310">
        <v>185000</v>
      </c>
      <c r="C167" s="310">
        <v>538.46100000000013</v>
      </c>
      <c r="D167" s="310">
        <v>620.04600000000016</v>
      </c>
      <c r="E167" s="276">
        <v>1087.8</v>
      </c>
      <c r="F167" s="304">
        <v>561.63599999999997</v>
      </c>
      <c r="H167" s="191"/>
      <c r="I167" s="345">
        <v>573.4609650000001</v>
      </c>
      <c r="J167" s="345">
        <v>660.34899000000019</v>
      </c>
      <c r="K167" s="343">
        <v>1158.5070000000001</v>
      </c>
      <c r="L167" s="344">
        <v>490.92899999999986</v>
      </c>
    </row>
    <row r="168" spans="2:12">
      <c r="B168" s="310">
        <v>186000</v>
      </c>
      <c r="C168" s="310">
        <v>541.37160000000006</v>
      </c>
      <c r="D168" s="310">
        <v>623.39760000000012</v>
      </c>
      <c r="E168" s="276">
        <v>1093.68</v>
      </c>
      <c r="F168" s="304">
        <v>559.10760000000005</v>
      </c>
      <c r="H168" s="191"/>
      <c r="I168" s="345">
        <v>576.56075400000009</v>
      </c>
      <c r="J168" s="345">
        <v>663.91844400000014</v>
      </c>
      <c r="K168" s="343">
        <v>1164.7692000000002</v>
      </c>
      <c r="L168" s="344">
        <v>488.01839999999993</v>
      </c>
    </row>
    <row r="169" spans="2:12">
      <c r="B169" s="310">
        <v>187000</v>
      </c>
      <c r="C169" s="310">
        <v>544.28220000000022</v>
      </c>
      <c r="D169" s="310">
        <v>626.74920000000009</v>
      </c>
      <c r="E169" s="276">
        <v>1099.5600000000002</v>
      </c>
      <c r="F169" s="304">
        <v>556.5791999999999</v>
      </c>
      <c r="H169" s="191"/>
      <c r="I169" s="345">
        <v>579.66054300000019</v>
      </c>
      <c r="J169" s="345">
        <v>667.48789800000009</v>
      </c>
      <c r="K169" s="343">
        <v>1171.0314000000003</v>
      </c>
      <c r="L169" s="344">
        <v>485.10779999999977</v>
      </c>
    </row>
    <row r="170" spans="2:12">
      <c r="B170" s="310">
        <v>188000</v>
      </c>
      <c r="C170" s="310">
        <v>547.19280000000015</v>
      </c>
      <c r="D170" s="310">
        <v>630.10080000000016</v>
      </c>
      <c r="E170" s="276">
        <v>1105.44</v>
      </c>
      <c r="F170" s="304">
        <v>554.05079999999975</v>
      </c>
      <c r="H170" s="191"/>
      <c r="I170" s="345">
        <v>582.76033200000018</v>
      </c>
      <c r="J170" s="345">
        <v>671.05735200000015</v>
      </c>
      <c r="K170" s="343">
        <v>1177.2936</v>
      </c>
      <c r="L170" s="344">
        <v>482.19719999999984</v>
      </c>
    </row>
    <row r="171" spans="2:12">
      <c r="B171" s="310">
        <v>189000</v>
      </c>
      <c r="C171" s="310">
        <v>550.10340000000008</v>
      </c>
      <c r="D171" s="310">
        <v>633.45240000000013</v>
      </c>
      <c r="E171" s="276">
        <v>1111.3200000000002</v>
      </c>
      <c r="F171" s="304">
        <v>551.52239999999983</v>
      </c>
      <c r="H171" s="191"/>
      <c r="I171" s="345">
        <v>585.86012100000005</v>
      </c>
      <c r="J171" s="345">
        <v>674.6268060000001</v>
      </c>
      <c r="K171" s="343">
        <v>1183.5558000000001</v>
      </c>
      <c r="L171" s="344">
        <v>479.28659999999991</v>
      </c>
    </row>
    <row r="172" spans="2:12">
      <c r="B172" s="310">
        <v>190000</v>
      </c>
      <c r="C172" s="310">
        <v>553.01400000000012</v>
      </c>
      <c r="D172" s="310">
        <v>636.80400000000009</v>
      </c>
      <c r="E172" s="276">
        <v>1117.2</v>
      </c>
      <c r="F172" s="304">
        <v>561.15399999999977</v>
      </c>
      <c r="H172" s="191"/>
      <c r="I172" s="345">
        <v>588.95991000000015</v>
      </c>
      <c r="J172" s="345">
        <v>678.19626000000005</v>
      </c>
      <c r="K172" s="343">
        <v>1189.818</v>
      </c>
      <c r="L172" s="344">
        <v>488.53599999999983</v>
      </c>
    </row>
    <row r="173" spans="2:12">
      <c r="B173" s="310">
        <v>191000</v>
      </c>
      <c r="C173" s="310">
        <v>555.92460000000005</v>
      </c>
      <c r="D173" s="310">
        <v>640.15560000000016</v>
      </c>
      <c r="E173" s="276">
        <v>1123.0800000000002</v>
      </c>
      <c r="F173" s="304">
        <v>558.62559999999985</v>
      </c>
      <c r="H173" s="191"/>
      <c r="I173" s="345">
        <v>592.05969900000002</v>
      </c>
      <c r="J173" s="345">
        <v>681.76571400000012</v>
      </c>
      <c r="K173" s="343">
        <v>1196.0802000000001</v>
      </c>
      <c r="L173" s="344">
        <v>485.6253999999999</v>
      </c>
    </row>
    <row r="174" spans="2:12">
      <c r="B174" s="310">
        <v>192000</v>
      </c>
      <c r="C174" s="310">
        <v>558.8352000000001</v>
      </c>
      <c r="D174" s="310">
        <v>643.50720000000013</v>
      </c>
      <c r="E174" s="276">
        <v>1128.96</v>
      </c>
      <c r="F174" s="304">
        <v>561.55034136125641</v>
      </c>
      <c r="H174" s="191"/>
      <c r="I174" s="345">
        <v>595.15948800000012</v>
      </c>
      <c r="J174" s="345">
        <v>685.33516800000018</v>
      </c>
      <c r="K174" s="343">
        <v>1202.3424</v>
      </c>
      <c r="L174" s="344">
        <v>488.1679413612564</v>
      </c>
    </row>
    <row r="175" spans="2:12">
      <c r="B175" s="310">
        <v>193000</v>
      </c>
      <c r="C175" s="310">
        <v>561.74580000000014</v>
      </c>
      <c r="D175" s="310">
        <v>646.85880000000009</v>
      </c>
      <c r="E175" s="276">
        <v>1134.8400000000001</v>
      </c>
      <c r="F175" s="304">
        <v>564.47508272251298</v>
      </c>
      <c r="H175" s="191"/>
      <c r="I175" s="345">
        <v>598.25927700000011</v>
      </c>
      <c r="J175" s="345">
        <v>688.90462200000013</v>
      </c>
      <c r="K175" s="343">
        <v>1208.6046000000001</v>
      </c>
      <c r="L175" s="344">
        <v>490.71048272251295</v>
      </c>
    </row>
    <row r="176" spans="2:12">
      <c r="B176" s="310">
        <v>194000</v>
      </c>
      <c r="C176" s="310">
        <v>564.65640000000008</v>
      </c>
      <c r="D176" s="310">
        <v>650.21040000000016</v>
      </c>
      <c r="E176" s="276">
        <v>1140.72</v>
      </c>
      <c r="F176" s="304">
        <v>567.39982408376954</v>
      </c>
      <c r="H176" s="191"/>
      <c r="I176" s="345">
        <v>601.3590660000001</v>
      </c>
      <c r="J176" s="345">
        <v>692.4740760000002</v>
      </c>
      <c r="K176" s="343">
        <v>1214.8668</v>
      </c>
      <c r="L176" s="344">
        <v>493.2530240837695</v>
      </c>
    </row>
    <row r="177" spans="2:12">
      <c r="B177" s="310">
        <v>195000</v>
      </c>
      <c r="C177" s="310">
        <v>567.56700000000001</v>
      </c>
      <c r="D177" s="310">
        <v>653.56200000000013</v>
      </c>
      <c r="E177" s="276">
        <v>1146.6000000000001</v>
      </c>
      <c r="F177" s="304">
        <v>570.32456544502611</v>
      </c>
      <c r="H177" s="191"/>
      <c r="I177" s="345">
        <v>604.45885499999997</v>
      </c>
      <c r="J177" s="345">
        <v>696.04353000000015</v>
      </c>
      <c r="K177" s="343">
        <v>1221.1290000000001</v>
      </c>
      <c r="L177" s="344">
        <v>495.79556544502606</v>
      </c>
    </row>
    <row r="178" spans="2:12">
      <c r="B178" s="310">
        <v>196000</v>
      </c>
      <c r="C178" s="310">
        <v>570.47760000000005</v>
      </c>
      <c r="D178" s="310">
        <v>656.91359999999997</v>
      </c>
      <c r="E178" s="276">
        <v>1152.4800000000002</v>
      </c>
      <c r="F178" s="304">
        <v>573.24930680628268</v>
      </c>
      <c r="H178" s="191"/>
      <c r="I178" s="345">
        <v>607.55864400000007</v>
      </c>
      <c r="J178" s="345">
        <v>699.61298399999998</v>
      </c>
      <c r="K178" s="343">
        <v>1227.3912000000003</v>
      </c>
      <c r="L178" s="344">
        <v>498.33810680628261</v>
      </c>
    </row>
    <row r="179" spans="2:12">
      <c r="B179" s="310">
        <v>197000</v>
      </c>
      <c r="C179" s="310">
        <v>573.3882000000001</v>
      </c>
      <c r="D179" s="310">
        <v>660.26520000000016</v>
      </c>
      <c r="E179" s="276">
        <v>1158.3600000000001</v>
      </c>
      <c r="F179" s="304">
        <v>576.17404816753924</v>
      </c>
      <c r="H179" s="191"/>
      <c r="I179" s="345">
        <v>610.65843300000006</v>
      </c>
      <c r="J179" s="345">
        <v>703.18243800000016</v>
      </c>
      <c r="K179" s="343">
        <v>1233.6534000000001</v>
      </c>
      <c r="L179" s="344">
        <v>500.88064816753916</v>
      </c>
    </row>
    <row r="180" spans="2:12">
      <c r="B180" s="310">
        <v>198000</v>
      </c>
      <c r="C180" s="310">
        <v>576.29880000000014</v>
      </c>
      <c r="D180" s="310">
        <v>663.61680000000013</v>
      </c>
      <c r="E180" s="276">
        <v>1164.24</v>
      </c>
      <c r="F180" s="304">
        <v>579.09878952879581</v>
      </c>
      <c r="H180" s="191"/>
      <c r="I180" s="345">
        <v>613.75822200000016</v>
      </c>
      <c r="J180" s="345">
        <v>706.75189200000011</v>
      </c>
      <c r="K180" s="343">
        <v>1239.9156</v>
      </c>
      <c r="L180" s="344">
        <v>503.42318952879572</v>
      </c>
    </row>
    <row r="181" spans="2:12">
      <c r="B181" s="310">
        <v>199000</v>
      </c>
      <c r="C181" s="310">
        <v>579.20940000000007</v>
      </c>
      <c r="D181" s="310">
        <v>666.96840000000009</v>
      </c>
      <c r="E181" s="276">
        <v>1170.1200000000001</v>
      </c>
      <c r="F181" s="304">
        <v>582.02353089005237</v>
      </c>
      <c r="H181" s="191"/>
      <c r="I181" s="345">
        <v>616.85801100000003</v>
      </c>
      <c r="J181" s="345">
        <v>710.32134600000006</v>
      </c>
      <c r="K181" s="343">
        <v>1246.1778000000002</v>
      </c>
      <c r="L181" s="344">
        <v>505.96573089005227</v>
      </c>
    </row>
    <row r="182" spans="2:12">
      <c r="B182" s="310">
        <v>200000</v>
      </c>
      <c r="C182" s="310">
        <v>582.12</v>
      </c>
      <c r="D182" s="310">
        <v>670.32</v>
      </c>
      <c r="E182" s="276">
        <v>1176.0000000000002</v>
      </c>
      <c r="F182" s="304">
        <v>584.94827225130871</v>
      </c>
      <c r="H182" s="191"/>
      <c r="I182" s="345">
        <v>619.95780000000002</v>
      </c>
      <c r="J182" s="345">
        <v>713.89080000000001</v>
      </c>
      <c r="K182" s="343">
        <v>1252.4400000000003</v>
      </c>
      <c r="L182" s="344">
        <v>508.50827225130871</v>
      </c>
    </row>
    <row r="183" spans="2:12">
      <c r="B183" s="310">
        <v>201000</v>
      </c>
      <c r="C183" s="310">
        <v>559.42320000000007</v>
      </c>
      <c r="D183" s="310">
        <v>638.21519999999998</v>
      </c>
      <c r="E183" s="276">
        <v>1181.8800000000001</v>
      </c>
      <c r="F183" s="304">
        <v>587.87301361256527</v>
      </c>
      <c r="H183" s="191"/>
      <c r="I183" s="345">
        <v>595.78570800000011</v>
      </c>
      <c r="J183" s="345">
        <v>679.69918799999994</v>
      </c>
      <c r="K183" s="343">
        <v>1258.7022000000002</v>
      </c>
      <c r="L183" s="344">
        <v>511.05081361256526</v>
      </c>
    </row>
    <row r="184" spans="2:12">
      <c r="B184" s="310">
        <v>202000</v>
      </c>
      <c r="C184" s="310">
        <v>562.20640000000014</v>
      </c>
      <c r="D184" s="310">
        <v>641.39040000000011</v>
      </c>
      <c r="E184" s="276">
        <v>1187.76</v>
      </c>
      <c r="F184" s="304">
        <v>590.79775497382195</v>
      </c>
      <c r="H184" s="191"/>
      <c r="I184" s="345">
        <v>598.74981600000012</v>
      </c>
      <c r="J184" s="345">
        <v>683.08077600000013</v>
      </c>
      <c r="K184" s="343">
        <v>1264.9644000000001</v>
      </c>
      <c r="L184" s="344">
        <v>513.59335497382187</v>
      </c>
    </row>
    <row r="185" spans="2:12">
      <c r="B185" s="310">
        <v>203000</v>
      </c>
      <c r="C185" s="310">
        <v>564.98960000000011</v>
      </c>
      <c r="D185" s="310">
        <v>644.56560000000013</v>
      </c>
      <c r="E185" s="276">
        <v>1193.6400000000001</v>
      </c>
      <c r="F185" s="304">
        <v>593.72249633507852</v>
      </c>
      <c r="H185" s="191"/>
      <c r="I185" s="345">
        <v>601.71392400000013</v>
      </c>
      <c r="J185" s="345">
        <v>686.46236400000009</v>
      </c>
      <c r="K185" s="343">
        <v>1271.2266000000002</v>
      </c>
      <c r="L185" s="344">
        <v>516.13589633507843</v>
      </c>
    </row>
    <row r="186" spans="2:12">
      <c r="B186" s="310">
        <v>204000</v>
      </c>
      <c r="C186" s="310">
        <v>567.77280000000007</v>
      </c>
      <c r="D186" s="310">
        <v>647.74080000000004</v>
      </c>
      <c r="E186" s="276">
        <v>1199.5200000000002</v>
      </c>
      <c r="F186" s="304">
        <v>596.64723769633508</v>
      </c>
      <c r="H186" s="191"/>
      <c r="I186" s="345">
        <v>604.67803200000003</v>
      </c>
      <c r="J186" s="345">
        <v>689.84395200000006</v>
      </c>
      <c r="K186" s="343">
        <v>1277.4888000000003</v>
      </c>
      <c r="L186" s="344">
        <v>518.67843769633498</v>
      </c>
    </row>
    <row r="187" spans="2:12">
      <c r="B187" s="310">
        <v>205000</v>
      </c>
      <c r="C187" s="310">
        <v>570.55600000000015</v>
      </c>
      <c r="D187" s="310">
        <v>650.91600000000005</v>
      </c>
      <c r="E187" s="276">
        <v>1205.4000000000001</v>
      </c>
      <c r="F187" s="304">
        <v>599.57197905759165</v>
      </c>
      <c r="H187" s="191"/>
      <c r="I187" s="345">
        <v>607.64214000000015</v>
      </c>
      <c r="J187" s="345">
        <v>693.22554000000002</v>
      </c>
      <c r="K187" s="343">
        <v>1283.7510000000002</v>
      </c>
      <c r="L187" s="344">
        <v>521.22097905759153</v>
      </c>
    </row>
    <row r="188" spans="2:12">
      <c r="B188" s="310">
        <v>206000</v>
      </c>
      <c r="C188" s="310">
        <v>573.33920000000012</v>
      </c>
      <c r="D188" s="310">
        <v>654.09120000000007</v>
      </c>
      <c r="E188" s="276">
        <v>1211.28</v>
      </c>
      <c r="F188" s="304">
        <v>602.49672041884799</v>
      </c>
      <c r="H188" s="191"/>
      <c r="I188" s="345">
        <v>610.60624800000016</v>
      </c>
      <c r="J188" s="345">
        <v>696.6071280000001</v>
      </c>
      <c r="K188" s="343">
        <v>1290.0131999999999</v>
      </c>
      <c r="L188" s="344">
        <v>523.76352041884809</v>
      </c>
    </row>
    <row r="189" spans="2:12">
      <c r="B189" s="310">
        <v>207000</v>
      </c>
      <c r="C189" s="310">
        <v>576.12240000000008</v>
      </c>
      <c r="D189" s="310">
        <v>657.26639999999998</v>
      </c>
      <c r="E189" s="276">
        <v>1217.1600000000001</v>
      </c>
      <c r="F189" s="304">
        <v>605.42146178010444</v>
      </c>
      <c r="H189" s="191"/>
      <c r="I189" s="345">
        <v>613.57035600000006</v>
      </c>
      <c r="J189" s="345">
        <v>699.98871599999995</v>
      </c>
      <c r="K189" s="343">
        <v>1296.2754</v>
      </c>
      <c r="L189" s="344">
        <v>526.30606178010453</v>
      </c>
    </row>
    <row r="190" spans="2:12">
      <c r="B190" s="310">
        <v>208000</v>
      </c>
      <c r="C190" s="310">
        <v>578.90560000000016</v>
      </c>
      <c r="D190" s="310">
        <v>660.44159999999999</v>
      </c>
      <c r="E190" s="276">
        <v>1223.0400000000002</v>
      </c>
      <c r="F190" s="304">
        <v>608.346203141361</v>
      </c>
      <c r="H190" s="191"/>
      <c r="I190" s="345">
        <v>616.53446400000018</v>
      </c>
      <c r="J190" s="345">
        <v>703.37030400000003</v>
      </c>
      <c r="K190" s="343">
        <v>1302.5376000000001</v>
      </c>
      <c r="L190" s="344">
        <v>528.84860314136108</v>
      </c>
    </row>
    <row r="191" spans="2:12">
      <c r="B191" s="310">
        <v>209000</v>
      </c>
      <c r="C191" s="310">
        <v>581.68880000000013</v>
      </c>
      <c r="D191" s="310">
        <v>663.61680000000001</v>
      </c>
      <c r="E191" s="276">
        <v>1228.92</v>
      </c>
      <c r="F191" s="304">
        <v>611.27094450261757</v>
      </c>
      <c r="H191" s="191"/>
      <c r="I191" s="345">
        <v>619.49857200000019</v>
      </c>
      <c r="J191" s="345">
        <v>706.751892</v>
      </c>
      <c r="K191" s="343">
        <v>1308.7998</v>
      </c>
      <c r="L191" s="344">
        <v>531.39114450261764</v>
      </c>
    </row>
    <row r="192" spans="2:12">
      <c r="B192" s="310">
        <v>210000</v>
      </c>
      <c r="C192" s="310">
        <v>584.47200000000009</v>
      </c>
      <c r="D192" s="310">
        <v>666.79200000000014</v>
      </c>
      <c r="E192" s="276">
        <v>1234.8000000000002</v>
      </c>
      <c r="F192" s="304">
        <v>614.19568586387413</v>
      </c>
      <c r="H192" s="191"/>
      <c r="I192" s="345">
        <v>622.46268000000009</v>
      </c>
      <c r="J192" s="345">
        <v>710.13348000000019</v>
      </c>
      <c r="K192" s="343">
        <v>1315.0620000000001</v>
      </c>
      <c r="L192" s="344">
        <v>533.93368586387419</v>
      </c>
    </row>
    <row r="193" spans="2:12">
      <c r="B193" s="310">
        <v>211000</v>
      </c>
      <c r="C193" s="310">
        <v>587.25520000000006</v>
      </c>
      <c r="D193" s="310">
        <v>669.96720000000016</v>
      </c>
      <c r="E193" s="276">
        <v>1240.68</v>
      </c>
      <c r="F193" s="304">
        <v>617.1204272251307</v>
      </c>
      <c r="H193" s="191"/>
      <c r="I193" s="345">
        <v>625.4267880000001</v>
      </c>
      <c r="J193" s="345">
        <v>713.51506800000016</v>
      </c>
      <c r="K193" s="343">
        <v>1321.3242</v>
      </c>
      <c r="L193" s="344">
        <v>536.47622722513074</v>
      </c>
    </row>
    <row r="194" spans="2:12">
      <c r="B194" s="310">
        <v>212000</v>
      </c>
      <c r="C194" s="310">
        <v>590.03840000000002</v>
      </c>
      <c r="D194" s="310">
        <v>673.14240000000007</v>
      </c>
      <c r="E194" s="276">
        <v>1246.5600000000002</v>
      </c>
      <c r="F194" s="304">
        <v>620.04516858638726</v>
      </c>
      <c r="H194" s="191"/>
      <c r="I194" s="345">
        <v>628.390896</v>
      </c>
      <c r="J194" s="345">
        <v>716.89665600000012</v>
      </c>
      <c r="K194" s="343">
        <v>1327.5864000000001</v>
      </c>
      <c r="L194" s="344">
        <v>539.0187685863873</v>
      </c>
    </row>
    <row r="195" spans="2:12">
      <c r="B195" s="310">
        <v>213000</v>
      </c>
      <c r="C195" s="310">
        <v>592.8216000000001</v>
      </c>
      <c r="D195" s="310">
        <v>676.31760000000008</v>
      </c>
      <c r="E195" s="276">
        <v>1252.44</v>
      </c>
      <c r="F195" s="304">
        <v>622.96990994764383</v>
      </c>
      <c r="H195" s="191"/>
      <c r="I195" s="345">
        <v>631.35500400000012</v>
      </c>
      <c r="J195" s="345">
        <v>720.27824400000009</v>
      </c>
      <c r="K195" s="343">
        <v>1333.8486</v>
      </c>
      <c r="L195" s="344">
        <v>541.56130994764385</v>
      </c>
    </row>
    <row r="196" spans="2:12">
      <c r="B196" s="310">
        <v>214000</v>
      </c>
      <c r="C196" s="310">
        <v>595.60480000000007</v>
      </c>
      <c r="D196" s="310">
        <v>679.4928000000001</v>
      </c>
      <c r="E196" s="276">
        <v>1258.3200000000002</v>
      </c>
      <c r="F196" s="304">
        <v>625.89465130890039</v>
      </c>
      <c r="H196" s="191"/>
      <c r="I196" s="345">
        <v>634.31911200000013</v>
      </c>
      <c r="J196" s="345">
        <v>723.65983200000005</v>
      </c>
      <c r="K196" s="343">
        <v>1340.1108000000002</v>
      </c>
      <c r="L196" s="344">
        <v>544.1038513089004</v>
      </c>
    </row>
    <row r="197" spans="2:12">
      <c r="B197" s="310">
        <v>215000</v>
      </c>
      <c r="C197" s="310">
        <v>598.38800000000003</v>
      </c>
      <c r="D197" s="310">
        <v>682.66800000000012</v>
      </c>
      <c r="E197" s="276">
        <v>1264.2</v>
      </c>
      <c r="F197" s="304">
        <v>628.81939267015684</v>
      </c>
      <c r="H197" s="191"/>
      <c r="I197" s="345">
        <v>637.28322000000003</v>
      </c>
      <c r="J197" s="345">
        <v>727.04142000000013</v>
      </c>
      <c r="K197" s="343">
        <v>1346.373</v>
      </c>
      <c r="L197" s="344">
        <v>546.64639267015684</v>
      </c>
    </row>
    <row r="198" spans="2:12">
      <c r="B198" s="310">
        <v>216000</v>
      </c>
      <c r="C198" s="310">
        <v>601.17120000000011</v>
      </c>
      <c r="D198" s="310">
        <v>685.84320000000014</v>
      </c>
      <c r="E198" s="276">
        <v>1270.0800000000002</v>
      </c>
      <c r="F198" s="304">
        <v>631.74413403141341</v>
      </c>
      <c r="H198" s="191"/>
      <c r="I198" s="345">
        <v>640.24732800000015</v>
      </c>
      <c r="J198" s="345">
        <v>730.4230080000001</v>
      </c>
      <c r="K198" s="343">
        <v>1352.6352000000002</v>
      </c>
      <c r="L198" s="344">
        <v>549.1889340314134</v>
      </c>
    </row>
    <row r="199" spans="2:12">
      <c r="B199" s="310">
        <v>217000</v>
      </c>
      <c r="C199" s="310">
        <v>603.95440000000008</v>
      </c>
      <c r="D199" s="310">
        <v>689.01839999999993</v>
      </c>
      <c r="E199" s="276">
        <v>1275.9600000000003</v>
      </c>
      <c r="F199" s="304">
        <v>634.66887539266997</v>
      </c>
      <c r="H199" s="191"/>
      <c r="I199" s="345">
        <v>643.21143600000005</v>
      </c>
      <c r="J199" s="345">
        <v>733.80459599999995</v>
      </c>
      <c r="K199" s="343">
        <v>1358.8974000000003</v>
      </c>
      <c r="L199" s="344">
        <v>551.73147539266995</v>
      </c>
    </row>
    <row r="200" spans="2:12">
      <c r="B200" s="310">
        <v>218000</v>
      </c>
      <c r="C200" s="310">
        <v>606.73760000000016</v>
      </c>
      <c r="D200" s="310">
        <v>692.19360000000006</v>
      </c>
      <c r="E200" s="276">
        <v>1281.8400000000001</v>
      </c>
      <c r="F200" s="304">
        <v>637.59361675392654</v>
      </c>
      <c r="H200" s="191"/>
      <c r="I200" s="345">
        <v>646.17554400000017</v>
      </c>
      <c r="J200" s="345">
        <v>737.18618400000003</v>
      </c>
      <c r="K200" s="343">
        <v>1365.1596000000002</v>
      </c>
      <c r="L200" s="344">
        <v>554.2740167539265</v>
      </c>
    </row>
    <row r="201" spans="2:12">
      <c r="B201" s="310">
        <v>219000</v>
      </c>
      <c r="C201" s="310">
        <v>609.52080000000012</v>
      </c>
      <c r="D201" s="310">
        <v>695.36880000000008</v>
      </c>
      <c r="E201" s="276">
        <v>1287.72</v>
      </c>
      <c r="F201" s="304">
        <v>640.5183581151831</v>
      </c>
      <c r="H201" s="191"/>
      <c r="I201" s="345">
        <v>649.13965200000018</v>
      </c>
      <c r="J201" s="345">
        <v>740.5677720000001</v>
      </c>
      <c r="K201" s="343">
        <v>1371.4218000000001</v>
      </c>
      <c r="L201" s="344">
        <v>556.81655811518306</v>
      </c>
    </row>
    <row r="202" spans="2:12">
      <c r="B202" s="310">
        <v>220000</v>
      </c>
      <c r="C202" s="310">
        <v>612.30400000000009</v>
      </c>
      <c r="D202" s="310">
        <v>698.54400000000021</v>
      </c>
      <c r="E202" s="276">
        <v>1293.6000000000001</v>
      </c>
      <c r="F202" s="304">
        <v>643.44309947643967</v>
      </c>
      <c r="H202" s="191"/>
      <c r="I202" s="345">
        <v>652.10376000000008</v>
      </c>
      <c r="J202" s="345">
        <v>743.94936000000018</v>
      </c>
      <c r="K202" s="343">
        <v>1377.6840000000002</v>
      </c>
      <c r="L202" s="344">
        <v>559.35909947643961</v>
      </c>
    </row>
    <row r="203" spans="2:12">
      <c r="B203" s="310">
        <v>221000</v>
      </c>
      <c r="C203" s="310">
        <v>615.08720000000017</v>
      </c>
      <c r="D203" s="310">
        <v>701.7192</v>
      </c>
      <c r="E203" s="276">
        <v>1299.4800000000002</v>
      </c>
      <c r="F203" s="304">
        <v>646.36784083769624</v>
      </c>
      <c r="H203" s="191"/>
      <c r="I203" s="345">
        <v>655.0678680000002</v>
      </c>
      <c r="J203" s="345">
        <v>747.33094800000003</v>
      </c>
      <c r="K203" s="343">
        <v>1383.9462000000003</v>
      </c>
      <c r="L203" s="344">
        <v>561.90164083769616</v>
      </c>
    </row>
    <row r="204" spans="2:12">
      <c r="B204" s="310">
        <v>222000</v>
      </c>
      <c r="C204" s="310">
        <v>617.87040000000013</v>
      </c>
      <c r="D204" s="310">
        <v>704.89440000000002</v>
      </c>
      <c r="E204" s="276">
        <v>1305.3600000000001</v>
      </c>
      <c r="F204" s="304">
        <v>649.2925821989528</v>
      </c>
      <c r="H204" s="191"/>
      <c r="I204" s="345">
        <v>658.0319760000001</v>
      </c>
      <c r="J204" s="345">
        <v>750.712536</v>
      </c>
      <c r="K204" s="343">
        <v>1390.2084000000002</v>
      </c>
      <c r="L204" s="344">
        <v>564.44418219895272</v>
      </c>
    </row>
    <row r="205" spans="2:12">
      <c r="B205" s="310">
        <v>223000</v>
      </c>
      <c r="C205" s="310">
        <v>620.65360000000021</v>
      </c>
      <c r="D205" s="310">
        <v>708.06960000000015</v>
      </c>
      <c r="E205" s="276">
        <v>1311.24</v>
      </c>
      <c r="F205" s="304">
        <v>652.21732356020937</v>
      </c>
      <c r="H205" s="191"/>
      <c r="I205" s="345">
        <v>660.99608400000022</v>
      </c>
      <c r="J205" s="345">
        <v>754.09412400000019</v>
      </c>
      <c r="K205" s="343">
        <v>1396.4706000000001</v>
      </c>
      <c r="L205" s="344">
        <v>566.98672356020927</v>
      </c>
    </row>
    <row r="206" spans="2:12">
      <c r="B206" s="310">
        <v>224000</v>
      </c>
      <c r="C206" s="310">
        <v>623.43680000000006</v>
      </c>
      <c r="D206" s="310">
        <v>711.24480000000005</v>
      </c>
      <c r="E206" s="276">
        <v>1317.1200000000001</v>
      </c>
      <c r="F206" s="304">
        <v>655.14206492146593</v>
      </c>
      <c r="H206" s="191"/>
      <c r="I206" s="345">
        <v>663.96019200000012</v>
      </c>
      <c r="J206" s="345">
        <v>757.47571200000004</v>
      </c>
      <c r="K206" s="343">
        <v>1402.7328000000002</v>
      </c>
      <c r="L206" s="344">
        <v>569.52926492146582</v>
      </c>
    </row>
    <row r="207" spans="2:12">
      <c r="B207" s="310">
        <v>225000</v>
      </c>
      <c r="C207" s="310">
        <v>626.22</v>
      </c>
      <c r="D207" s="310">
        <v>714.42000000000007</v>
      </c>
      <c r="E207" s="276">
        <v>1323.0000000000002</v>
      </c>
      <c r="F207" s="304">
        <v>658.0668062827225</v>
      </c>
      <c r="H207" s="191"/>
      <c r="I207" s="345">
        <v>666.92430000000002</v>
      </c>
      <c r="J207" s="345">
        <v>760.85730000000012</v>
      </c>
      <c r="K207" s="343">
        <v>1408.9950000000003</v>
      </c>
      <c r="L207" s="344">
        <v>572.07180628272238</v>
      </c>
    </row>
    <row r="208" spans="2:12">
      <c r="B208" s="276">
        <v>226000</v>
      </c>
      <c r="C208" s="334">
        <v>629.00320000000011</v>
      </c>
      <c r="D208" s="334">
        <v>717.59520000000009</v>
      </c>
      <c r="E208" s="276">
        <v>1328.88</v>
      </c>
      <c r="F208" s="304">
        <v>660.99154764397883</v>
      </c>
      <c r="H208" s="191"/>
      <c r="I208" s="343">
        <v>669.88840800000014</v>
      </c>
      <c r="J208" s="343">
        <v>764.23888800000009</v>
      </c>
      <c r="K208" s="343">
        <v>1415.2572</v>
      </c>
      <c r="L208" s="344">
        <v>574.61434764397893</v>
      </c>
    </row>
    <row r="209" spans="2:12">
      <c r="B209" s="276">
        <v>227000</v>
      </c>
      <c r="C209" s="334">
        <v>631.78640000000007</v>
      </c>
      <c r="D209" s="334">
        <v>720.7704</v>
      </c>
      <c r="E209" s="276">
        <v>1334.76</v>
      </c>
      <c r="F209" s="304">
        <v>663.9162890052354</v>
      </c>
      <c r="H209" s="191"/>
      <c r="I209" s="343">
        <v>672.85251600000004</v>
      </c>
      <c r="J209" s="343">
        <v>767.62047600000005</v>
      </c>
      <c r="K209" s="343">
        <v>1421.5193999999999</v>
      </c>
      <c r="L209" s="344">
        <v>577.15688900523548</v>
      </c>
    </row>
    <row r="210" spans="2:12">
      <c r="B210" s="276">
        <v>228000</v>
      </c>
      <c r="C210" s="334">
        <v>634.56960000000015</v>
      </c>
      <c r="D210" s="334">
        <v>723.94560000000013</v>
      </c>
      <c r="E210" s="276">
        <v>1340.64</v>
      </c>
      <c r="F210" s="304">
        <v>666.84103036649196</v>
      </c>
      <c r="H210" s="191"/>
      <c r="I210" s="343">
        <v>675.81662400000016</v>
      </c>
      <c r="J210" s="343">
        <v>771.00206400000013</v>
      </c>
      <c r="K210" s="343">
        <v>1427.7816</v>
      </c>
      <c r="L210" s="344">
        <v>579.69943036649204</v>
      </c>
    </row>
    <row r="211" spans="2:12">
      <c r="B211" s="276">
        <v>229000</v>
      </c>
      <c r="C211" s="334">
        <v>637.35280000000012</v>
      </c>
      <c r="D211" s="334">
        <v>727.12080000000003</v>
      </c>
      <c r="E211" s="276">
        <v>1346.5200000000002</v>
      </c>
      <c r="F211" s="304">
        <v>669.76577172774853</v>
      </c>
      <c r="H211" s="191"/>
      <c r="I211" s="343">
        <v>678.78073200000017</v>
      </c>
      <c r="J211" s="343">
        <v>774.38365199999998</v>
      </c>
      <c r="K211" s="343">
        <v>1434.0438000000001</v>
      </c>
      <c r="L211" s="344">
        <v>582.24197172774859</v>
      </c>
    </row>
    <row r="212" spans="2:12">
      <c r="B212" s="276">
        <v>230000</v>
      </c>
      <c r="C212" s="334">
        <v>640.13600000000008</v>
      </c>
      <c r="D212" s="334">
        <v>730.29600000000016</v>
      </c>
      <c r="E212" s="276">
        <v>1352.4</v>
      </c>
      <c r="F212" s="304">
        <v>672.69051308900509</v>
      </c>
      <c r="H212" s="191"/>
      <c r="I212" s="343">
        <v>681.74484000000007</v>
      </c>
      <c r="J212" s="343">
        <v>777.76524000000018</v>
      </c>
      <c r="K212" s="343">
        <v>1440.306</v>
      </c>
      <c r="L212" s="344">
        <v>584.78451308900515</v>
      </c>
    </row>
    <row r="213" spans="2:12">
      <c r="B213" s="276">
        <v>231000</v>
      </c>
      <c r="C213" s="334">
        <v>642.91920000000016</v>
      </c>
      <c r="D213" s="334">
        <v>733.47120000000007</v>
      </c>
      <c r="E213" s="276">
        <v>1358.2800000000002</v>
      </c>
      <c r="F213" s="304">
        <v>675.61525445026155</v>
      </c>
      <c r="H213" s="191"/>
      <c r="I213" s="343">
        <v>684.70894800000019</v>
      </c>
      <c r="J213" s="343">
        <v>781.14682800000003</v>
      </c>
      <c r="K213" s="343">
        <v>1446.5682000000002</v>
      </c>
      <c r="L213" s="344">
        <v>587.32705445026158</v>
      </c>
    </row>
    <row r="214" spans="2:12">
      <c r="B214" s="276">
        <v>232000</v>
      </c>
      <c r="C214" s="334">
        <v>645.70240000000013</v>
      </c>
      <c r="D214" s="334">
        <v>736.64640000000009</v>
      </c>
      <c r="E214" s="276">
        <v>1364.16</v>
      </c>
      <c r="F214" s="304">
        <v>678.53999581151811</v>
      </c>
      <c r="H214" s="191"/>
      <c r="I214" s="343">
        <v>687.67305600000009</v>
      </c>
      <c r="J214" s="343">
        <v>784.52841600000011</v>
      </c>
      <c r="K214" s="343">
        <v>1452.8304000000001</v>
      </c>
      <c r="L214" s="344">
        <v>589.86959581151814</v>
      </c>
    </row>
    <row r="215" spans="2:12">
      <c r="B215" s="276">
        <v>233000</v>
      </c>
      <c r="C215" s="334">
        <v>648.4856000000002</v>
      </c>
      <c r="D215" s="334">
        <v>739.8216000000001</v>
      </c>
      <c r="E215" s="276">
        <v>1370.0400000000002</v>
      </c>
      <c r="F215" s="304">
        <v>681.46473717277468</v>
      </c>
      <c r="H215" s="191"/>
      <c r="I215" s="343">
        <v>690.63716400000021</v>
      </c>
      <c r="J215" s="343">
        <v>787.91000400000007</v>
      </c>
      <c r="K215" s="343">
        <v>1459.0926000000002</v>
      </c>
      <c r="L215" s="344">
        <v>592.41213717277469</v>
      </c>
    </row>
    <row r="216" spans="2:12">
      <c r="B216" s="276">
        <v>234000</v>
      </c>
      <c r="C216" s="334">
        <v>651.26880000000017</v>
      </c>
      <c r="D216" s="334">
        <v>742.99680000000001</v>
      </c>
      <c r="E216" s="276">
        <v>1375.92</v>
      </c>
      <c r="F216" s="304">
        <v>684.38947853403124</v>
      </c>
      <c r="H216" s="191"/>
      <c r="I216" s="343">
        <v>693.60127200000022</v>
      </c>
      <c r="J216" s="343">
        <v>791.29159200000004</v>
      </c>
      <c r="K216" s="343">
        <v>1465.3548000000001</v>
      </c>
      <c r="L216" s="344">
        <v>594.95467853403125</v>
      </c>
    </row>
    <row r="217" spans="2:12">
      <c r="B217" s="276">
        <v>235000</v>
      </c>
      <c r="C217" s="334">
        <v>654.05200000000013</v>
      </c>
      <c r="D217" s="334">
        <v>746.17200000000014</v>
      </c>
      <c r="E217" s="276">
        <v>1381.8000000000002</v>
      </c>
      <c r="F217" s="304">
        <v>687.31421989528781</v>
      </c>
      <c r="H217" s="191"/>
      <c r="I217" s="343">
        <v>696.56538000000012</v>
      </c>
      <c r="J217" s="343">
        <v>794.67318000000012</v>
      </c>
      <c r="K217" s="343">
        <v>1471.6170000000002</v>
      </c>
      <c r="L217" s="344">
        <v>597.4972198952878</v>
      </c>
    </row>
    <row r="218" spans="2:12">
      <c r="B218" s="276">
        <v>236000</v>
      </c>
      <c r="C218" s="334">
        <v>656.8352000000001</v>
      </c>
      <c r="D218" s="334">
        <v>749.34720000000016</v>
      </c>
      <c r="E218" s="276">
        <v>1387.68</v>
      </c>
      <c r="F218" s="304">
        <v>690.23896125654437</v>
      </c>
      <c r="H218" s="191"/>
      <c r="I218" s="343">
        <v>699.52948800000013</v>
      </c>
      <c r="J218" s="343">
        <v>798.05476800000019</v>
      </c>
      <c r="K218" s="343">
        <v>1477.8792000000001</v>
      </c>
      <c r="L218" s="344">
        <v>600.03976125654435</v>
      </c>
    </row>
    <row r="219" spans="2:12">
      <c r="B219" s="276">
        <v>237000</v>
      </c>
      <c r="C219" s="334">
        <v>659.61840000000007</v>
      </c>
      <c r="D219" s="334">
        <v>752.52239999999995</v>
      </c>
      <c r="E219" s="276">
        <v>1393.5600000000002</v>
      </c>
      <c r="F219" s="304">
        <v>693.16370261780094</v>
      </c>
      <c r="H219" s="191"/>
      <c r="I219" s="343">
        <v>702.49359600000003</v>
      </c>
      <c r="J219" s="343">
        <v>801.43635599999993</v>
      </c>
      <c r="K219" s="343">
        <v>1484.1414000000002</v>
      </c>
      <c r="L219" s="344">
        <v>602.58230261780091</v>
      </c>
    </row>
    <row r="220" spans="2:12">
      <c r="B220" s="276">
        <v>238000</v>
      </c>
      <c r="C220" s="334">
        <v>662.40160000000014</v>
      </c>
      <c r="D220" s="334">
        <v>755.69760000000008</v>
      </c>
      <c r="E220" s="276">
        <v>1399.4400000000003</v>
      </c>
      <c r="F220" s="304">
        <v>696.0884439790575</v>
      </c>
      <c r="H220" s="191"/>
      <c r="I220" s="343">
        <v>705.45770400000015</v>
      </c>
      <c r="J220" s="343">
        <v>804.81794400000013</v>
      </c>
      <c r="K220" s="343">
        <v>1490.4036000000003</v>
      </c>
      <c r="L220" s="344">
        <v>605.12484397905746</v>
      </c>
    </row>
    <row r="221" spans="2:12">
      <c r="B221" s="276">
        <v>239000</v>
      </c>
      <c r="C221" s="334">
        <v>665.18480000000011</v>
      </c>
      <c r="D221" s="334">
        <v>758.8728000000001</v>
      </c>
      <c r="E221" s="276">
        <v>1405.32</v>
      </c>
      <c r="F221" s="304">
        <v>699.01318534031395</v>
      </c>
      <c r="H221" s="191"/>
      <c r="I221" s="343">
        <v>708.42181200000016</v>
      </c>
      <c r="J221" s="343">
        <v>808.19953200000009</v>
      </c>
      <c r="K221" s="343">
        <v>1496.6658</v>
      </c>
      <c r="L221" s="344">
        <v>607.6673853403139</v>
      </c>
    </row>
    <row r="222" spans="2:12">
      <c r="B222" s="276">
        <v>240000</v>
      </c>
      <c r="C222" s="334">
        <v>667.96800000000007</v>
      </c>
      <c r="D222" s="334">
        <v>762.04800000000012</v>
      </c>
      <c r="E222" s="276">
        <v>1411.2</v>
      </c>
      <c r="F222" s="304">
        <v>701.93792670157052</v>
      </c>
      <c r="H222" s="191"/>
      <c r="I222" s="343">
        <v>711.38592000000006</v>
      </c>
      <c r="J222" s="343">
        <v>811.58112000000017</v>
      </c>
      <c r="K222" s="343">
        <v>1502.9280000000001</v>
      </c>
      <c r="L222" s="344">
        <v>610.20992670157045</v>
      </c>
    </row>
    <row r="223" spans="2:12">
      <c r="B223" s="276">
        <v>241000</v>
      </c>
      <c r="C223" s="334">
        <v>670.75120000000015</v>
      </c>
      <c r="D223" s="334">
        <v>765.22320000000002</v>
      </c>
      <c r="E223" s="276">
        <v>1417.0800000000002</v>
      </c>
      <c r="F223" s="304">
        <v>704.86266806282708</v>
      </c>
      <c r="H223" s="191"/>
      <c r="I223" s="343">
        <v>714.35002800000018</v>
      </c>
      <c r="J223" s="343">
        <v>814.96270800000002</v>
      </c>
      <c r="K223" s="343">
        <v>1509.1902000000002</v>
      </c>
      <c r="L223" s="344">
        <v>612.75246806282701</v>
      </c>
    </row>
    <row r="224" spans="2:12">
      <c r="B224" s="276">
        <v>242000</v>
      </c>
      <c r="C224" s="334">
        <v>673.53440000000012</v>
      </c>
      <c r="D224" s="334">
        <v>768.39840000000004</v>
      </c>
      <c r="E224" s="276">
        <v>1422.96</v>
      </c>
      <c r="F224" s="304">
        <v>707.78740942408365</v>
      </c>
      <c r="H224" s="191"/>
      <c r="I224" s="343">
        <v>717.31413600000008</v>
      </c>
      <c r="J224" s="343">
        <v>818.34429599999999</v>
      </c>
      <c r="K224" s="343">
        <v>1515.4524000000001</v>
      </c>
      <c r="L224" s="344">
        <v>615.29500942408356</v>
      </c>
    </row>
    <row r="225" spans="2:12">
      <c r="B225" s="276">
        <v>243000</v>
      </c>
      <c r="C225" s="334">
        <v>676.3176000000002</v>
      </c>
      <c r="D225" s="334">
        <v>771.57360000000017</v>
      </c>
      <c r="E225" s="276">
        <v>1428.8400000000001</v>
      </c>
      <c r="F225" s="304">
        <v>710.71215078534021</v>
      </c>
      <c r="H225" s="191"/>
      <c r="I225" s="343">
        <v>720.2782440000002</v>
      </c>
      <c r="J225" s="343">
        <v>821.72588400000018</v>
      </c>
      <c r="K225" s="343">
        <v>1521.7146000000002</v>
      </c>
      <c r="L225" s="344">
        <v>617.83755078534011</v>
      </c>
    </row>
    <row r="226" spans="2:12">
      <c r="B226" s="276">
        <v>244000</v>
      </c>
      <c r="C226" s="334">
        <v>679.10080000000016</v>
      </c>
      <c r="D226" s="334">
        <v>774.74879999999996</v>
      </c>
      <c r="E226" s="276">
        <v>1434.7200000000003</v>
      </c>
      <c r="F226" s="304">
        <v>713.63689214659678</v>
      </c>
      <c r="H226" s="191"/>
      <c r="I226" s="343">
        <v>723.24235200000021</v>
      </c>
      <c r="J226" s="343">
        <v>825.10747199999992</v>
      </c>
      <c r="K226" s="343">
        <v>1527.9768000000004</v>
      </c>
      <c r="L226" s="344">
        <v>620.38009214659667</v>
      </c>
    </row>
    <row r="227" spans="2:12">
      <c r="B227" s="276">
        <v>245000</v>
      </c>
      <c r="C227" s="334">
        <v>681.88400000000013</v>
      </c>
      <c r="D227" s="334">
        <v>777.92399999999998</v>
      </c>
      <c r="E227" s="276">
        <v>1440.6000000000001</v>
      </c>
      <c r="F227" s="304">
        <v>716.56163350785312</v>
      </c>
      <c r="H227" s="191"/>
      <c r="I227" s="343">
        <v>726.20646000000011</v>
      </c>
      <c r="J227" s="343">
        <v>828.48905999999999</v>
      </c>
      <c r="K227" s="343">
        <v>1534.239</v>
      </c>
      <c r="L227" s="344">
        <v>622.92263350785322</v>
      </c>
    </row>
    <row r="228" spans="2:12">
      <c r="B228" s="276">
        <v>246000</v>
      </c>
      <c r="C228" s="334">
        <v>684.66720000000021</v>
      </c>
      <c r="D228" s="334">
        <v>781.09920000000011</v>
      </c>
      <c r="E228" s="276">
        <v>1446.4800000000002</v>
      </c>
      <c r="F228" s="304">
        <v>719.48637486910968</v>
      </c>
      <c r="H228" s="191"/>
      <c r="I228" s="343">
        <v>729.17056800000023</v>
      </c>
      <c r="J228" s="343">
        <v>831.87064800000007</v>
      </c>
      <c r="K228" s="343">
        <v>1540.5012000000002</v>
      </c>
      <c r="L228" s="344">
        <v>625.46517486910977</v>
      </c>
    </row>
    <row r="229" spans="2:12">
      <c r="B229" s="276">
        <v>247000</v>
      </c>
      <c r="C229" s="334">
        <v>687.45040000000017</v>
      </c>
      <c r="D229" s="334">
        <v>784.2743999999999</v>
      </c>
      <c r="E229" s="276">
        <v>1452.3600000000004</v>
      </c>
      <c r="F229" s="304">
        <v>722.41111623036625</v>
      </c>
      <c r="H229" s="191"/>
      <c r="I229" s="343">
        <v>732.13467600000013</v>
      </c>
      <c r="J229" s="343">
        <v>835.25223599999993</v>
      </c>
      <c r="K229" s="343">
        <v>1546.7634000000003</v>
      </c>
      <c r="L229" s="344">
        <v>628.00771623036633</v>
      </c>
    </row>
    <row r="230" spans="2:12">
      <c r="B230" s="276">
        <v>248000</v>
      </c>
      <c r="C230" s="334">
        <v>690.23360000000014</v>
      </c>
      <c r="D230" s="334">
        <v>787.44960000000026</v>
      </c>
      <c r="E230" s="276">
        <v>1458.24</v>
      </c>
      <c r="F230" s="304">
        <v>725.33585759162281</v>
      </c>
      <c r="H230" s="191"/>
      <c r="I230" s="343">
        <v>735.09878400000014</v>
      </c>
      <c r="J230" s="343">
        <v>838.63382400000023</v>
      </c>
      <c r="K230" s="343">
        <v>1553.0255999999999</v>
      </c>
      <c r="L230" s="344">
        <v>630.55025759162288</v>
      </c>
    </row>
    <row r="231" spans="2:12">
      <c r="B231" s="276">
        <v>249000</v>
      </c>
      <c r="C231" s="334">
        <v>693.01679999999999</v>
      </c>
      <c r="D231" s="334">
        <v>790.62480000000005</v>
      </c>
      <c r="E231" s="276">
        <v>1464.1200000000001</v>
      </c>
      <c r="F231" s="304">
        <v>728.26059895287938</v>
      </c>
      <c r="H231" s="191"/>
      <c r="I231" s="343">
        <v>738.06289200000003</v>
      </c>
      <c r="J231" s="343">
        <v>842.01541200000008</v>
      </c>
      <c r="K231" s="343">
        <v>1559.2878000000001</v>
      </c>
      <c r="L231" s="344">
        <v>633.09279895287943</v>
      </c>
    </row>
    <row r="232" spans="2:12">
      <c r="B232" s="276">
        <v>250000</v>
      </c>
      <c r="C232" s="334">
        <v>695.80000000000007</v>
      </c>
      <c r="D232" s="334">
        <v>793.80000000000007</v>
      </c>
      <c r="E232" s="276">
        <v>1470</v>
      </c>
      <c r="F232" s="304">
        <v>731.18534031413594</v>
      </c>
      <c r="H232" s="191"/>
      <c r="I232" s="343">
        <v>741.02700000000004</v>
      </c>
      <c r="J232" s="343">
        <v>845.39700000000005</v>
      </c>
      <c r="K232" s="343">
        <v>1565.55</v>
      </c>
      <c r="L232" s="344">
        <v>635.63534031413599</v>
      </c>
    </row>
    <row r="233" spans="2:12">
      <c r="B233" s="276">
        <v>251000</v>
      </c>
      <c r="C233" s="334">
        <v>698.58320000000015</v>
      </c>
      <c r="D233" s="334">
        <v>796.9752000000002</v>
      </c>
      <c r="E233" s="276">
        <v>1475.88</v>
      </c>
      <c r="F233" s="304">
        <v>734.11008167539251</v>
      </c>
      <c r="H233" s="191"/>
      <c r="I233" s="343">
        <v>743.99110800000017</v>
      </c>
      <c r="J233" s="343">
        <v>848.77858800000024</v>
      </c>
      <c r="K233" s="343">
        <v>1571.8122000000001</v>
      </c>
      <c r="L233" s="344">
        <v>638.17788167539254</v>
      </c>
    </row>
    <row r="234" spans="2:12">
      <c r="B234" s="276">
        <v>252000</v>
      </c>
      <c r="C234" s="334">
        <v>701.3664</v>
      </c>
      <c r="D234" s="334">
        <v>800.15039999999999</v>
      </c>
      <c r="E234" s="276">
        <v>1481.7600000000002</v>
      </c>
      <c r="F234" s="304">
        <v>737.03482303664907</v>
      </c>
      <c r="H234" s="191"/>
      <c r="I234" s="343">
        <v>746.95521599999995</v>
      </c>
      <c r="J234" s="343">
        <v>852.16017599999998</v>
      </c>
      <c r="K234" s="343">
        <v>1578.0744000000002</v>
      </c>
      <c r="L234" s="344">
        <v>640.72042303664909</v>
      </c>
    </row>
    <row r="235" spans="2:12">
      <c r="B235" s="276">
        <v>253000</v>
      </c>
      <c r="C235" s="334">
        <v>704.14960000000019</v>
      </c>
      <c r="D235" s="334">
        <v>803.32560000000001</v>
      </c>
      <c r="E235" s="276">
        <v>1487.64</v>
      </c>
      <c r="F235" s="304">
        <v>739.95956439790564</v>
      </c>
      <c r="H235" s="191"/>
      <c r="I235" s="343">
        <v>749.91932400000019</v>
      </c>
      <c r="J235" s="343">
        <v>855.54176400000006</v>
      </c>
      <c r="K235" s="343">
        <v>1584.3366000000001</v>
      </c>
      <c r="L235" s="344">
        <v>643.26296439790565</v>
      </c>
    </row>
    <row r="236" spans="2:12">
      <c r="B236" s="276">
        <v>254000</v>
      </c>
      <c r="C236" s="334">
        <v>706.93280000000016</v>
      </c>
      <c r="D236" s="334">
        <v>806.50080000000014</v>
      </c>
      <c r="E236" s="276">
        <v>1493.5200000000002</v>
      </c>
      <c r="F236" s="304">
        <v>742.88430575916209</v>
      </c>
      <c r="H236" s="191"/>
      <c r="I236" s="343">
        <v>752.8834320000002</v>
      </c>
      <c r="J236" s="343">
        <v>858.92335200000014</v>
      </c>
      <c r="K236" s="343">
        <v>1590.5988000000002</v>
      </c>
      <c r="L236" s="344">
        <v>645.80550575916209</v>
      </c>
    </row>
    <row r="237" spans="2:12">
      <c r="B237" s="276">
        <v>255000</v>
      </c>
      <c r="C237" s="334">
        <v>709.71600000000001</v>
      </c>
      <c r="D237" s="334">
        <v>809.67600000000004</v>
      </c>
      <c r="E237" s="276">
        <v>1499.4000000000003</v>
      </c>
      <c r="F237" s="304">
        <v>745.80904712041865</v>
      </c>
      <c r="H237" s="191"/>
      <c r="I237" s="343">
        <v>755.84753999999998</v>
      </c>
      <c r="J237" s="343">
        <v>862.3049400000001</v>
      </c>
      <c r="K237" s="343">
        <v>1596.8610000000003</v>
      </c>
      <c r="L237" s="344">
        <v>648.34804712041864</v>
      </c>
    </row>
    <row r="238" spans="2:12">
      <c r="B238" s="276">
        <v>256000</v>
      </c>
      <c r="C238" s="334">
        <v>712.4992000000002</v>
      </c>
      <c r="D238" s="334">
        <v>812.85120000000018</v>
      </c>
      <c r="E238" s="276">
        <v>1505.28</v>
      </c>
      <c r="F238" s="304">
        <v>748.73378848167522</v>
      </c>
      <c r="H238" s="191"/>
      <c r="I238" s="343">
        <v>758.81164800000022</v>
      </c>
      <c r="J238" s="343">
        <v>865.68652800000018</v>
      </c>
      <c r="K238" s="343">
        <v>1603.1232</v>
      </c>
      <c r="L238" s="344">
        <v>650.89058848167519</v>
      </c>
    </row>
    <row r="239" spans="2:12">
      <c r="B239" s="276">
        <v>257000</v>
      </c>
      <c r="C239" s="334">
        <v>715.28240000000017</v>
      </c>
      <c r="D239" s="334">
        <v>816.02640000000008</v>
      </c>
      <c r="E239" s="276">
        <v>1511.16</v>
      </c>
      <c r="F239" s="304">
        <v>751.65852984293178</v>
      </c>
      <c r="H239" s="191"/>
      <c r="I239" s="343">
        <v>761.77575600000023</v>
      </c>
      <c r="J239" s="343">
        <v>869.06811600000015</v>
      </c>
      <c r="K239" s="343">
        <v>1609.3854000000001</v>
      </c>
      <c r="L239" s="344">
        <v>653.43312984293175</v>
      </c>
    </row>
    <row r="240" spans="2:12">
      <c r="B240" s="276">
        <v>258000</v>
      </c>
      <c r="C240" s="334">
        <v>718.06560000000025</v>
      </c>
      <c r="D240" s="334">
        <v>819.20159999999998</v>
      </c>
      <c r="E240" s="276">
        <v>1517.0400000000002</v>
      </c>
      <c r="F240" s="304">
        <v>754.58327120418835</v>
      </c>
      <c r="H240" s="191"/>
      <c r="I240" s="343">
        <v>764.73986400000024</v>
      </c>
      <c r="J240" s="343">
        <v>872.449704</v>
      </c>
      <c r="K240" s="343">
        <v>1615.6476000000002</v>
      </c>
      <c r="L240" s="344">
        <v>655.9756712041883</v>
      </c>
    </row>
    <row r="241" spans="2:12">
      <c r="B241" s="276">
        <v>259000</v>
      </c>
      <c r="C241" s="334">
        <v>720.84880000000021</v>
      </c>
      <c r="D241" s="334">
        <v>822.37680000000012</v>
      </c>
      <c r="E241" s="276">
        <v>1522.92</v>
      </c>
      <c r="F241" s="304">
        <v>757.50801256544491</v>
      </c>
      <c r="H241" s="191"/>
      <c r="I241" s="343">
        <v>767.70397200000025</v>
      </c>
      <c r="J241" s="343">
        <v>875.83129200000008</v>
      </c>
      <c r="K241" s="343">
        <v>1621.9098000000001</v>
      </c>
      <c r="L241" s="344">
        <v>658.51821256544486</v>
      </c>
    </row>
    <row r="242" spans="2:12">
      <c r="B242" s="276">
        <v>260000</v>
      </c>
      <c r="C242" s="334">
        <v>723.63200000000006</v>
      </c>
      <c r="D242" s="334">
        <v>825.55200000000013</v>
      </c>
      <c r="E242" s="276">
        <v>1528.8000000000002</v>
      </c>
      <c r="F242" s="304">
        <v>760.43275392670148</v>
      </c>
      <c r="H242" s="191"/>
      <c r="I242" s="343">
        <v>770.66808000000003</v>
      </c>
      <c r="J242" s="343">
        <v>879.21288000000015</v>
      </c>
      <c r="K242" s="343">
        <v>1628.1720000000003</v>
      </c>
      <c r="L242" s="344">
        <v>661.06075392670141</v>
      </c>
    </row>
    <row r="243" spans="2:12">
      <c r="B243" s="276">
        <v>261000</v>
      </c>
      <c r="C243" s="334">
        <v>726.41520000000025</v>
      </c>
      <c r="D243" s="334">
        <v>828.72719999999993</v>
      </c>
      <c r="E243" s="276">
        <v>1534.6800000000003</v>
      </c>
      <c r="F243" s="304">
        <v>763.35749528795805</v>
      </c>
      <c r="H243" s="191"/>
      <c r="I243" s="343">
        <v>773.63218800000027</v>
      </c>
      <c r="J243" s="343">
        <v>882.59446799999989</v>
      </c>
      <c r="K243" s="343">
        <v>1634.4342000000004</v>
      </c>
      <c r="L243" s="344">
        <v>663.60329528795796</v>
      </c>
    </row>
    <row r="244" spans="2:12">
      <c r="B244" s="276">
        <v>262000</v>
      </c>
      <c r="C244" s="334">
        <v>729.19840000000011</v>
      </c>
      <c r="D244" s="334">
        <v>831.90240000000006</v>
      </c>
      <c r="E244" s="276">
        <v>1540.5600000000002</v>
      </c>
      <c r="F244" s="304">
        <v>766.2822366492145</v>
      </c>
      <c r="H244" s="191"/>
      <c r="I244" s="343">
        <v>776.59629600000017</v>
      </c>
      <c r="J244" s="343">
        <v>885.97605600000009</v>
      </c>
      <c r="K244" s="343">
        <v>1640.6964000000003</v>
      </c>
      <c r="L244" s="344">
        <v>666.1458366492144</v>
      </c>
    </row>
    <row r="245" spans="2:12">
      <c r="B245" s="276">
        <v>263000</v>
      </c>
      <c r="C245" s="334">
        <v>731.98160000000007</v>
      </c>
      <c r="D245" s="334">
        <v>835.07759999999996</v>
      </c>
      <c r="E245" s="276">
        <v>1546.4400000000003</v>
      </c>
      <c r="F245" s="304">
        <v>769.20697801047106</v>
      </c>
      <c r="H245" s="191"/>
      <c r="I245" s="343">
        <v>779.56040400000006</v>
      </c>
      <c r="J245" s="343">
        <v>889.35764399999994</v>
      </c>
      <c r="K245" s="343">
        <v>1646.9586000000004</v>
      </c>
      <c r="L245" s="344">
        <v>668.68837801047096</v>
      </c>
    </row>
    <row r="246" spans="2:12">
      <c r="B246" s="276">
        <v>264000</v>
      </c>
      <c r="C246" s="334">
        <v>734.76480000000004</v>
      </c>
      <c r="D246" s="334">
        <v>838.25280000000021</v>
      </c>
      <c r="E246" s="276">
        <v>1552.32</v>
      </c>
      <c r="F246" s="304">
        <v>772.13171937172763</v>
      </c>
      <c r="H246" s="191"/>
      <c r="I246" s="343">
        <v>782.52451200000007</v>
      </c>
      <c r="J246" s="343">
        <v>892.73923200000024</v>
      </c>
      <c r="K246" s="343">
        <v>1653.2208000000001</v>
      </c>
      <c r="L246" s="344">
        <v>671.23091937172751</v>
      </c>
    </row>
    <row r="247" spans="2:12">
      <c r="B247" s="276">
        <v>265000</v>
      </c>
      <c r="C247" s="334">
        <v>737.54800000000012</v>
      </c>
      <c r="D247" s="334">
        <v>841.42800000000022</v>
      </c>
      <c r="E247" s="276">
        <v>1558.2</v>
      </c>
      <c r="F247" s="304">
        <v>775.05646073298396</v>
      </c>
      <c r="H247" s="191"/>
      <c r="I247" s="343">
        <v>785.48862000000008</v>
      </c>
      <c r="J247" s="343">
        <v>896.12082000000021</v>
      </c>
      <c r="K247" s="343">
        <v>1659.4829999999999</v>
      </c>
      <c r="L247" s="344">
        <v>673.77346073298406</v>
      </c>
    </row>
    <row r="248" spans="2:12">
      <c r="B248" s="276">
        <v>266000</v>
      </c>
      <c r="C248" s="334">
        <v>740.33120000000008</v>
      </c>
      <c r="D248" s="334">
        <v>844.60320000000002</v>
      </c>
      <c r="E248" s="276">
        <v>1564.0800000000002</v>
      </c>
      <c r="F248" s="304">
        <v>777.98120209424053</v>
      </c>
      <c r="H248" s="191"/>
      <c r="I248" s="343">
        <v>788.45272800000009</v>
      </c>
      <c r="J248" s="343">
        <v>899.50240800000006</v>
      </c>
      <c r="K248" s="343">
        <v>1665.7452000000001</v>
      </c>
      <c r="L248" s="344">
        <v>676.31600209424062</v>
      </c>
    </row>
    <row r="249" spans="2:12">
      <c r="B249" s="276">
        <v>267000</v>
      </c>
      <c r="C249" s="334">
        <v>743.11440000000005</v>
      </c>
      <c r="D249" s="334">
        <v>847.77840000000015</v>
      </c>
      <c r="E249" s="276">
        <v>1569.96</v>
      </c>
      <c r="F249" s="304">
        <v>780.90594345549709</v>
      </c>
      <c r="H249" s="191"/>
      <c r="I249" s="343">
        <v>791.4168360000001</v>
      </c>
      <c r="J249" s="343">
        <v>902.88399600000014</v>
      </c>
      <c r="K249" s="343">
        <v>1672.0074</v>
      </c>
      <c r="L249" s="344">
        <v>678.85854345549717</v>
      </c>
    </row>
    <row r="250" spans="2:12">
      <c r="B250" s="276">
        <v>268000</v>
      </c>
      <c r="C250" s="334">
        <v>745.89760000000024</v>
      </c>
      <c r="D250" s="334">
        <v>850.95359999999994</v>
      </c>
      <c r="E250" s="276">
        <v>1575.8400000000001</v>
      </c>
      <c r="F250" s="304">
        <v>783.83068481675366</v>
      </c>
      <c r="H250" s="191"/>
      <c r="I250" s="343">
        <v>794.38094400000023</v>
      </c>
      <c r="J250" s="343">
        <v>906.26558399999999</v>
      </c>
      <c r="K250" s="343">
        <v>1678.2696000000001</v>
      </c>
      <c r="L250" s="344">
        <v>681.40108481675372</v>
      </c>
    </row>
    <row r="251" spans="2:12">
      <c r="B251" s="276">
        <v>269000</v>
      </c>
      <c r="C251" s="334">
        <v>748.68080000000009</v>
      </c>
      <c r="D251" s="334">
        <v>854.12880000000007</v>
      </c>
      <c r="E251" s="276">
        <v>1581.7200000000003</v>
      </c>
      <c r="F251" s="304">
        <v>786.75542617801023</v>
      </c>
      <c r="H251" s="191"/>
      <c r="I251" s="343">
        <v>797.34505200000012</v>
      </c>
      <c r="J251" s="343">
        <v>909.64717200000007</v>
      </c>
      <c r="K251" s="343">
        <v>1684.5318000000002</v>
      </c>
      <c r="L251" s="344">
        <v>683.94362617801028</v>
      </c>
    </row>
    <row r="252" spans="2:12">
      <c r="B252" s="276">
        <v>270000</v>
      </c>
      <c r="C252" s="334">
        <v>751.46400000000006</v>
      </c>
      <c r="D252" s="334">
        <v>857.30400000000009</v>
      </c>
      <c r="E252" s="276">
        <v>1587.6000000000001</v>
      </c>
      <c r="F252" s="304">
        <v>789.68016753926679</v>
      </c>
      <c r="H252" s="191"/>
      <c r="I252" s="343">
        <v>800.30916000000002</v>
      </c>
      <c r="J252" s="343">
        <v>913.02876000000015</v>
      </c>
      <c r="K252" s="343">
        <v>1690.7940000000001</v>
      </c>
      <c r="L252" s="344">
        <v>686.48616753926683</v>
      </c>
    </row>
    <row r="253" spans="2:12">
      <c r="B253" s="276">
        <v>271000</v>
      </c>
      <c r="C253" s="334">
        <v>754.24720000000025</v>
      </c>
      <c r="D253" s="334">
        <v>860.47920000000011</v>
      </c>
      <c r="E253" s="276">
        <v>1593.4800000000002</v>
      </c>
      <c r="F253" s="304">
        <v>792.60490890052336</v>
      </c>
      <c r="H253" s="191"/>
      <c r="I253" s="343">
        <v>803.27326800000026</v>
      </c>
      <c r="J253" s="343">
        <v>916.41034800000011</v>
      </c>
      <c r="K253" s="343">
        <v>1697.0562000000002</v>
      </c>
      <c r="L253" s="344">
        <v>689.02870890052338</v>
      </c>
    </row>
    <row r="254" spans="2:12">
      <c r="B254" s="276">
        <v>272000</v>
      </c>
      <c r="C254" s="334">
        <v>757.0304000000001</v>
      </c>
      <c r="D254" s="334">
        <v>863.65440000000024</v>
      </c>
      <c r="E254" s="276">
        <v>1599.3600000000004</v>
      </c>
      <c r="F254" s="304">
        <v>795.52965026177992</v>
      </c>
      <c r="H254" s="191"/>
      <c r="I254" s="343">
        <v>806.23737600000015</v>
      </c>
      <c r="J254" s="343">
        <v>919.79193600000031</v>
      </c>
      <c r="K254" s="343">
        <v>1703.3184000000003</v>
      </c>
      <c r="L254" s="344">
        <v>691.57125026177994</v>
      </c>
    </row>
    <row r="255" spans="2:12">
      <c r="B255" s="276">
        <v>273000</v>
      </c>
      <c r="C255" s="334">
        <v>759.81360000000029</v>
      </c>
      <c r="D255" s="334">
        <v>866.82960000000003</v>
      </c>
      <c r="E255" s="276">
        <v>1605.24</v>
      </c>
      <c r="F255" s="304">
        <v>798.45439162303649</v>
      </c>
      <c r="H255" s="191"/>
      <c r="I255" s="343">
        <v>809.20148400000028</v>
      </c>
      <c r="J255" s="343">
        <v>923.17352400000004</v>
      </c>
      <c r="K255" s="343">
        <v>1709.5806</v>
      </c>
      <c r="L255" s="344">
        <v>694.11379162303649</v>
      </c>
    </row>
    <row r="256" spans="2:12">
      <c r="B256" s="276">
        <v>274000</v>
      </c>
      <c r="C256" s="334">
        <v>762.59680000000014</v>
      </c>
      <c r="D256" s="334">
        <v>870.00480000000016</v>
      </c>
      <c r="E256" s="276">
        <v>1611.1200000000001</v>
      </c>
      <c r="F256" s="304">
        <v>801.37913298429294</v>
      </c>
      <c r="H256" s="191"/>
      <c r="I256" s="343">
        <v>812.16559200000017</v>
      </c>
      <c r="J256" s="343">
        <v>926.55511200000012</v>
      </c>
      <c r="K256" s="343">
        <v>1715.8428000000001</v>
      </c>
      <c r="L256" s="344">
        <v>696.65633298429293</v>
      </c>
    </row>
    <row r="257" spans="2:12">
      <c r="B257" s="276">
        <v>275000</v>
      </c>
      <c r="C257" s="334">
        <v>765.38000000000011</v>
      </c>
      <c r="D257" s="334">
        <v>873.18000000000018</v>
      </c>
      <c r="E257" s="276">
        <v>1617.0000000000002</v>
      </c>
      <c r="F257" s="304">
        <v>804.3038743455495</v>
      </c>
      <c r="H257" s="191"/>
      <c r="I257" s="343">
        <v>815.12970000000007</v>
      </c>
      <c r="J257" s="343">
        <v>929.9367000000002</v>
      </c>
      <c r="K257" s="343">
        <v>1722.1050000000002</v>
      </c>
      <c r="L257" s="344">
        <v>699.19887434554948</v>
      </c>
    </row>
    <row r="258" spans="2:12">
      <c r="B258" s="276">
        <v>276000</v>
      </c>
      <c r="C258" s="334">
        <v>768.1632000000003</v>
      </c>
      <c r="D258" s="334">
        <v>876.35520000000008</v>
      </c>
      <c r="E258" s="276">
        <v>1622.88</v>
      </c>
      <c r="F258" s="304">
        <v>807.22861570680607</v>
      </c>
      <c r="H258" s="191"/>
      <c r="I258" s="343">
        <v>818.09380800000031</v>
      </c>
      <c r="J258" s="343">
        <v>933.31828800000005</v>
      </c>
      <c r="K258" s="343">
        <v>1728.3672000000001</v>
      </c>
      <c r="L258" s="344">
        <v>701.74141570680604</v>
      </c>
    </row>
    <row r="259" spans="2:12">
      <c r="B259" s="276">
        <v>277000</v>
      </c>
      <c r="C259" s="334">
        <v>770.94640000000015</v>
      </c>
      <c r="D259" s="334">
        <v>879.53039999999999</v>
      </c>
      <c r="E259" s="276">
        <v>1628.7600000000002</v>
      </c>
      <c r="F259" s="304">
        <v>810.15335706806263</v>
      </c>
      <c r="H259" s="191"/>
      <c r="I259" s="343">
        <v>821.0579160000002</v>
      </c>
      <c r="J259" s="343">
        <v>936.69987600000002</v>
      </c>
      <c r="K259" s="343">
        <v>1734.6294000000003</v>
      </c>
      <c r="L259" s="344">
        <v>704.28395706806259</v>
      </c>
    </row>
    <row r="260" spans="2:12">
      <c r="B260" s="276">
        <v>278000</v>
      </c>
      <c r="C260" s="334">
        <v>773.72960000000012</v>
      </c>
      <c r="D260" s="334">
        <v>882.70560000000012</v>
      </c>
      <c r="E260" s="276">
        <v>1634.64</v>
      </c>
      <c r="F260" s="304">
        <v>813.0780984293192</v>
      </c>
      <c r="H260" s="191"/>
      <c r="I260" s="343">
        <v>824.0220240000001</v>
      </c>
      <c r="J260" s="343">
        <v>940.0814640000001</v>
      </c>
      <c r="K260" s="343">
        <v>1740.8916000000002</v>
      </c>
      <c r="L260" s="344">
        <v>706.82649842931914</v>
      </c>
    </row>
    <row r="261" spans="2:12">
      <c r="B261" s="276">
        <v>279000</v>
      </c>
      <c r="C261" s="334">
        <v>776.51280000000008</v>
      </c>
      <c r="D261" s="334">
        <v>885.88080000000002</v>
      </c>
      <c r="E261" s="276">
        <v>1640.5200000000002</v>
      </c>
      <c r="F261" s="304">
        <v>816.00283979057576</v>
      </c>
      <c r="H261" s="191"/>
      <c r="I261" s="343">
        <v>826.98613200000011</v>
      </c>
      <c r="J261" s="343">
        <v>943.46305200000006</v>
      </c>
      <c r="K261" s="343">
        <v>1747.1538000000003</v>
      </c>
      <c r="L261" s="344">
        <v>709.3690397905757</v>
      </c>
    </row>
    <row r="262" spans="2:12">
      <c r="B262" s="276">
        <v>280000</v>
      </c>
      <c r="C262" s="334">
        <v>779.29600000000028</v>
      </c>
      <c r="D262" s="334">
        <v>889.05600000000015</v>
      </c>
      <c r="E262" s="276">
        <v>1646.4000000000003</v>
      </c>
      <c r="F262" s="304">
        <v>818.92758115183233</v>
      </c>
      <c r="H262" s="191"/>
      <c r="I262" s="343">
        <v>829.95024000000035</v>
      </c>
      <c r="J262" s="343">
        <v>946.84464000000014</v>
      </c>
      <c r="K262" s="343">
        <v>1753.4160000000004</v>
      </c>
      <c r="L262" s="344">
        <v>711.91158115183225</v>
      </c>
    </row>
    <row r="263" spans="2:12">
      <c r="B263" s="276">
        <v>281000</v>
      </c>
      <c r="C263" s="334">
        <v>782.07920000000013</v>
      </c>
      <c r="D263" s="334">
        <v>892.23120000000017</v>
      </c>
      <c r="E263" s="276">
        <v>1652.28</v>
      </c>
      <c r="F263" s="304">
        <v>821.85232251308889</v>
      </c>
      <c r="H263" s="191"/>
      <c r="I263" s="343">
        <v>832.91434800000013</v>
      </c>
      <c r="J263" s="343">
        <v>950.22622800000022</v>
      </c>
      <c r="K263" s="343">
        <v>1759.6782000000001</v>
      </c>
      <c r="L263" s="344">
        <v>714.45412251308881</v>
      </c>
    </row>
    <row r="264" spans="2:12">
      <c r="B264" s="276">
        <v>282000</v>
      </c>
      <c r="C264" s="334">
        <v>784.86239999999998</v>
      </c>
      <c r="D264" s="334">
        <v>895.40639999999996</v>
      </c>
      <c r="E264" s="276">
        <v>1658.16</v>
      </c>
      <c r="F264" s="304">
        <v>824.77706387434546</v>
      </c>
      <c r="H264" s="191"/>
      <c r="I264" s="343">
        <v>835.87845600000003</v>
      </c>
      <c r="J264" s="343">
        <v>953.60781599999996</v>
      </c>
      <c r="K264" s="343">
        <v>1765.9404000000002</v>
      </c>
      <c r="L264" s="344">
        <v>716.99666387434536</v>
      </c>
    </row>
    <row r="265" spans="2:12">
      <c r="B265" s="276">
        <v>283000</v>
      </c>
      <c r="C265" s="334">
        <v>787.64560000000017</v>
      </c>
      <c r="D265" s="334">
        <v>898.58160000000009</v>
      </c>
      <c r="E265" s="276">
        <v>1664.0400000000002</v>
      </c>
      <c r="F265" s="304">
        <v>827.70180523560202</v>
      </c>
      <c r="H265" s="191"/>
      <c r="I265" s="343">
        <v>838.84256400000015</v>
      </c>
      <c r="J265" s="343">
        <v>956.98940400000015</v>
      </c>
      <c r="K265" s="343">
        <v>1772.2026000000003</v>
      </c>
      <c r="L265" s="344">
        <v>719.53920523560191</v>
      </c>
    </row>
    <row r="266" spans="2:12">
      <c r="B266" s="276">
        <v>284000</v>
      </c>
      <c r="C266" s="334">
        <v>790.42880000000014</v>
      </c>
      <c r="D266" s="334">
        <v>901.75680000000011</v>
      </c>
      <c r="E266" s="276">
        <v>1669.92</v>
      </c>
      <c r="F266" s="304">
        <v>830.62654659685859</v>
      </c>
      <c r="H266" s="191"/>
      <c r="I266" s="343">
        <v>841.80667200000016</v>
      </c>
      <c r="J266" s="343">
        <v>960.37099200000011</v>
      </c>
      <c r="K266" s="343">
        <v>1778.4648000000002</v>
      </c>
      <c r="L266" s="344">
        <v>722.08174659685847</v>
      </c>
    </row>
    <row r="267" spans="2:12">
      <c r="B267" s="276">
        <v>285000</v>
      </c>
      <c r="C267" s="334">
        <v>793.2120000000001</v>
      </c>
      <c r="D267" s="334">
        <v>904.93200000000013</v>
      </c>
      <c r="E267" s="276">
        <v>1675.8000000000002</v>
      </c>
      <c r="F267" s="304">
        <v>833.55128795811515</v>
      </c>
      <c r="H267" s="191"/>
      <c r="I267" s="343">
        <v>844.77078000000006</v>
      </c>
      <c r="J267" s="343">
        <v>963.75258000000019</v>
      </c>
      <c r="K267" s="343">
        <v>1784.7270000000003</v>
      </c>
      <c r="L267" s="344">
        <v>724.62428795811502</v>
      </c>
    </row>
    <row r="268" spans="2:12">
      <c r="B268" s="276">
        <v>286000</v>
      </c>
      <c r="C268" s="334">
        <v>795.99520000000018</v>
      </c>
      <c r="D268" s="334">
        <v>908.10720000000003</v>
      </c>
      <c r="E268" s="276">
        <v>1681.6800000000003</v>
      </c>
      <c r="F268" s="304">
        <v>836.47602931937149</v>
      </c>
      <c r="H268" s="191"/>
      <c r="I268" s="343">
        <v>847.73488800000018</v>
      </c>
      <c r="J268" s="343">
        <v>967.13416800000005</v>
      </c>
      <c r="K268" s="343">
        <v>1790.9892000000002</v>
      </c>
      <c r="L268" s="344">
        <v>727.16682931937157</v>
      </c>
    </row>
    <row r="269" spans="2:12">
      <c r="B269" s="276">
        <v>287000</v>
      </c>
      <c r="C269" s="334">
        <v>798.77840000000015</v>
      </c>
      <c r="D269" s="334">
        <v>911.28240000000005</v>
      </c>
      <c r="E269" s="276">
        <v>1687.5600000000002</v>
      </c>
      <c r="F269" s="304">
        <v>839.40077068062806</v>
      </c>
      <c r="H269" s="191"/>
      <c r="I269" s="343">
        <v>850.69899600000019</v>
      </c>
      <c r="J269" s="343">
        <v>970.51575600000001</v>
      </c>
      <c r="K269" s="343">
        <v>1797.2514000000001</v>
      </c>
      <c r="L269" s="344">
        <v>729.70937068062813</v>
      </c>
    </row>
    <row r="270" spans="2:12">
      <c r="B270" s="276">
        <v>288000</v>
      </c>
      <c r="C270" s="334">
        <v>801.56160000000034</v>
      </c>
      <c r="D270" s="334">
        <v>914.45759999999984</v>
      </c>
      <c r="E270" s="276">
        <v>1693.4400000000003</v>
      </c>
      <c r="F270" s="304">
        <v>842.32551204188462</v>
      </c>
      <c r="H270" s="191"/>
      <c r="I270" s="343">
        <v>853.66310400000032</v>
      </c>
      <c r="J270" s="343">
        <v>973.89734399999986</v>
      </c>
      <c r="K270" s="343">
        <v>1803.5136000000002</v>
      </c>
      <c r="L270" s="344">
        <v>732.25191204188468</v>
      </c>
    </row>
    <row r="271" spans="2:12">
      <c r="B271" s="276">
        <v>289000</v>
      </c>
      <c r="C271" s="334">
        <v>804.34480000000019</v>
      </c>
      <c r="D271" s="334">
        <v>917.6328000000002</v>
      </c>
      <c r="E271" s="276">
        <v>1699.32</v>
      </c>
      <c r="F271" s="304">
        <v>845.25025340314107</v>
      </c>
      <c r="H271" s="191"/>
      <c r="I271" s="343">
        <v>856.62721200000021</v>
      </c>
      <c r="J271" s="343">
        <v>977.27893200000017</v>
      </c>
      <c r="K271" s="343">
        <v>1809.7757999999999</v>
      </c>
      <c r="L271" s="344">
        <v>734.79445340314112</v>
      </c>
    </row>
    <row r="272" spans="2:12">
      <c r="B272" s="276">
        <v>290000</v>
      </c>
      <c r="C272" s="334">
        <v>807.12800000000016</v>
      </c>
      <c r="D272" s="334">
        <v>920.80800000000011</v>
      </c>
      <c r="E272" s="276">
        <v>1705.2</v>
      </c>
      <c r="F272" s="304">
        <v>848.17499476439764</v>
      </c>
      <c r="H272" s="191"/>
      <c r="I272" s="343">
        <v>859.59132000000022</v>
      </c>
      <c r="J272" s="343">
        <v>980.66052000000013</v>
      </c>
      <c r="K272" s="343">
        <v>1816.038</v>
      </c>
      <c r="L272" s="344">
        <v>737.33699476439767</v>
      </c>
    </row>
    <row r="273" spans="2:12">
      <c r="B273" s="276">
        <v>291000</v>
      </c>
      <c r="C273" s="334">
        <v>809.91120000000012</v>
      </c>
      <c r="D273" s="334">
        <v>923.98320000000012</v>
      </c>
      <c r="E273" s="276">
        <v>1711.0800000000002</v>
      </c>
      <c r="F273" s="304">
        <v>851.0997361256542</v>
      </c>
      <c r="H273" s="191"/>
      <c r="I273" s="343">
        <v>862.55542800000012</v>
      </c>
      <c r="J273" s="343">
        <v>984.0421080000001</v>
      </c>
      <c r="K273" s="343">
        <v>1822.3002000000001</v>
      </c>
      <c r="L273" s="344">
        <v>739.87953612565423</v>
      </c>
    </row>
    <row r="274" spans="2:12">
      <c r="B274" s="276">
        <v>292000</v>
      </c>
      <c r="C274" s="334">
        <v>812.69440000000031</v>
      </c>
      <c r="D274" s="334">
        <v>927.15840000000014</v>
      </c>
      <c r="E274" s="276">
        <v>1716.96</v>
      </c>
      <c r="F274" s="304">
        <v>854.02447748691077</v>
      </c>
      <c r="H274" s="191"/>
      <c r="I274" s="343">
        <v>865.51953600000036</v>
      </c>
      <c r="J274" s="343">
        <v>987.42369600000018</v>
      </c>
      <c r="K274" s="343">
        <v>1828.5624</v>
      </c>
      <c r="L274" s="344">
        <v>742.42207748691078</v>
      </c>
    </row>
    <row r="275" spans="2:12">
      <c r="B275" s="276">
        <v>293000</v>
      </c>
      <c r="C275" s="334">
        <v>815.47760000000028</v>
      </c>
      <c r="D275" s="334">
        <v>930.33359999999993</v>
      </c>
      <c r="E275" s="276">
        <v>1722.8400000000001</v>
      </c>
      <c r="F275" s="304">
        <v>856.94921884816733</v>
      </c>
      <c r="H275" s="191"/>
      <c r="I275" s="343">
        <v>868.48364400000025</v>
      </c>
      <c r="J275" s="343">
        <v>990.80528399999992</v>
      </c>
      <c r="K275" s="343">
        <v>1834.8246000000001</v>
      </c>
      <c r="L275" s="344">
        <v>744.96461884816733</v>
      </c>
    </row>
    <row r="276" spans="2:12">
      <c r="B276" s="276">
        <v>294000</v>
      </c>
      <c r="C276" s="334">
        <v>818.26080000000002</v>
      </c>
      <c r="D276" s="334">
        <v>933.50880000000018</v>
      </c>
      <c r="E276" s="276">
        <v>1728.7200000000003</v>
      </c>
      <c r="F276" s="304">
        <v>859.8739602094239</v>
      </c>
      <c r="H276" s="191"/>
      <c r="I276" s="343">
        <v>871.44775200000004</v>
      </c>
      <c r="J276" s="343">
        <v>994.18687200000022</v>
      </c>
      <c r="K276" s="343">
        <v>1841.0868000000003</v>
      </c>
      <c r="L276" s="344">
        <v>747.50716020942389</v>
      </c>
    </row>
    <row r="277" spans="2:12">
      <c r="B277" s="276">
        <v>295000</v>
      </c>
      <c r="C277" s="334">
        <v>821.04399999999998</v>
      </c>
      <c r="D277" s="334">
        <v>936.68400000000008</v>
      </c>
      <c r="E277" s="276">
        <v>1734.6000000000001</v>
      </c>
      <c r="F277" s="304">
        <v>862.79870157068046</v>
      </c>
      <c r="H277" s="191"/>
      <c r="I277" s="343">
        <v>874.41185999999993</v>
      </c>
      <c r="J277" s="343">
        <v>997.56846000000007</v>
      </c>
      <c r="K277" s="343">
        <v>1847.3490000000002</v>
      </c>
      <c r="L277" s="344">
        <v>750.04970157068044</v>
      </c>
    </row>
    <row r="278" spans="2:12">
      <c r="B278" s="276">
        <v>296000</v>
      </c>
      <c r="C278" s="334">
        <v>823.82720000000006</v>
      </c>
      <c r="D278" s="334">
        <v>939.85919999999999</v>
      </c>
      <c r="E278" s="276">
        <v>1740.4800000000002</v>
      </c>
      <c r="F278" s="304">
        <v>865.72344293193703</v>
      </c>
      <c r="H278" s="191"/>
      <c r="I278" s="343">
        <v>877.37596800000006</v>
      </c>
      <c r="J278" s="343">
        <v>1000.950048</v>
      </c>
      <c r="K278" s="343">
        <v>1853.6112000000003</v>
      </c>
      <c r="L278" s="344">
        <v>752.59224293193699</v>
      </c>
    </row>
    <row r="279" spans="2:12">
      <c r="B279" s="276">
        <v>297000</v>
      </c>
      <c r="C279" s="334">
        <v>826.61040000000014</v>
      </c>
      <c r="D279" s="334">
        <v>943.03440000000012</v>
      </c>
      <c r="E279" s="276">
        <v>1746.3600000000004</v>
      </c>
      <c r="F279" s="304">
        <v>868.64818429319359</v>
      </c>
      <c r="H279" s="191"/>
      <c r="I279" s="343">
        <v>880.34007600000018</v>
      </c>
      <c r="J279" s="343">
        <v>1004.3316360000001</v>
      </c>
      <c r="K279" s="343">
        <v>1859.8734000000004</v>
      </c>
      <c r="L279" s="344">
        <v>755.13478429319355</v>
      </c>
    </row>
    <row r="280" spans="2:12">
      <c r="B280" s="276">
        <v>298000</v>
      </c>
      <c r="C280" s="334">
        <v>829.39360000000022</v>
      </c>
      <c r="D280" s="334">
        <v>946.20960000000002</v>
      </c>
      <c r="E280" s="276">
        <v>1752.24</v>
      </c>
      <c r="F280" s="304">
        <v>871.57292565445016</v>
      </c>
      <c r="H280" s="191"/>
      <c r="I280" s="343">
        <v>883.30418400000019</v>
      </c>
      <c r="J280" s="343">
        <v>1007.7132240000001</v>
      </c>
      <c r="K280" s="343">
        <v>1866.1356000000001</v>
      </c>
      <c r="L280" s="344">
        <v>757.6773256544501</v>
      </c>
    </row>
    <row r="281" spans="2:12">
      <c r="B281" s="276">
        <v>299000</v>
      </c>
      <c r="C281" s="334">
        <v>832.17680000000007</v>
      </c>
      <c r="D281" s="334">
        <v>949.38480000000027</v>
      </c>
      <c r="E281" s="276">
        <v>1758.1200000000001</v>
      </c>
      <c r="F281" s="304">
        <v>874.49766701570672</v>
      </c>
      <c r="H281" s="191"/>
      <c r="I281" s="343">
        <v>886.26829200000009</v>
      </c>
      <c r="J281" s="343">
        <v>1011.0948120000003</v>
      </c>
      <c r="K281" s="343">
        <v>1872.3978000000002</v>
      </c>
      <c r="L281" s="344">
        <v>760.21986701570665</v>
      </c>
    </row>
    <row r="282" spans="2:12">
      <c r="B282" s="276">
        <v>300000</v>
      </c>
      <c r="C282" s="334">
        <v>834.96</v>
      </c>
      <c r="D282" s="334">
        <v>952.56000000000006</v>
      </c>
      <c r="E282" s="276">
        <v>1764.0000000000002</v>
      </c>
      <c r="F282" s="304">
        <v>877.42240837696329</v>
      </c>
      <c r="H282" s="191"/>
      <c r="I282" s="343">
        <v>889.2324000000001</v>
      </c>
      <c r="J282" s="343">
        <v>1014.4764</v>
      </c>
      <c r="K282" s="343">
        <v>1878.6600000000003</v>
      </c>
      <c r="L282" s="344">
        <v>762.76240837696321</v>
      </c>
    </row>
    <row r="283" spans="2:12">
      <c r="B283" s="276">
        <v>301000</v>
      </c>
      <c r="C283" s="334">
        <v>837.7432</v>
      </c>
      <c r="D283" s="334">
        <v>955.73520000000008</v>
      </c>
      <c r="E283" s="276">
        <v>1769.88</v>
      </c>
      <c r="F283" s="304">
        <v>880.34714973821985</v>
      </c>
      <c r="H283" s="191"/>
      <c r="I283" s="343">
        <v>892.19650799999999</v>
      </c>
      <c r="J283" s="343">
        <v>1017.8579880000001</v>
      </c>
      <c r="K283" s="343">
        <v>1884.9222000000002</v>
      </c>
      <c r="L283" s="344">
        <v>765.30494973821976</v>
      </c>
    </row>
    <row r="284" spans="2:12">
      <c r="B284" s="276">
        <v>302000</v>
      </c>
      <c r="C284" s="334">
        <v>840.52640000000019</v>
      </c>
      <c r="D284" s="334">
        <v>958.9104000000001</v>
      </c>
      <c r="E284" s="276">
        <v>1775.7600000000002</v>
      </c>
      <c r="F284" s="304">
        <v>883.27189109947642</v>
      </c>
      <c r="H284" s="191"/>
      <c r="I284" s="343">
        <v>895.16061600000023</v>
      </c>
      <c r="J284" s="343">
        <v>1021.2395760000001</v>
      </c>
      <c r="K284" s="343">
        <v>1891.1844000000003</v>
      </c>
      <c r="L284" s="344">
        <v>767.84749109947631</v>
      </c>
    </row>
    <row r="285" spans="2:12">
      <c r="B285" s="276">
        <v>303000</v>
      </c>
      <c r="C285" s="334">
        <v>843.30960000000016</v>
      </c>
      <c r="D285" s="334">
        <v>962.0856</v>
      </c>
      <c r="E285" s="276">
        <v>1781.64</v>
      </c>
      <c r="F285" s="304">
        <v>886.1966324607323</v>
      </c>
      <c r="H285" s="191"/>
      <c r="I285" s="343">
        <v>898.12472400000013</v>
      </c>
      <c r="J285" s="343">
        <v>1024.6211639999999</v>
      </c>
      <c r="K285" s="343">
        <v>1897.4466000000002</v>
      </c>
      <c r="L285" s="344">
        <v>770.39003246073219</v>
      </c>
    </row>
    <row r="286" spans="2:12">
      <c r="B286" s="276">
        <v>304000</v>
      </c>
      <c r="C286" s="334">
        <v>846.09280000000024</v>
      </c>
      <c r="D286" s="334">
        <v>965.26080000000002</v>
      </c>
      <c r="E286" s="276">
        <v>1787.5200000000002</v>
      </c>
      <c r="F286" s="304">
        <v>889.12137382198875</v>
      </c>
      <c r="H286" s="191"/>
      <c r="I286" s="343">
        <v>901.08883200000025</v>
      </c>
      <c r="J286" s="343">
        <v>1028.0027520000001</v>
      </c>
      <c r="K286" s="343">
        <v>1903.7088000000003</v>
      </c>
      <c r="L286" s="344">
        <v>772.93257382198863</v>
      </c>
    </row>
    <row r="287" spans="2:12">
      <c r="B287" s="276">
        <v>305000</v>
      </c>
      <c r="C287" s="334">
        <v>848.87600000000009</v>
      </c>
      <c r="D287" s="334">
        <v>968.43600000000015</v>
      </c>
      <c r="E287" s="276">
        <v>1793.4000000000003</v>
      </c>
      <c r="F287" s="304">
        <v>892.04611518324532</v>
      </c>
      <c r="H287" s="191"/>
      <c r="I287" s="343">
        <v>904.05294000000015</v>
      </c>
      <c r="J287" s="343">
        <v>1031.3843400000001</v>
      </c>
      <c r="K287" s="343">
        <v>1909.9710000000005</v>
      </c>
      <c r="L287" s="344">
        <v>775.47511518324518</v>
      </c>
    </row>
    <row r="288" spans="2:12">
      <c r="B288" s="276">
        <v>306000</v>
      </c>
      <c r="C288" s="334">
        <v>851.65920000000006</v>
      </c>
      <c r="D288" s="334">
        <v>971.61120000000017</v>
      </c>
      <c r="E288" s="276">
        <v>1799.28</v>
      </c>
      <c r="F288" s="304">
        <v>894.97085654450166</v>
      </c>
      <c r="H288" s="191"/>
      <c r="I288" s="343">
        <v>907.01704800000005</v>
      </c>
      <c r="J288" s="343">
        <v>1034.7659280000003</v>
      </c>
      <c r="K288" s="343">
        <v>1916.2331999999999</v>
      </c>
      <c r="L288" s="344">
        <v>778.01765654450173</v>
      </c>
    </row>
    <row r="289" spans="2:12">
      <c r="B289" s="276">
        <v>307000</v>
      </c>
      <c r="C289" s="334">
        <v>854.44240000000025</v>
      </c>
      <c r="D289" s="334">
        <v>974.78640000000007</v>
      </c>
      <c r="E289" s="276">
        <v>1805.16</v>
      </c>
      <c r="F289" s="304">
        <v>897.89559790575822</v>
      </c>
      <c r="H289" s="191"/>
      <c r="I289" s="343">
        <v>909.98115600000028</v>
      </c>
      <c r="J289" s="343">
        <v>1038.147516</v>
      </c>
      <c r="K289" s="343">
        <v>1922.4954</v>
      </c>
      <c r="L289" s="344">
        <v>780.56019790575829</v>
      </c>
    </row>
    <row r="290" spans="2:12">
      <c r="B290" s="276">
        <v>308000</v>
      </c>
      <c r="C290" s="334">
        <v>857.22560000000021</v>
      </c>
      <c r="D290" s="334">
        <v>977.96160000000009</v>
      </c>
      <c r="E290" s="276">
        <v>1811.0400000000002</v>
      </c>
      <c r="F290" s="304">
        <v>900.82033926701479</v>
      </c>
      <c r="H290" s="191"/>
      <c r="I290" s="343">
        <v>912.94526400000018</v>
      </c>
      <c r="J290" s="343">
        <v>1041.5291040000002</v>
      </c>
      <c r="K290" s="343">
        <v>1928.7576000000001</v>
      </c>
      <c r="L290" s="344">
        <v>783.10273926701484</v>
      </c>
    </row>
    <row r="291" spans="2:12">
      <c r="B291" s="276">
        <v>309000</v>
      </c>
      <c r="C291" s="334">
        <v>860.00880000000018</v>
      </c>
      <c r="D291" s="334">
        <v>981.13680000000011</v>
      </c>
      <c r="E291" s="276">
        <v>1816.92</v>
      </c>
      <c r="F291" s="304">
        <v>903.74508062827135</v>
      </c>
      <c r="H291" s="191"/>
      <c r="I291" s="343">
        <v>915.90937200000019</v>
      </c>
      <c r="J291" s="343">
        <v>1044.9106920000002</v>
      </c>
      <c r="K291" s="343">
        <v>1935.0198</v>
      </c>
      <c r="L291" s="344">
        <v>785.64528062827139</v>
      </c>
    </row>
    <row r="292" spans="2:12">
      <c r="B292" s="276">
        <v>310000</v>
      </c>
      <c r="C292" s="334">
        <v>862.79200000000026</v>
      </c>
      <c r="D292" s="334">
        <v>984.31200000000024</v>
      </c>
      <c r="E292" s="276">
        <v>1822.8000000000002</v>
      </c>
      <c r="F292" s="304">
        <v>906.66982198952792</v>
      </c>
      <c r="H292" s="191"/>
      <c r="I292" s="343">
        <v>918.87348000000031</v>
      </c>
      <c r="J292" s="343">
        <v>1048.2922800000003</v>
      </c>
      <c r="K292" s="343">
        <v>1941.2820000000002</v>
      </c>
      <c r="L292" s="344">
        <v>788.18782198952795</v>
      </c>
    </row>
    <row r="293" spans="2:12">
      <c r="B293" s="276">
        <v>311000</v>
      </c>
      <c r="C293" s="334">
        <v>865.57520000000011</v>
      </c>
      <c r="D293" s="334">
        <v>987.48720000000003</v>
      </c>
      <c r="E293" s="276">
        <v>1828.6800000000003</v>
      </c>
      <c r="F293" s="304">
        <v>909.59456335078448</v>
      </c>
      <c r="H293" s="191"/>
      <c r="I293" s="343">
        <v>921.8375880000001</v>
      </c>
      <c r="J293" s="343">
        <v>1051.6738680000001</v>
      </c>
      <c r="K293" s="343">
        <v>1947.5442000000003</v>
      </c>
      <c r="L293" s="344">
        <v>790.7303633507845</v>
      </c>
    </row>
    <row r="294" spans="2:12">
      <c r="B294" s="276">
        <v>312000</v>
      </c>
      <c r="C294" s="334">
        <v>868.35840000000019</v>
      </c>
      <c r="D294" s="334">
        <v>990.66240000000005</v>
      </c>
      <c r="E294" s="276">
        <v>1834.5600000000002</v>
      </c>
      <c r="F294" s="304">
        <v>912.51930471204105</v>
      </c>
      <c r="H294" s="191"/>
      <c r="I294" s="343">
        <v>924.80169600000022</v>
      </c>
      <c r="J294" s="343">
        <v>1055.055456</v>
      </c>
      <c r="K294" s="343">
        <v>1953.8064000000002</v>
      </c>
      <c r="L294" s="344">
        <v>793.27290471204105</v>
      </c>
    </row>
    <row r="295" spans="2:12">
      <c r="B295" s="276">
        <v>313000</v>
      </c>
      <c r="C295" s="334">
        <v>871.14160000000027</v>
      </c>
      <c r="D295" s="334">
        <v>993.83759999999995</v>
      </c>
      <c r="E295" s="276">
        <v>1840.4400000000003</v>
      </c>
      <c r="F295" s="304">
        <v>915.44404607329761</v>
      </c>
      <c r="H295" s="191"/>
      <c r="I295" s="343">
        <v>927.76580400000034</v>
      </c>
      <c r="J295" s="343">
        <v>1058.437044</v>
      </c>
      <c r="K295" s="343">
        <v>1960.0686000000003</v>
      </c>
      <c r="L295" s="344">
        <v>795.81544607329761</v>
      </c>
    </row>
    <row r="296" spans="2:12">
      <c r="B296" s="276">
        <v>314000</v>
      </c>
      <c r="C296" s="334">
        <v>873.92480000000023</v>
      </c>
      <c r="D296" s="334">
        <v>997.01279999999997</v>
      </c>
      <c r="E296" s="276">
        <v>1846.3200000000004</v>
      </c>
      <c r="F296" s="304">
        <v>918.36878743455418</v>
      </c>
      <c r="H296" s="191"/>
      <c r="I296" s="343">
        <v>930.72991200000024</v>
      </c>
      <c r="J296" s="343">
        <v>1061.818632</v>
      </c>
      <c r="K296" s="343">
        <v>1966.3308000000004</v>
      </c>
      <c r="L296" s="344">
        <v>798.35798743455416</v>
      </c>
    </row>
    <row r="297" spans="2:12">
      <c r="B297" s="276">
        <v>315000</v>
      </c>
      <c r="C297" s="334">
        <v>876.7080000000002</v>
      </c>
      <c r="D297" s="334">
        <v>1000.1880000000002</v>
      </c>
      <c r="E297" s="276">
        <v>1852.2</v>
      </c>
      <c r="F297" s="304">
        <v>921.29352879581074</v>
      </c>
      <c r="H297" s="191"/>
      <c r="I297" s="343">
        <v>933.69402000000025</v>
      </c>
      <c r="J297" s="343">
        <v>1065.2002200000002</v>
      </c>
      <c r="K297" s="343">
        <v>1972.5930000000001</v>
      </c>
      <c r="L297" s="344">
        <v>800.90052879581071</v>
      </c>
    </row>
    <row r="298" spans="2:12">
      <c r="B298" s="276">
        <v>316000</v>
      </c>
      <c r="C298" s="334">
        <v>879.49120000000005</v>
      </c>
      <c r="D298" s="334">
        <v>1003.3632000000001</v>
      </c>
      <c r="E298" s="276">
        <v>1858.0800000000002</v>
      </c>
      <c r="F298" s="304">
        <v>924.21827015706731</v>
      </c>
      <c r="H298" s="191"/>
      <c r="I298" s="343">
        <v>936.65812800000003</v>
      </c>
      <c r="J298" s="343">
        <v>1068.5818080000001</v>
      </c>
      <c r="K298" s="343">
        <v>1978.8552000000002</v>
      </c>
      <c r="L298" s="344">
        <v>803.44307015706727</v>
      </c>
    </row>
    <row r="299" spans="2:12">
      <c r="B299" s="276">
        <v>317000</v>
      </c>
      <c r="C299" s="334">
        <v>882.27440000000024</v>
      </c>
      <c r="D299" s="334">
        <v>1006.5384</v>
      </c>
      <c r="E299" s="276">
        <v>1863.96</v>
      </c>
      <c r="F299" s="304">
        <v>927.14301151832376</v>
      </c>
      <c r="H299" s="191"/>
      <c r="I299" s="343">
        <v>939.62223600000027</v>
      </c>
      <c r="J299" s="343">
        <v>1071.9633960000001</v>
      </c>
      <c r="K299" s="343">
        <v>1985.1174000000001</v>
      </c>
      <c r="L299" s="344">
        <v>805.98561151832371</v>
      </c>
    </row>
    <row r="300" spans="2:12">
      <c r="B300" s="276">
        <v>318000</v>
      </c>
      <c r="C300" s="334">
        <v>885.05760000000021</v>
      </c>
      <c r="D300" s="334">
        <v>1009.7136</v>
      </c>
      <c r="E300" s="276">
        <v>1869.8400000000001</v>
      </c>
      <c r="F300" s="304">
        <v>930.06775287958033</v>
      </c>
      <c r="H300" s="191"/>
      <c r="I300" s="343">
        <v>942.58634400000028</v>
      </c>
      <c r="J300" s="343">
        <v>1075.3449840000001</v>
      </c>
      <c r="K300" s="343">
        <v>1991.3796000000002</v>
      </c>
      <c r="L300" s="344">
        <v>808.52815287958026</v>
      </c>
    </row>
    <row r="301" spans="2:12">
      <c r="B301" s="276">
        <v>319000</v>
      </c>
      <c r="C301" s="334">
        <v>887.84080000000006</v>
      </c>
      <c r="D301" s="334">
        <v>1012.8888000000001</v>
      </c>
      <c r="E301" s="276">
        <v>1875.7200000000003</v>
      </c>
      <c r="F301" s="304">
        <v>932.99249424083689</v>
      </c>
      <c r="H301" s="191"/>
      <c r="I301" s="343">
        <v>945.55045200000006</v>
      </c>
      <c r="J301" s="343">
        <v>1078.726572</v>
      </c>
      <c r="K301" s="343">
        <v>1997.6418000000003</v>
      </c>
      <c r="L301" s="344">
        <v>811.07069424083681</v>
      </c>
    </row>
    <row r="302" spans="2:12">
      <c r="B302" s="276">
        <v>320000</v>
      </c>
      <c r="C302" s="334">
        <v>890.62400000000014</v>
      </c>
      <c r="D302" s="334">
        <v>1016.064</v>
      </c>
      <c r="E302" s="276">
        <v>1881.6000000000001</v>
      </c>
      <c r="F302" s="304">
        <v>935.91723560209346</v>
      </c>
      <c r="H302" s="191"/>
      <c r="I302" s="343">
        <v>948.51456000000019</v>
      </c>
      <c r="J302" s="343">
        <v>1082.10816</v>
      </c>
      <c r="K302" s="343">
        <v>2003.9040000000002</v>
      </c>
      <c r="L302" s="344">
        <v>813.61323560209337</v>
      </c>
    </row>
    <row r="303" spans="2:12">
      <c r="B303" s="276">
        <v>321000</v>
      </c>
      <c r="C303" s="334">
        <v>893.40719999999999</v>
      </c>
      <c r="D303" s="334">
        <v>1019.2392000000001</v>
      </c>
      <c r="E303" s="276">
        <v>1887.4800000000002</v>
      </c>
      <c r="F303" s="304">
        <v>938.84197696335002</v>
      </c>
      <c r="H303" s="191"/>
      <c r="I303" s="343">
        <v>951.47866799999997</v>
      </c>
      <c r="J303" s="343">
        <v>1085.4897480000002</v>
      </c>
      <c r="K303" s="343">
        <v>2010.1662000000003</v>
      </c>
      <c r="L303" s="344">
        <v>816.15577696334992</v>
      </c>
    </row>
    <row r="304" spans="2:12">
      <c r="B304" s="276">
        <v>322000</v>
      </c>
      <c r="C304" s="334">
        <v>896.19040000000007</v>
      </c>
      <c r="D304" s="334">
        <v>1022.4144000000001</v>
      </c>
      <c r="E304" s="276">
        <v>1893.3600000000004</v>
      </c>
      <c r="F304" s="304">
        <v>941.76671832460659</v>
      </c>
      <c r="H304" s="191"/>
      <c r="I304" s="343">
        <v>954.44277600000009</v>
      </c>
      <c r="J304" s="343">
        <v>1088.8713360000002</v>
      </c>
      <c r="K304" s="343">
        <v>2016.4284000000005</v>
      </c>
      <c r="L304" s="344">
        <v>818.69831832460648</v>
      </c>
    </row>
    <row r="305" spans="2:12">
      <c r="B305" s="276">
        <v>323000</v>
      </c>
      <c r="C305" s="334">
        <v>898.97360000000015</v>
      </c>
      <c r="D305" s="334">
        <v>1025.5896</v>
      </c>
      <c r="E305" s="276">
        <v>1899.24</v>
      </c>
      <c r="F305" s="304">
        <v>944.69145968586292</v>
      </c>
      <c r="H305" s="191"/>
      <c r="I305" s="343">
        <v>957.40688400000022</v>
      </c>
      <c r="J305" s="343">
        <v>1092.2529240000001</v>
      </c>
      <c r="K305" s="343">
        <v>2022.6905999999999</v>
      </c>
      <c r="L305" s="344">
        <v>821.24085968586303</v>
      </c>
    </row>
    <row r="306" spans="2:12">
      <c r="B306" s="276">
        <v>324000</v>
      </c>
      <c r="C306" s="334">
        <v>901.75680000000011</v>
      </c>
      <c r="D306" s="334">
        <v>1028.7648000000002</v>
      </c>
      <c r="E306" s="276">
        <v>1905.1200000000001</v>
      </c>
      <c r="F306" s="304">
        <v>947.61620104711949</v>
      </c>
      <c r="H306" s="191"/>
      <c r="I306" s="343">
        <v>960.37099200000011</v>
      </c>
      <c r="J306" s="343">
        <v>1095.6345120000001</v>
      </c>
      <c r="K306" s="343">
        <v>2028.9528</v>
      </c>
      <c r="L306" s="344">
        <v>823.78340104711958</v>
      </c>
    </row>
    <row r="307" spans="2:12">
      <c r="B307" s="276">
        <v>325000</v>
      </c>
      <c r="C307" s="334">
        <v>904.54000000000008</v>
      </c>
      <c r="D307" s="334">
        <v>1031.94</v>
      </c>
      <c r="E307" s="276">
        <v>1911.0000000000002</v>
      </c>
      <c r="F307" s="304">
        <v>950.54094240837605</v>
      </c>
      <c r="H307" s="191"/>
      <c r="I307" s="343">
        <v>963.33510000000012</v>
      </c>
      <c r="J307" s="343">
        <v>1099.0161000000001</v>
      </c>
      <c r="K307" s="343">
        <v>2035.2150000000001</v>
      </c>
      <c r="L307" s="344">
        <v>826.32594240837614</v>
      </c>
    </row>
    <row r="308" spans="2:12">
      <c r="B308" s="276">
        <v>326000</v>
      </c>
      <c r="C308" s="334">
        <v>907.32320000000016</v>
      </c>
      <c r="D308" s="334">
        <v>1035.1152000000002</v>
      </c>
      <c r="E308" s="276">
        <v>1916.88</v>
      </c>
      <c r="F308" s="304">
        <v>953.46568376963262</v>
      </c>
      <c r="H308" s="191"/>
      <c r="I308" s="343">
        <v>966.29920800000014</v>
      </c>
      <c r="J308" s="343">
        <v>1102.3976880000002</v>
      </c>
      <c r="K308" s="343">
        <v>2041.4772</v>
      </c>
      <c r="L308" s="344">
        <v>828.86848376963269</v>
      </c>
    </row>
    <row r="309" spans="2:12">
      <c r="B309" s="276">
        <v>327000</v>
      </c>
      <c r="C309" s="334">
        <v>910.10640000000024</v>
      </c>
      <c r="D309" s="334">
        <v>1038.2904000000001</v>
      </c>
      <c r="E309" s="276">
        <v>1922.7600000000002</v>
      </c>
      <c r="F309" s="304">
        <v>956.39042513088918</v>
      </c>
      <c r="H309" s="191"/>
      <c r="I309" s="343">
        <v>969.26331600000026</v>
      </c>
      <c r="J309" s="343">
        <v>1105.7792760000002</v>
      </c>
      <c r="K309" s="343">
        <v>2047.7394000000002</v>
      </c>
      <c r="L309" s="344">
        <v>831.41102513088924</v>
      </c>
    </row>
    <row r="310" spans="2:12">
      <c r="B310" s="276">
        <v>328000</v>
      </c>
      <c r="C310" s="334">
        <v>912.88960000000009</v>
      </c>
      <c r="D310" s="334">
        <v>1041.4656</v>
      </c>
      <c r="E310" s="276">
        <v>1928.6400000000003</v>
      </c>
      <c r="F310" s="304">
        <v>959.31516649214598</v>
      </c>
      <c r="H310" s="191"/>
      <c r="I310" s="343">
        <v>972.22742400000004</v>
      </c>
      <c r="J310" s="343">
        <v>1109.1608639999999</v>
      </c>
      <c r="K310" s="343">
        <v>2054.0016000000005</v>
      </c>
      <c r="L310" s="344">
        <v>833.9535664921458</v>
      </c>
    </row>
    <row r="311" spans="2:12">
      <c r="B311" s="276">
        <v>329000</v>
      </c>
      <c r="C311" s="334">
        <v>915.67280000000017</v>
      </c>
      <c r="D311" s="334">
        <v>1044.6407999999999</v>
      </c>
      <c r="E311" s="276">
        <v>1934.5200000000002</v>
      </c>
      <c r="F311" s="304">
        <v>962.23990785340231</v>
      </c>
      <c r="H311" s="191"/>
      <c r="I311" s="343">
        <v>975.19153200000017</v>
      </c>
      <c r="J311" s="343">
        <v>1112.5424519999999</v>
      </c>
      <c r="K311" s="343">
        <v>2060.2638000000002</v>
      </c>
      <c r="L311" s="344">
        <v>836.49610785340235</v>
      </c>
    </row>
    <row r="312" spans="2:12">
      <c r="B312" s="276">
        <v>330000</v>
      </c>
      <c r="C312" s="334">
        <v>918.45600000000013</v>
      </c>
      <c r="D312" s="334">
        <v>1047.816</v>
      </c>
      <c r="E312" s="276">
        <v>1940.4000000000003</v>
      </c>
      <c r="F312" s="304">
        <v>965.16464921465865</v>
      </c>
      <c r="H312" s="191"/>
      <c r="I312" s="343">
        <v>978.15564000000018</v>
      </c>
      <c r="J312" s="343">
        <v>1115.9240400000001</v>
      </c>
      <c r="K312" s="343">
        <v>2066.5260000000003</v>
      </c>
      <c r="L312" s="344">
        <v>839.03864921465868</v>
      </c>
    </row>
    <row r="313" spans="2:12">
      <c r="B313" s="276">
        <v>331000</v>
      </c>
      <c r="C313" s="334">
        <v>921.2392000000001</v>
      </c>
      <c r="D313" s="334">
        <v>1050.9912000000002</v>
      </c>
      <c r="E313" s="276">
        <v>1946.28</v>
      </c>
      <c r="F313" s="304">
        <v>968.08939057591522</v>
      </c>
      <c r="H313" s="191"/>
      <c r="I313" s="343">
        <v>981.11974800000007</v>
      </c>
      <c r="J313" s="343">
        <v>1119.3056280000001</v>
      </c>
      <c r="K313" s="343">
        <v>2072.7882</v>
      </c>
      <c r="L313" s="344">
        <v>841.58119057591523</v>
      </c>
    </row>
    <row r="314" spans="2:12">
      <c r="B314" s="276">
        <v>332000</v>
      </c>
      <c r="C314" s="334">
        <v>924.02240000000029</v>
      </c>
      <c r="D314" s="334">
        <v>1054.1664000000001</v>
      </c>
      <c r="E314" s="276">
        <v>1952.16</v>
      </c>
      <c r="F314" s="304">
        <v>971.01413193717178</v>
      </c>
      <c r="H314" s="191"/>
      <c r="I314" s="343">
        <v>984.08385600000031</v>
      </c>
      <c r="J314" s="343">
        <v>1122.687216</v>
      </c>
      <c r="K314" s="343">
        <v>2079.0504000000001</v>
      </c>
      <c r="L314" s="344">
        <v>844.12373193717178</v>
      </c>
    </row>
    <row r="315" spans="2:12">
      <c r="B315" s="276">
        <v>333000</v>
      </c>
      <c r="C315" s="334">
        <v>926.80560000000014</v>
      </c>
      <c r="D315" s="334">
        <v>1057.3416</v>
      </c>
      <c r="E315" s="276">
        <v>1958.0400000000002</v>
      </c>
      <c r="F315" s="304">
        <v>973.93887329842835</v>
      </c>
      <c r="H315" s="191"/>
      <c r="I315" s="343">
        <v>987.04796400000009</v>
      </c>
      <c r="J315" s="343">
        <v>1126.068804</v>
      </c>
      <c r="K315" s="343">
        <v>2085.3126000000002</v>
      </c>
      <c r="L315" s="344">
        <v>846.66627329842834</v>
      </c>
    </row>
    <row r="316" spans="2:12">
      <c r="B316" s="276">
        <v>334000</v>
      </c>
      <c r="C316" s="334">
        <v>929.58880000000011</v>
      </c>
      <c r="D316" s="334">
        <v>1060.5168000000001</v>
      </c>
      <c r="E316" s="276">
        <v>1963.92</v>
      </c>
      <c r="F316" s="304">
        <v>976.86361465968469</v>
      </c>
      <c r="H316" s="191"/>
      <c r="I316" s="343">
        <v>990.0120720000001</v>
      </c>
      <c r="J316" s="343">
        <v>1129.4503920000002</v>
      </c>
      <c r="K316" s="343">
        <v>2091.5747999999999</v>
      </c>
      <c r="L316" s="344">
        <v>849.20881465968489</v>
      </c>
    </row>
    <row r="317" spans="2:12">
      <c r="B317" s="276">
        <v>335000</v>
      </c>
      <c r="C317" s="334">
        <v>932.37200000000018</v>
      </c>
      <c r="D317" s="334">
        <v>1063.6920000000002</v>
      </c>
      <c r="E317" s="276">
        <v>1969.8000000000002</v>
      </c>
      <c r="F317" s="304">
        <v>979.78835602094125</v>
      </c>
      <c r="H317" s="191"/>
      <c r="I317" s="343">
        <v>992.97618000000023</v>
      </c>
      <c r="J317" s="343">
        <v>1132.8319800000002</v>
      </c>
      <c r="K317" s="343">
        <v>2097.837</v>
      </c>
      <c r="L317" s="344">
        <v>851.75135602094144</v>
      </c>
    </row>
    <row r="318" spans="2:12">
      <c r="B318" s="276">
        <v>336000</v>
      </c>
      <c r="C318" s="334">
        <v>935.15520000000026</v>
      </c>
      <c r="D318" s="334">
        <v>1066.8671999999999</v>
      </c>
      <c r="E318" s="276">
        <v>1975.6800000000003</v>
      </c>
      <c r="F318" s="304">
        <v>982.71309738219782</v>
      </c>
      <c r="H318" s="191"/>
      <c r="I318" s="343">
        <v>995.94028800000024</v>
      </c>
      <c r="J318" s="343">
        <v>1136.2135679999999</v>
      </c>
      <c r="K318" s="343">
        <v>2104.0992000000001</v>
      </c>
      <c r="L318" s="344">
        <v>854.293897382198</v>
      </c>
    </row>
    <row r="319" spans="2:12">
      <c r="B319" s="276">
        <v>337000</v>
      </c>
      <c r="C319" s="334">
        <v>937.93840000000034</v>
      </c>
      <c r="D319" s="334">
        <v>1070.0424</v>
      </c>
      <c r="E319" s="276">
        <v>1981.5600000000002</v>
      </c>
      <c r="F319" s="304">
        <v>985.63783874345461</v>
      </c>
      <c r="H319" s="191"/>
      <c r="I319" s="343">
        <v>998.90439600000036</v>
      </c>
      <c r="J319" s="343">
        <v>1139.5951560000001</v>
      </c>
      <c r="K319" s="343">
        <v>2110.3614000000002</v>
      </c>
      <c r="L319" s="344">
        <v>856.83643874345455</v>
      </c>
    </row>
    <row r="320" spans="2:12">
      <c r="B320" s="276">
        <v>338000</v>
      </c>
      <c r="C320" s="334">
        <v>940.72160000000031</v>
      </c>
      <c r="D320" s="334">
        <v>1073.2176000000002</v>
      </c>
      <c r="E320" s="276">
        <v>1987.4400000000003</v>
      </c>
      <c r="F320" s="304">
        <v>988.56258010471117</v>
      </c>
      <c r="H320" s="191"/>
      <c r="I320" s="343">
        <v>1001.8685040000004</v>
      </c>
      <c r="J320" s="343">
        <v>1142.9767440000003</v>
      </c>
      <c r="K320" s="343">
        <v>2116.6236000000004</v>
      </c>
      <c r="L320" s="344">
        <v>859.3789801047111</v>
      </c>
    </row>
    <row r="321" spans="2:12">
      <c r="B321" s="276">
        <v>339000</v>
      </c>
      <c r="C321" s="334">
        <v>943.50480000000016</v>
      </c>
      <c r="D321" s="334">
        <v>1076.3927999999999</v>
      </c>
      <c r="E321" s="276">
        <v>1993.3200000000004</v>
      </c>
      <c r="F321" s="304">
        <v>991.48732146596774</v>
      </c>
      <c r="H321" s="191"/>
      <c r="I321" s="343">
        <v>1004.8326120000002</v>
      </c>
      <c r="J321" s="343">
        <v>1146.3583319999998</v>
      </c>
      <c r="K321" s="343">
        <v>2122.8858000000005</v>
      </c>
      <c r="L321" s="344">
        <v>861.92152146596766</v>
      </c>
    </row>
    <row r="322" spans="2:12">
      <c r="B322" s="276">
        <v>340000</v>
      </c>
      <c r="C322" s="334">
        <v>946.28800000000012</v>
      </c>
      <c r="D322" s="334">
        <v>1079.5680000000002</v>
      </c>
      <c r="E322" s="276">
        <v>1999.2</v>
      </c>
      <c r="F322" s="304">
        <v>994.4120628272243</v>
      </c>
      <c r="H322" s="191"/>
      <c r="I322" s="343">
        <v>1007.7967200000002</v>
      </c>
      <c r="J322" s="343">
        <v>1149.7399200000002</v>
      </c>
      <c r="K322" s="343">
        <v>2129.1480000000001</v>
      </c>
      <c r="L322" s="344">
        <v>864.46406282722421</v>
      </c>
    </row>
    <row r="323" spans="2:12">
      <c r="B323" s="276">
        <v>341000</v>
      </c>
      <c r="C323" s="334">
        <v>949.07120000000032</v>
      </c>
      <c r="D323" s="334">
        <v>1082.7432000000001</v>
      </c>
      <c r="E323" s="276">
        <v>2005.0800000000002</v>
      </c>
      <c r="F323" s="304">
        <v>997.33680418848087</v>
      </c>
      <c r="H323" s="191"/>
      <c r="I323" s="343">
        <v>1010.7608280000003</v>
      </c>
      <c r="J323" s="343">
        <v>1153.1215080000002</v>
      </c>
      <c r="K323" s="343">
        <v>2135.4102000000003</v>
      </c>
      <c r="L323" s="344">
        <v>867.00660418848076</v>
      </c>
    </row>
    <row r="324" spans="2:12">
      <c r="B324" s="276">
        <v>342000</v>
      </c>
      <c r="C324" s="334">
        <v>951.85440000000028</v>
      </c>
      <c r="D324" s="334">
        <v>1085.9184000000002</v>
      </c>
      <c r="E324" s="276">
        <v>2010.9600000000003</v>
      </c>
      <c r="F324" s="304">
        <v>1000.2615455497374</v>
      </c>
      <c r="H324" s="191"/>
      <c r="I324" s="343">
        <v>1013.7249360000003</v>
      </c>
      <c r="J324" s="343">
        <v>1156.5030960000004</v>
      </c>
      <c r="K324" s="343">
        <v>2141.6724000000004</v>
      </c>
      <c r="L324" s="344">
        <v>869.54914554973732</v>
      </c>
    </row>
    <row r="325" spans="2:12">
      <c r="B325" s="276">
        <v>343000</v>
      </c>
      <c r="C325" s="334">
        <v>954.63760000000036</v>
      </c>
      <c r="D325" s="334">
        <v>1089.0935999999999</v>
      </c>
      <c r="E325" s="276">
        <v>2016.8400000000001</v>
      </c>
      <c r="F325" s="304">
        <v>1003.1862869109937</v>
      </c>
      <c r="H325" s="191"/>
      <c r="I325" s="343">
        <v>1016.6890440000004</v>
      </c>
      <c r="J325" s="343">
        <v>1159.8846839999999</v>
      </c>
      <c r="K325" s="343">
        <v>2147.9346</v>
      </c>
      <c r="L325" s="344">
        <v>872.09168691099376</v>
      </c>
    </row>
    <row r="326" spans="2:12">
      <c r="B326" s="276">
        <v>344000</v>
      </c>
      <c r="C326" s="334">
        <v>957.42079999999999</v>
      </c>
      <c r="D326" s="334">
        <v>1092.2688000000001</v>
      </c>
      <c r="E326" s="276">
        <v>2022.7200000000003</v>
      </c>
      <c r="F326" s="304">
        <v>1006.1110282722502</v>
      </c>
      <c r="H326" s="191"/>
      <c r="I326" s="343">
        <v>1019.653152</v>
      </c>
      <c r="J326" s="343">
        <v>1163.2662720000001</v>
      </c>
      <c r="K326" s="343">
        <v>2154.1968000000002</v>
      </c>
      <c r="L326" s="344">
        <v>874.63422827225031</v>
      </c>
    </row>
    <row r="327" spans="2:12">
      <c r="B327" s="276">
        <v>345000</v>
      </c>
      <c r="C327" s="334">
        <v>960.20400000000006</v>
      </c>
      <c r="D327" s="334">
        <v>1095.4440000000002</v>
      </c>
      <c r="E327" s="276">
        <v>2028.6000000000001</v>
      </c>
      <c r="F327" s="304">
        <v>1009.035769633507</v>
      </c>
      <c r="H327" s="191"/>
      <c r="I327" s="343">
        <v>1022.6172600000001</v>
      </c>
      <c r="J327" s="343">
        <v>1166.6478600000003</v>
      </c>
      <c r="K327" s="343">
        <v>2160.4590000000003</v>
      </c>
      <c r="L327" s="344">
        <v>877.17676963350686</v>
      </c>
    </row>
    <row r="328" spans="2:12">
      <c r="B328" s="276">
        <v>346000</v>
      </c>
      <c r="C328" s="334">
        <v>962.98720000000014</v>
      </c>
      <c r="D328" s="334">
        <v>1098.6192000000001</v>
      </c>
      <c r="E328" s="276">
        <v>2034.4800000000002</v>
      </c>
      <c r="F328" s="304">
        <v>1011.9605109947636</v>
      </c>
      <c r="H328" s="191"/>
      <c r="I328" s="343">
        <v>1025.5813680000001</v>
      </c>
      <c r="J328" s="343">
        <v>1170.029448</v>
      </c>
      <c r="K328" s="343">
        <v>2166.7212000000004</v>
      </c>
      <c r="L328" s="344">
        <v>879.71931099476342</v>
      </c>
    </row>
    <row r="329" spans="2:12">
      <c r="B329" s="276">
        <v>347000</v>
      </c>
      <c r="C329" s="334">
        <v>965.77040000000022</v>
      </c>
      <c r="D329" s="334">
        <v>1101.7944000000002</v>
      </c>
      <c r="E329" s="276">
        <v>2040.3600000000004</v>
      </c>
      <c r="F329" s="304">
        <v>1014.8852523560201</v>
      </c>
      <c r="H329" s="191"/>
      <c r="I329" s="343">
        <v>1028.5454760000002</v>
      </c>
      <c r="J329" s="343">
        <v>1173.4110360000002</v>
      </c>
      <c r="K329" s="343">
        <v>2172.9834000000005</v>
      </c>
      <c r="L329" s="344">
        <v>882.26185235601997</v>
      </c>
    </row>
    <row r="330" spans="2:12">
      <c r="B330" s="276">
        <v>348000</v>
      </c>
      <c r="C330" s="334">
        <v>968.55360000000019</v>
      </c>
      <c r="D330" s="334">
        <v>1104.9696000000001</v>
      </c>
      <c r="E330" s="276">
        <v>2046.24</v>
      </c>
      <c r="F330" s="304">
        <v>1017.8099937172767</v>
      </c>
      <c r="H330" s="191"/>
      <c r="I330" s="343">
        <v>1031.5095840000001</v>
      </c>
      <c r="J330" s="343">
        <v>1176.7926240000002</v>
      </c>
      <c r="K330" s="343">
        <v>2179.2456000000002</v>
      </c>
      <c r="L330" s="344">
        <v>884.80439371727653</v>
      </c>
    </row>
    <row r="331" spans="2:12">
      <c r="B331" s="276">
        <v>349000</v>
      </c>
      <c r="C331" s="334">
        <v>971.33680000000015</v>
      </c>
      <c r="D331" s="334">
        <v>1108.1448</v>
      </c>
      <c r="E331" s="276">
        <v>2052.1200000000003</v>
      </c>
      <c r="F331" s="304">
        <v>1020.734735078533</v>
      </c>
      <c r="H331" s="191"/>
      <c r="I331" s="343">
        <v>1034.4736920000003</v>
      </c>
      <c r="J331" s="343">
        <v>1180.1742120000001</v>
      </c>
      <c r="K331" s="343">
        <v>2185.5078000000003</v>
      </c>
      <c r="L331" s="344">
        <v>887.34693507853308</v>
      </c>
    </row>
    <row r="332" spans="2:12">
      <c r="B332" s="276">
        <v>350000</v>
      </c>
      <c r="C332" s="334">
        <v>974.12</v>
      </c>
      <c r="D332" s="334">
        <v>1111.3200000000002</v>
      </c>
      <c r="E332" s="276">
        <v>2058.0000000000005</v>
      </c>
      <c r="F332" s="304">
        <v>1023.6594764397896</v>
      </c>
      <c r="H332" s="191"/>
      <c r="I332" s="343">
        <v>1037.4377999999999</v>
      </c>
      <c r="J332" s="343">
        <v>1183.5558000000001</v>
      </c>
      <c r="K332" s="343">
        <v>2191.7700000000004</v>
      </c>
      <c r="L332" s="344">
        <v>889.88947643978963</v>
      </c>
    </row>
    <row r="333" spans="2:12">
      <c r="B333" s="276">
        <v>351000</v>
      </c>
      <c r="C333" s="334">
        <v>976.9032000000002</v>
      </c>
      <c r="D333" s="334">
        <v>1114.4952000000001</v>
      </c>
      <c r="E333" s="276">
        <v>2063.88</v>
      </c>
      <c r="F333" s="304">
        <v>1026.5842178010462</v>
      </c>
      <c r="H333" s="191"/>
      <c r="I333" s="343">
        <v>1040.4019080000003</v>
      </c>
      <c r="J333" s="343">
        <v>1186.9373880000001</v>
      </c>
      <c r="K333" s="343">
        <v>2198.0322000000001</v>
      </c>
      <c r="L333" s="344">
        <v>892.43201780104619</v>
      </c>
    </row>
    <row r="334" spans="2:12">
      <c r="B334" s="276">
        <v>352000</v>
      </c>
      <c r="C334" s="334">
        <v>979.68640000000016</v>
      </c>
      <c r="D334" s="334">
        <v>1117.6704</v>
      </c>
      <c r="E334" s="276">
        <v>2069.7600000000002</v>
      </c>
      <c r="F334" s="304">
        <v>1029.5089591623027</v>
      </c>
      <c r="H334" s="191"/>
      <c r="I334" s="343">
        <v>1043.3660160000002</v>
      </c>
      <c r="J334" s="343">
        <v>1190.318976</v>
      </c>
      <c r="K334" s="343">
        <v>2204.2944000000002</v>
      </c>
      <c r="L334" s="344">
        <v>894.97455916230274</v>
      </c>
    </row>
    <row r="335" spans="2:12">
      <c r="B335" s="276">
        <v>353000</v>
      </c>
      <c r="C335" s="334">
        <v>982.46960000000024</v>
      </c>
      <c r="D335" s="334">
        <v>1120.8456000000001</v>
      </c>
      <c r="E335" s="276">
        <v>2075.6400000000003</v>
      </c>
      <c r="F335" s="304">
        <v>1032.4337005235593</v>
      </c>
      <c r="H335" s="191"/>
      <c r="I335" s="343">
        <v>1046.3301240000003</v>
      </c>
      <c r="J335" s="343">
        <v>1193.7005640000002</v>
      </c>
      <c r="K335" s="343">
        <v>2210.5566000000003</v>
      </c>
      <c r="L335" s="344">
        <v>897.51710052355929</v>
      </c>
    </row>
    <row r="336" spans="2:12">
      <c r="B336" s="276">
        <v>354000</v>
      </c>
      <c r="C336" s="334">
        <v>985.25280000000021</v>
      </c>
      <c r="D336" s="334">
        <v>1124.0208</v>
      </c>
      <c r="E336" s="276">
        <v>2081.52</v>
      </c>
      <c r="F336" s="304">
        <v>1035.3584418848159</v>
      </c>
      <c r="H336" s="191"/>
      <c r="I336" s="343">
        <v>1049.2942320000002</v>
      </c>
      <c r="J336" s="343">
        <v>1197.082152</v>
      </c>
      <c r="K336" s="343">
        <v>2216.8188</v>
      </c>
      <c r="L336" s="344">
        <v>900.05964188481585</v>
      </c>
    </row>
    <row r="337" spans="2:12">
      <c r="B337" s="276">
        <v>355000</v>
      </c>
      <c r="C337" s="334">
        <v>988.03600000000006</v>
      </c>
      <c r="D337" s="334">
        <v>1127.1960000000001</v>
      </c>
      <c r="E337" s="276">
        <v>2087.4</v>
      </c>
      <c r="F337" s="304">
        <v>1038.2831832460724</v>
      </c>
      <c r="H337" s="191"/>
      <c r="I337" s="343">
        <v>1052.2583400000001</v>
      </c>
      <c r="J337" s="343">
        <v>1200.4637400000001</v>
      </c>
      <c r="K337" s="343">
        <v>2223.0810000000001</v>
      </c>
      <c r="L337" s="344">
        <v>902.6021832460724</v>
      </c>
    </row>
    <row r="338" spans="2:12">
      <c r="B338" s="276">
        <v>356000</v>
      </c>
      <c r="C338" s="334">
        <v>990.81920000000025</v>
      </c>
      <c r="D338" s="334">
        <v>1130.3712000000003</v>
      </c>
      <c r="E338" s="276">
        <v>2093.2800000000002</v>
      </c>
      <c r="F338" s="304">
        <v>1041.207924607329</v>
      </c>
      <c r="H338" s="191"/>
      <c r="I338" s="343">
        <v>1055.2224480000002</v>
      </c>
      <c r="J338" s="343">
        <v>1203.8453280000003</v>
      </c>
      <c r="K338" s="343">
        <v>2229.3432000000003</v>
      </c>
      <c r="L338" s="344">
        <v>905.14472460732884</v>
      </c>
    </row>
    <row r="339" spans="2:12">
      <c r="B339" s="276">
        <v>357000</v>
      </c>
      <c r="C339" s="334">
        <v>993.60240000000022</v>
      </c>
      <c r="D339" s="334">
        <v>1133.5463999999999</v>
      </c>
      <c r="E339" s="276">
        <v>2099.1600000000003</v>
      </c>
      <c r="F339" s="304">
        <v>1044.1326659685856</v>
      </c>
      <c r="H339" s="191"/>
      <c r="I339" s="343">
        <v>1058.1865560000003</v>
      </c>
      <c r="J339" s="343">
        <v>1207.2269159999998</v>
      </c>
      <c r="K339" s="343">
        <v>2235.6054000000004</v>
      </c>
      <c r="L339" s="344">
        <v>907.68726596858539</v>
      </c>
    </row>
    <row r="340" spans="2:12">
      <c r="B340" s="276">
        <v>358000</v>
      </c>
      <c r="C340" s="334">
        <v>996.38560000000018</v>
      </c>
      <c r="D340" s="334">
        <v>1136.7216000000001</v>
      </c>
      <c r="E340" s="276">
        <v>2105.0400000000004</v>
      </c>
      <c r="F340" s="304">
        <v>1047.0574073298421</v>
      </c>
      <c r="H340" s="191"/>
      <c r="I340" s="343">
        <v>1061.1506640000002</v>
      </c>
      <c r="J340" s="343">
        <v>1210.608504</v>
      </c>
      <c r="K340" s="343">
        <v>2241.8676000000005</v>
      </c>
      <c r="L340" s="344">
        <v>910.22980732984195</v>
      </c>
    </row>
    <row r="341" spans="2:12">
      <c r="B341" s="276">
        <v>359000</v>
      </c>
      <c r="C341" s="334">
        <v>999.16880000000026</v>
      </c>
      <c r="D341" s="334">
        <v>1139.8968</v>
      </c>
      <c r="E341" s="276">
        <v>2110.92</v>
      </c>
      <c r="F341" s="304">
        <v>1049.9821486910987</v>
      </c>
      <c r="H341" s="191"/>
      <c r="I341" s="343">
        <v>1064.1147720000004</v>
      </c>
      <c r="J341" s="343">
        <v>1213.990092</v>
      </c>
      <c r="K341" s="343">
        <v>2248.1298000000002</v>
      </c>
      <c r="L341" s="344">
        <v>912.7723486910985</v>
      </c>
    </row>
    <row r="342" spans="2:12">
      <c r="B342" s="276">
        <v>360000</v>
      </c>
      <c r="C342" s="334">
        <v>1001.9520000000002</v>
      </c>
      <c r="D342" s="334">
        <v>1143.0720000000001</v>
      </c>
      <c r="E342" s="276">
        <v>2116.8000000000002</v>
      </c>
      <c r="F342" s="304">
        <v>1052.9068900523553</v>
      </c>
      <c r="H342" s="191"/>
      <c r="I342" s="343">
        <v>1067.0788800000003</v>
      </c>
      <c r="J342" s="343">
        <v>1217.3716800000002</v>
      </c>
      <c r="K342" s="343">
        <v>2254.3920000000003</v>
      </c>
      <c r="L342" s="344">
        <v>915.31489005235505</v>
      </c>
    </row>
    <row r="343" spans="2:12">
      <c r="B343" s="276">
        <v>361000</v>
      </c>
      <c r="C343" s="334">
        <v>1004.7352000000004</v>
      </c>
      <c r="D343" s="334">
        <v>1146.2472</v>
      </c>
      <c r="E343" s="276">
        <v>2122.6800000000003</v>
      </c>
      <c r="F343" s="304">
        <v>1055.8316314136118</v>
      </c>
      <c r="H343" s="191"/>
      <c r="I343" s="343">
        <v>1070.0429880000004</v>
      </c>
      <c r="J343" s="343">
        <v>1220.7532679999999</v>
      </c>
      <c r="K343" s="343">
        <v>2260.6542000000004</v>
      </c>
      <c r="L343" s="344">
        <v>917.85743141361161</v>
      </c>
    </row>
    <row r="344" spans="2:12">
      <c r="B344" s="276">
        <v>362000</v>
      </c>
      <c r="C344" s="334">
        <v>1007.5184000000003</v>
      </c>
      <c r="D344" s="334">
        <v>1149.4224000000002</v>
      </c>
      <c r="E344" s="276">
        <v>2128.56</v>
      </c>
      <c r="F344" s="304">
        <v>1058.7563727748684</v>
      </c>
      <c r="H344" s="191"/>
      <c r="I344" s="343">
        <v>1073.0070960000003</v>
      </c>
      <c r="J344" s="343">
        <v>1224.1348560000001</v>
      </c>
      <c r="K344" s="343">
        <v>2266.9164000000001</v>
      </c>
      <c r="L344" s="344">
        <v>920.39997277486816</v>
      </c>
    </row>
    <row r="345" spans="2:12">
      <c r="B345" s="276">
        <v>363000</v>
      </c>
      <c r="C345" s="334">
        <v>1010.3016000000002</v>
      </c>
      <c r="D345" s="334">
        <v>1152.5976000000001</v>
      </c>
      <c r="E345" s="276">
        <v>2134.44</v>
      </c>
      <c r="F345" s="304">
        <v>1061.681114136125</v>
      </c>
      <c r="H345" s="191"/>
      <c r="I345" s="343">
        <v>1075.9712040000002</v>
      </c>
      <c r="J345" s="343">
        <v>1227.5164440000001</v>
      </c>
      <c r="K345" s="343">
        <v>2273.1786000000002</v>
      </c>
      <c r="L345" s="344">
        <v>922.94251413612471</v>
      </c>
    </row>
    <row r="346" spans="2:12">
      <c r="B346" s="276">
        <v>364000</v>
      </c>
      <c r="C346" s="334">
        <v>1013.0848000000002</v>
      </c>
      <c r="D346" s="334">
        <v>1155.7728</v>
      </c>
      <c r="E346" s="276">
        <v>2140.3200000000002</v>
      </c>
      <c r="F346" s="304">
        <v>1064.6058554973815</v>
      </c>
      <c r="H346" s="191"/>
      <c r="I346" s="343">
        <v>1078.9353120000003</v>
      </c>
      <c r="J346" s="343">
        <v>1230.8980320000001</v>
      </c>
      <c r="K346" s="343">
        <v>2279.4408000000003</v>
      </c>
      <c r="L346" s="344">
        <v>925.48505549738127</v>
      </c>
    </row>
    <row r="347" spans="2:12">
      <c r="B347" s="276">
        <v>365000</v>
      </c>
      <c r="C347" s="334">
        <v>1015.8680000000003</v>
      </c>
      <c r="D347" s="334">
        <v>1158.9480000000001</v>
      </c>
      <c r="E347" s="276">
        <v>2146.2000000000003</v>
      </c>
      <c r="F347" s="304">
        <v>1067.5305968586381</v>
      </c>
      <c r="H347" s="191"/>
      <c r="I347" s="343">
        <v>1081.8994200000002</v>
      </c>
      <c r="J347" s="343">
        <v>1234.27962</v>
      </c>
      <c r="K347" s="343">
        <v>2285.7030000000004</v>
      </c>
      <c r="L347" s="344">
        <v>928.02759685863782</v>
      </c>
    </row>
    <row r="348" spans="2:12">
      <c r="B348" s="276">
        <v>366000</v>
      </c>
      <c r="C348" s="334">
        <v>1018.6512000000004</v>
      </c>
      <c r="D348" s="334">
        <v>1162.1232000000002</v>
      </c>
      <c r="E348" s="276">
        <v>2152.0800000000004</v>
      </c>
      <c r="F348" s="304">
        <v>1070.4553382198947</v>
      </c>
      <c r="H348" s="191"/>
      <c r="I348" s="343">
        <v>1084.8635280000003</v>
      </c>
      <c r="J348" s="343">
        <v>1237.6612080000002</v>
      </c>
      <c r="K348" s="343">
        <v>2291.9652000000006</v>
      </c>
      <c r="L348" s="344">
        <v>930.57013821989437</v>
      </c>
    </row>
    <row r="349" spans="2:12">
      <c r="B349" s="276">
        <v>367000</v>
      </c>
      <c r="C349" s="334">
        <v>1021.4344000000002</v>
      </c>
      <c r="D349" s="334">
        <v>1165.2984000000001</v>
      </c>
      <c r="E349" s="276">
        <v>2157.9600000000005</v>
      </c>
      <c r="F349" s="304">
        <v>1073.3800795811512</v>
      </c>
      <c r="H349" s="191"/>
      <c r="I349" s="343">
        <v>1087.8276360000002</v>
      </c>
      <c r="J349" s="343">
        <v>1241.0427960000002</v>
      </c>
      <c r="K349" s="343">
        <v>2298.2274000000007</v>
      </c>
      <c r="L349" s="344">
        <v>933.11267958115093</v>
      </c>
    </row>
    <row r="350" spans="2:12">
      <c r="B350" s="276">
        <v>368000</v>
      </c>
      <c r="C350" s="334">
        <v>1024.2176000000002</v>
      </c>
      <c r="D350" s="334">
        <v>1168.4736</v>
      </c>
      <c r="E350" s="276">
        <v>2163.84</v>
      </c>
      <c r="F350" s="304">
        <v>1076.3048209424078</v>
      </c>
      <c r="H350" s="191"/>
      <c r="I350" s="343">
        <v>1090.7917440000001</v>
      </c>
      <c r="J350" s="343">
        <v>1244.4243839999999</v>
      </c>
      <c r="K350" s="343">
        <v>2304.4896000000003</v>
      </c>
      <c r="L350" s="344">
        <v>935.65522094240748</v>
      </c>
    </row>
    <row r="351" spans="2:12">
      <c r="B351" s="276">
        <v>369000</v>
      </c>
      <c r="C351" s="334">
        <v>1027.0008000000003</v>
      </c>
      <c r="D351" s="334">
        <v>1171.6488000000002</v>
      </c>
      <c r="E351" s="276">
        <v>2169.7200000000003</v>
      </c>
      <c r="F351" s="304">
        <v>1079.2295623036639</v>
      </c>
      <c r="H351" s="191"/>
      <c r="I351" s="343">
        <v>1093.7558520000002</v>
      </c>
      <c r="J351" s="343">
        <v>1247.8059720000001</v>
      </c>
      <c r="K351" s="343">
        <v>2310.7518000000005</v>
      </c>
      <c r="L351" s="344">
        <v>938.19776230366381</v>
      </c>
    </row>
    <row r="352" spans="2:12">
      <c r="B352" s="276">
        <v>370000</v>
      </c>
      <c r="C352" s="334">
        <v>1029.7840000000001</v>
      </c>
      <c r="D352" s="334">
        <v>1174.8240000000001</v>
      </c>
      <c r="E352" s="276">
        <v>2175.6</v>
      </c>
      <c r="F352" s="304">
        <v>1082.1543036649205</v>
      </c>
      <c r="H352" s="191"/>
      <c r="I352" s="343">
        <v>1096.7199600000001</v>
      </c>
      <c r="J352" s="343">
        <v>1251.1875600000001</v>
      </c>
      <c r="K352" s="343">
        <v>2317.0140000000001</v>
      </c>
      <c r="L352" s="344">
        <v>940.74030366492036</v>
      </c>
    </row>
    <row r="353" spans="2:12">
      <c r="B353" s="276">
        <v>371000</v>
      </c>
      <c r="C353" s="334">
        <v>1032.5672000000002</v>
      </c>
      <c r="D353" s="334">
        <v>1177.9992</v>
      </c>
      <c r="E353" s="276">
        <v>2181.48</v>
      </c>
      <c r="F353" s="304">
        <v>1085.079045026177</v>
      </c>
      <c r="H353" s="191"/>
      <c r="I353" s="343">
        <v>1099.6840680000003</v>
      </c>
      <c r="J353" s="343">
        <v>1254.569148</v>
      </c>
      <c r="K353" s="343">
        <v>2323.2762000000002</v>
      </c>
      <c r="L353" s="344">
        <v>943.28284502617691</v>
      </c>
    </row>
    <row r="354" spans="2:12">
      <c r="B354" s="276">
        <v>372000</v>
      </c>
      <c r="C354" s="334">
        <v>1035.3504</v>
      </c>
      <c r="D354" s="334">
        <v>1181.1744000000001</v>
      </c>
      <c r="E354" s="276">
        <v>2187.36</v>
      </c>
      <c r="F354" s="304">
        <v>1088.0037863874336</v>
      </c>
      <c r="H354" s="191"/>
      <c r="I354" s="343">
        <v>1102.6481760000001</v>
      </c>
      <c r="J354" s="343">
        <v>1257.9507360000002</v>
      </c>
      <c r="K354" s="343">
        <v>2329.5384000000004</v>
      </c>
      <c r="L354" s="344">
        <v>945.82538638743347</v>
      </c>
    </row>
    <row r="355" spans="2:12">
      <c r="B355" s="276">
        <v>373000</v>
      </c>
      <c r="C355" s="334">
        <v>1038.1336000000001</v>
      </c>
      <c r="D355" s="334">
        <v>1184.3496</v>
      </c>
      <c r="E355" s="276">
        <v>2193.2400000000002</v>
      </c>
      <c r="F355" s="304">
        <v>1090.9285277486902</v>
      </c>
      <c r="H355" s="191"/>
      <c r="I355" s="343">
        <v>1105.612284</v>
      </c>
      <c r="J355" s="343">
        <v>1261.332324</v>
      </c>
      <c r="K355" s="343">
        <v>2335.8006000000005</v>
      </c>
      <c r="L355" s="344">
        <v>948.36792774869002</v>
      </c>
    </row>
    <row r="356" spans="2:12">
      <c r="B356" s="276">
        <v>374000</v>
      </c>
      <c r="C356" s="334">
        <v>1040.9168000000002</v>
      </c>
      <c r="D356" s="334">
        <v>1187.5248000000001</v>
      </c>
      <c r="E356" s="276">
        <v>2199.1200000000003</v>
      </c>
      <c r="F356" s="304">
        <v>1093.8532691099467</v>
      </c>
      <c r="H356" s="191"/>
      <c r="I356" s="343">
        <v>1108.5763920000002</v>
      </c>
      <c r="J356" s="343">
        <v>1264.7139120000002</v>
      </c>
      <c r="K356" s="343">
        <v>2342.0628000000006</v>
      </c>
      <c r="L356" s="344">
        <v>950.91046910994658</v>
      </c>
    </row>
    <row r="357" spans="2:12">
      <c r="B357" s="276">
        <v>375000</v>
      </c>
      <c r="C357" s="334">
        <v>1043.7</v>
      </c>
      <c r="D357" s="334">
        <v>1190.7</v>
      </c>
      <c r="E357" s="276">
        <v>2205.0000000000005</v>
      </c>
      <c r="F357" s="304">
        <v>1096.7780104712033</v>
      </c>
      <c r="H357" s="191"/>
      <c r="I357" s="343">
        <v>1111.5405000000001</v>
      </c>
      <c r="J357" s="343">
        <v>1268.0955000000001</v>
      </c>
      <c r="K357" s="343">
        <v>2348.3250000000007</v>
      </c>
      <c r="L357" s="344">
        <v>953.45301047120313</v>
      </c>
    </row>
    <row r="358" spans="2:12">
      <c r="B358" s="276">
        <v>376000</v>
      </c>
      <c r="C358" s="334">
        <v>1046.4832000000004</v>
      </c>
      <c r="D358" s="334">
        <v>1193.8752000000002</v>
      </c>
      <c r="E358" s="276">
        <v>2210.88</v>
      </c>
      <c r="F358" s="304">
        <v>1099.7027518324594</v>
      </c>
      <c r="H358" s="191"/>
      <c r="I358" s="343">
        <v>1114.5046080000004</v>
      </c>
      <c r="J358" s="343">
        <v>1271.4770880000001</v>
      </c>
      <c r="K358" s="343">
        <v>2354.5871999999999</v>
      </c>
      <c r="L358" s="344">
        <v>955.99555183245968</v>
      </c>
    </row>
    <row r="359" spans="2:12">
      <c r="B359" s="276">
        <v>377000</v>
      </c>
      <c r="C359" s="334">
        <v>1049.2664000000002</v>
      </c>
      <c r="D359" s="334">
        <v>1197.0504000000001</v>
      </c>
      <c r="E359" s="276">
        <v>2216.7600000000002</v>
      </c>
      <c r="F359" s="304">
        <v>1102.627493193716</v>
      </c>
      <c r="H359" s="191"/>
      <c r="I359" s="343">
        <v>1117.4687160000003</v>
      </c>
      <c r="J359" s="343">
        <v>1274.8586760000001</v>
      </c>
      <c r="K359" s="343">
        <v>2360.8494000000001</v>
      </c>
      <c r="L359" s="344">
        <v>958.53809319371624</v>
      </c>
    </row>
    <row r="360" spans="2:12">
      <c r="B360" s="276">
        <v>378000</v>
      </c>
      <c r="C360" s="334">
        <v>1052.0496000000001</v>
      </c>
      <c r="D360" s="334">
        <v>1200.2256</v>
      </c>
      <c r="E360" s="276">
        <v>2222.6400000000003</v>
      </c>
      <c r="F360" s="304">
        <v>1105.5522345549725</v>
      </c>
      <c r="H360" s="191"/>
      <c r="I360" s="343">
        <v>1120.432824</v>
      </c>
      <c r="J360" s="343">
        <v>1278.240264</v>
      </c>
      <c r="K360" s="343">
        <v>2367.1116000000002</v>
      </c>
      <c r="L360" s="344">
        <v>961.08063455497279</v>
      </c>
    </row>
    <row r="361" spans="2:12">
      <c r="B361" s="276">
        <v>379000</v>
      </c>
      <c r="C361" s="334">
        <v>1054.8328000000001</v>
      </c>
      <c r="D361" s="334">
        <v>1203.4007999999999</v>
      </c>
      <c r="E361" s="276">
        <v>2228.52</v>
      </c>
      <c r="F361" s="304">
        <v>1108.4769759162291</v>
      </c>
      <c r="H361" s="191"/>
      <c r="I361" s="343">
        <v>1123.3969320000001</v>
      </c>
      <c r="J361" s="343">
        <v>1281.621852</v>
      </c>
      <c r="K361" s="343">
        <v>2373.3737999999998</v>
      </c>
      <c r="L361" s="344">
        <v>963.62317591622934</v>
      </c>
    </row>
    <row r="362" spans="2:12">
      <c r="B362" s="276">
        <v>380000</v>
      </c>
      <c r="C362" s="334">
        <v>1057.6160000000002</v>
      </c>
      <c r="D362" s="334">
        <v>1206.5760000000002</v>
      </c>
      <c r="E362" s="276">
        <v>2234.4</v>
      </c>
      <c r="F362" s="304">
        <v>1111.4017172774857</v>
      </c>
      <c r="H362" s="191"/>
      <c r="I362" s="343">
        <v>1126.3610400000002</v>
      </c>
      <c r="J362" s="343">
        <v>1285.0034400000002</v>
      </c>
      <c r="K362" s="343">
        <v>2379.636</v>
      </c>
      <c r="L362" s="344">
        <v>966.1657172774859</v>
      </c>
    </row>
    <row r="363" spans="2:12">
      <c r="B363" s="276">
        <v>381000</v>
      </c>
      <c r="C363" s="334">
        <v>1060.3992000000003</v>
      </c>
      <c r="D363" s="334">
        <v>1209.7512000000002</v>
      </c>
      <c r="E363" s="276">
        <v>2240.2800000000002</v>
      </c>
      <c r="F363" s="304">
        <v>1114.3264586387422</v>
      </c>
      <c r="H363" s="191"/>
      <c r="I363" s="343">
        <v>1129.3251480000004</v>
      </c>
      <c r="J363" s="343">
        <v>1288.3850280000001</v>
      </c>
      <c r="K363" s="343">
        <v>2385.8982000000001</v>
      </c>
      <c r="L363" s="344">
        <v>968.70825863874245</v>
      </c>
    </row>
    <row r="364" spans="2:12">
      <c r="B364" s="276">
        <v>382000</v>
      </c>
      <c r="C364" s="334">
        <v>1063.1824000000004</v>
      </c>
      <c r="D364" s="334">
        <v>1212.9264000000001</v>
      </c>
      <c r="E364" s="276">
        <v>2246.1600000000003</v>
      </c>
      <c r="F364" s="304">
        <v>1117.2511999999988</v>
      </c>
      <c r="H364" s="191"/>
      <c r="I364" s="343">
        <v>1132.2892560000005</v>
      </c>
      <c r="J364" s="343">
        <v>1291.7666160000001</v>
      </c>
      <c r="K364" s="343">
        <v>2392.1604000000002</v>
      </c>
      <c r="L364" s="344">
        <v>971.25079999999889</v>
      </c>
    </row>
    <row r="365" spans="2:12">
      <c r="B365" s="276">
        <v>383000</v>
      </c>
      <c r="C365" s="334">
        <v>1065.9656000000002</v>
      </c>
      <c r="D365" s="334">
        <v>1216.1016000000002</v>
      </c>
      <c r="E365" s="276">
        <v>2252.0400000000004</v>
      </c>
      <c r="F365" s="304">
        <v>1120.1759413612554</v>
      </c>
      <c r="H365" s="191"/>
      <c r="I365" s="343">
        <v>1135.2533640000001</v>
      </c>
      <c r="J365" s="343">
        <v>1295.1482040000003</v>
      </c>
      <c r="K365" s="343">
        <v>2398.4226000000003</v>
      </c>
      <c r="L365" s="344">
        <v>973.79334136125544</v>
      </c>
    </row>
    <row r="366" spans="2:12">
      <c r="B366" s="276">
        <v>384000</v>
      </c>
      <c r="C366" s="334">
        <v>1068.7488000000001</v>
      </c>
      <c r="D366" s="334">
        <v>1219.2767999999999</v>
      </c>
      <c r="E366" s="276">
        <v>2257.92</v>
      </c>
      <c r="F366" s="304">
        <v>1123.1006827225119</v>
      </c>
      <c r="H366" s="191"/>
      <c r="I366" s="343">
        <v>1138.217472</v>
      </c>
      <c r="J366" s="343">
        <v>1298.5297919999998</v>
      </c>
      <c r="K366" s="343">
        <v>2404.6848</v>
      </c>
      <c r="L366" s="344">
        <v>976.335882722512</v>
      </c>
    </row>
    <row r="367" spans="2:12">
      <c r="B367" s="276">
        <v>385000</v>
      </c>
      <c r="C367" s="334">
        <v>1071.5320000000002</v>
      </c>
      <c r="D367" s="334">
        <v>1222.4520000000002</v>
      </c>
      <c r="E367" s="276">
        <v>2263.8000000000002</v>
      </c>
      <c r="F367" s="304">
        <v>1126.0254240837685</v>
      </c>
      <c r="H367" s="191"/>
      <c r="I367" s="343">
        <v>1141.1815800000002</v>
      </c>
      <c r="J367" s="343">
        <v>1301.9113800000002</v>
      </c>
      <c r="K367" s="343">
        <v>2410.9470000000001</v>
      </c>
      <c r="L367" s="344">
        <v>978.87842408376855</v>
      </c>
    </row>
    <row r="368" spans="2:12">
      <c r="B368" s="276">
        <v>386000</v>
      </c>
      <c r="C368" s="334">
        <v>1074.3152000000002</v>
      </c>
      <c r="D368" s="334">
        <v>1225.6272000000001</v>
      </c>
      <c r="E368" s="276">
        <v>2269.6800000000003</v>
      </c>
      <c r="F368" s="304">
        <v>1128.950165445025</v>
      </c>
      <c r="H368" s="191"/>
      <c r="I368" s="343">
        <v>1144.1456880000003</v>
      </c>
      <c r="J368" s="343">
        <v>1305.2929680000002</v>
      </c>
      <c r="K368" s="343">
        <v>2417.2092000000002</v>
      </c>
      <c r="L368" s="344">
        <v>981.4209654450251</v>
      </c>
    </row>
    <row r="369" spans="2:12">
      <c r="B369" s="276">
        <v>387000</v>
      </c>
      <c r="C369" s="334">
        <v>1077.0984000000003</v>
      </c>
      <c r="D369" s="334">
        <v>1228.8024</v>
      </c>
      <c r="E369" s="276">
        <v>2275.56</v>
      </c>
      <c r="F369" s="304">
        <v>1131.8749068062816</v>
      </c>
      <c r="H369" s="191"/>
      <c r="I369" s="343">
        <v>1147.1097960000004</v>
      </c>
      <c r="J369" s="343">
        <v>1308.6745559999999</v>
      </c>
      <c r="K369" s="343">
        <v>2423.4713999999999</v>
      </c>
      <c r="L369" s="344">
        <v>983.96350680628166</v>
      </c>
    </row>
    <row r="370" spans="2:12">
      <c r="B370" s="276">
        <v>388000</v>
      </c>
      <c r="C370" s="334">
        <v>1079.8816000000004</v>
      </c>
      <c r="D370" s="334">
        <v>1231.9776000000002</v>
      </c>
      <c r="E370" s="276">
        <v>2281.44</v>
      </c>
      <c r="F370" s="304">
        <v>1134.7996481675382</v>
      </c>
      <c r="H370" s="191"/>
      <c r="I370" s="343">
        <v>1150.0739040000003</v>
      </c>
      <c r="J370" s="343">
        <v>1312.0561440000001</v>
      </c>
      <c r="K370" s="343">
        <v>2429.7336</v>
      </c>
      <c r="L370" s="344">
        <v>986.50604816753821</v>
      </c>
    </row>
    <row r="371" spans="2:12">
      <c r="B371" s="276">
        <v>389000</v>
      </c>
      <c r="C371" s="334">
        <v>1082.6648000000002</v>
      </c>
      <c r="D371" s="334">
        <v>1235.1528000000001</v>
      </c>
      <c r="E371" s="276">
        <v>2287.3200000000002</v>
      </c>
      <c r="F371" s="304">
        <v>1137.7243895287947</v>
      </c>
      <c r="H371" s="191"/>
      <c r="I371" s="343">
        <v>1153.0380120000002</v>
      </c>
      <c r="J371" s="343">
        <v>1315.4377320000001</v>
      </c>
      <c r="K371" s="343">
        <v>2435.9958000000001</v>
      </c>
      <c r="L371" s="344">
        <v>989.04858952879476</v>
      </c>
    </row>
    <row r="372" spans="2:12">
      <c r="B372" s="276">
        <v>390000</v>
      </c>
      <c r="C372" s="334">
        <v>1085.4480000000001</v>
      </c>
      <c r="D372" s="334">
        <v>1238.3280000000002</v>
      </c>
      <c r="E372" s="276">
        <v>2293.2000000000003</v>
      </c>
      <c r="F372" s="304">
        <v>1140.6491308900513</v>
      </c>
      <c r="H372" s="191"/>
      <c r="I372" s="343">
        <v>1156.0021200000001</v>
      </c>
      <c r="J372" s="343">
        <v>1318.8193200000003</v>
      </c>
      <c r="K372" s="343">
        <v>2442.2580000000003</v>
      </c>
      <c r="L372" s="344">
        <v>991.59113089005132</v>
      </c>
    </row>
    <row r="373" spans="2:12">
      <c r="B373" s="276">
        <v>391000</v>
      </c>
      <c r="C373" s="334">
        <v>1088.2312000000004</v>
      </c>
      <c r="D373" s="334">
        <v>1241.5032000000001</v>
      </c>
      <c r="E373" s="276">
        <v>2299.0800000000004</v>
      </c>
      <c r="F373" s="304">
        <v>1143.5738722513079</v>
      </c>
      <c r="H373" s="191"/>
      <c r="I373" s="343">
        <v>1158.9662280000005</v>
      </c>
      <c r="J373" s="343">
        <v>1322.200908</v>
      </c>
      <c r="K373" s="343">
        <v>2448.5202000000004</v>
      </c>
      <c r="L373" s="344">
        <v>994.13367225130787</v>
      </c>
    </row>
    <row r="374" spans="2:12">
      <c r="B374" s="276">
        <v>392000</v>
      </c>
      <c r="C374" s="334">
        <v>1091.0144000000003</v>
      </c>
      <c r="D374" s="334">
        <v>1244.6784</v>
      </c>
      <c r="E374" s="276">
        <v>2304.9600000000005</v>
      </c>
      <c r="F374" s="304">
        <v>1146.4986136125644</v>
      </c>
      <c r="H374" s="191"/>
      <c r="I374" s="343">
        <v>1161.9303360000004</v>
      </c>
      <c r="J374" s="343">
        <v>1325.582496</v>
      </c>
      <c r="K374" s="343">
        <v>2454.7824000000005</v>
      </c>
      <c r="L374" s="344">
        <v>996.67621361256442</v>
      </c>
    </row>
    <row r="375" spans="2:12">
      <c r="B375" s="276">
        <v>393000</v>
      </c>
      <c r="C375" s="334">
        <v>1093.7976000000003</v>
      </c>
      <c r="D375" s="334">
        <v>1247.8536000000001</v>
      </c>
      <c r="E375" s="276">
        <v>2310.84</v>
      </c>
      <c r="F375" s="304">
        <v>1149.423354973821</v>
      </c>
      <c r="H375" s="191"/>
      <c r="I375" s="343">
        <v>1164.8944440000002</v>
      </c>
      <c r="J375" s="343">
        <v>1328.9640840000002</v>
      </c>
      <c r="K375" s="343">
        <v>2461.0446000000002</v>
      </c>
      <c r="L375" s="344">
        <v>999.21875497382098</v>
      </c>
    </row>
    <row r="376" spans="2:12">
      <c r="B376" s="276">
        <v>394000</v>
      </c>
      <c r="C376" s="334">
        <v>1096.5808000000004</v>
      </c>
      <c r="D376" s="334">
        <v>1251.0288</v>
      </c>
      <c r="E376" s="276">
        <v>2316.7200000000003</v>
      </c>
      <c r="F376" s="304">
        <v>1152.3480963350776</v>
      </c>
      <c r="H376" s="191"/>
      <c r="I376" s="343">
        <v>1167.8585520000004</v>
      </c>
      <c r="J376" s="343">
        <v>1332.3456720000001</v>
      </c>
      <c r="K376" s="343">
        <v>2467.3068000000003</v>
      </c>
      <c r="L376" s="344">
        <v>1001.7612963350775</v>
      </c>
    </row>
    <row r="377" spans="2:12">
      <c r="B377" s="276">
        <v>395000</v>
      </c>
      <c r="C377" s="334">
        <v>1099.364</v>
      </c>
      <c r="D377" s="334">
        <v>1254.2040000000004</v>
      </c>
      <c r="E377" s="276">
        <v>2322.6000000000004</v>
      </c>
      <c r="F377" s="304">
        <v>1155.2728376963341</v>
      </c>
      <c r="H377" s="191"/>
      <c r="I377" s="343">
        <v>1170.82266</v>
      </c>
      <c r="J377" s="343">
        <v>1335.7272600000003</v>
      </c>
      <c r="K377" s="343">
        <v>2473.5690000000004</v>
      </c>
      <c r="L377" s="344">
        <v>1004.303837696334</v>
      </c>
    </row>
    <row r="378" spans="2:12">
      <c r="B378" s="276">
        <v>396000</v>
      </c>
      <c r="C378" s="334">
        <v>1102.1472000000001</v>
      </c>
      <c r="D378" s="334">
        <v>1257.3792000000001</v>
      </c>
      <c r="E378" s="276">
        <v>2328.48</v>
      </c>
      <c r="F378" s="304">
        <v>1158.1975790575907</v>
      </c>
      <c r="H378" s="191"/>
      <c r="I378" s="343">
        <v>1173.7867680000002</v>
      </c>
      <c r="J378" s="343">
        <v>1339.1088480000001</v>
      </c>
      <c r="K378" s="343">
        <v>2479.8312000000001</v>
      </c>
      <c r="L378" s="344">
        <v>1006.8463790575905</v>
      </c>
    </row>
    <row r="379" spans="2:12">
      <c r="B379" s="276">
        <v>397000</v>
      </c>
      <c r="C379" s="334">
        <v>1104.9304000000002</v>
      </c>
      <c r="D379" s="334">
        <v>1260.5544000000002</v>
      </c>
      <c r="E379" s="276">
        <v>2334.36</v>
      </c>
      <c r="F379" s="304">
        <v>1161.1223204188473</v>
      </c>
      <c r="H379" s="191"/>
      <c r="I379" s="343">
        <v>1176.7508760000003</v>
      </c>
      <c r="J379" s="343">
        <v>1342.4904360000003</v>
      </c>
      <c r="K379" s="343">
        <v>2486.0934000000002</v>
      </c>
      <c r="L379" s="344">
        <v>1009.3889204188471</v>
      </c>
    </row>
    <row r="380" spans="2:12">
      <c r="B380" s="276">
        <v>398000</v>
      </c>
      <c r="C380" s="334">
        <v>1107.7136000000003</v>
      </c>
      <c r="D380" s="334">
        <v>1263.7295999999999</v>
      </c>
      <c r="E380" s="276">
        <v>2340.2400000000002</v>
      </c>
      <c r="F380" s="304">
        <v>1164.0470617801038</v>
      </c>
      <c r="H380" s="191"/>
      <c r="I380" s="343">
        <v>1179.7149840000002</v>
      </c>
      <c r="J380" s="343">
        <v>1345.8720239999998</v>
      </c>
      <c r="K380" s="343">
        <v>2492.3556000000003</v>
      </c>
      <c r="L380" s="344">
        <v>1011.9314617801036</v>
      </c>
    </row>
    <row r="381" spans="2:12">
      <c r="B381" s="276">
        <v>399000</v>
      </c>
      <c r="C381" s="334">
        <v>1110.4968000000001</v>
      </c>
      <c r="D381" s="334">
        <v>1266.9048</v>
      </c>
      <c r="E381" s="276">
        <v>2346.1200000000003</v>
      </c>
      <c r="F381" s="304">
        <v>1166.9718031413604</v>
      </c>
      <c r="H381" s="191"/>
      <c r="I381" s="343">
        <v>1182.6790920000001</v>
      </c>
      <c r="J381" s="343">
        <v>1349.253612</v>
      </c>
      <c r="K381" s="343">
        <v>2498.6178000000004</v>
      </c>
      <c r="L381" s="344">
        <v>1014.4740031413602</v>
      </c>
    </row>
    <row r="382" spans="2:12">
      <c r="B382" s="276">
        <v>400000</v>
      </c>
      <c r="C382" s="334">
        <v>1113.28</v>
      </c>
      <c r="D382" s="334">
        <v>1270.0800000000002</v>
      </c>
      <c r="E382" s="276">
        <v>2352.0000000000005</v>
      </c>
      <c r="F382" s="304">
        <v>1169.896544502617</v>
      </c>
      <c r="H382" s="191"/>
      <c r="I382" s="343">
        <v>1185.6432</v>
      </c>
      <c r="J382" s="343">
        <v>1352.6352000000002</v>
      </c>
      <c r="K382" s="343">
        <v>2504.8800000000006</v>
      </c>
      <c r="L382" s="344">
        <v>1017.0165445026167</v>
      </c>
    </row>
    <row r="383" spans="2:12">
      <c r="B383" s="276">
        <v>401000</v>
      </c>
      <c r="C383" s="334">
        <v>1116.0632000000003</v>
      </c>
      <c r="D383" s="334">
        <v>1273.2552000000003</v>
      </c>
      <c r="E383" s="276">
        <v>2357.88</v>
      </c>
      <c r="F383" s="304">
        <v>1172.8212858638735</v>
      </c>
      <c r="H383" s="191"/>
      <c r="I383" s="343">
        <v>1188.6073080000003</v>
      </c>
      <c r="J383" s="343">
        <v>1356.0167880000004</v>
      </c>
      <c r="K383" s="343">
        <v>2511.1422000000002</v>
      </c>
      <c r="L383" s="344">
        <v>1019.5590858638733</v>
      </c>
    </row>
    <row r="384" spans="2:12">
      <c r="B384" s="276">
        <v>402000</v>
      </c>
      <c r="C384" s="334">
        <v>1118.8464000000001</v>
      </c>
      <c r="D384" s="334">
        <v>1276.4304</v>
      </c>
      <c r="E384" s="276">
        <v>2363.7600000000002</v>
      </c>
      <c r="F384" s="304">
        <v>1175.7460272251301</v>
      </c>
      <c r="H384" s="191"/>
      <c r="I384" s="343">
        <v>1191.5714160000002</v>
      </c>
      <c r="J384" s="343">
        <v>1359.3983759999999</v>
      </c>
      <c r="K384" s="343">
        <v>2517.4044000000004</v>
      </c>
      <c r="L384" s="344">
        <v>1022.1016272251298</v>
      </c>
    </row>
    <row r="385" spans="2:12">
      <c r="B385" s="276">
        <v>403000</v>
      </c>
      <c r="C385" s="334">
        <v>1121.6296000000002</v>
      </c>
      <c r="D385" s="334">
        <v>1279.6056000000001</v>
      </c>
      <c r="E385" s="276">
        <v>2369.6400000000003</v>
      </c>
      <c r="F385" s="304">
        <v>1178.6707685863864</v>
      </c>
      <c r="H385" s="191"/>
      <c r="I385" s="343">
        <v>1194.5355240000001</v>
      </c>
      <c r="J385" s="343">
        <v>1362.7799640000001</v>
      </c>
      <c r="K385" s="343">
        <v>2523.6666000000005</v>
      </c>
      <c r="L385" s="344">
        <v>1024.6441685863863</v>
      </c>
    </row>
    <row r="386" spans="2:12">
      <c r="B386" s="276">
        <v>404000</v>
      </c>
      <c r="C386" s="334">
        <v>1124.4128000000003</v>
      </c>
      <c r="D386" s="334">
        <v>1282.7808000000002</v>
      </c>
      <c r="E386" s="276">
        <v>2375.52</v>
      </c>
      <c r="F386" s="304">
        <v>1181.595509947643</v>
      </c>
      <c r="H386" s="191"/>
      <c r="I386" s="343">
        <v>1197.4996320000002</v>
      </c>
      <c r="J386" s="343">
        <v>1366.1615520000003</v>
      </c>
      <c r="K386" s="343">
        <v>2529.9288000000001</v>
      </c>
      <c r="L386" s="344">
        <v>1027.1867099476428</v>
      </c>
    </row>
    <row r="387" spans="2:12">
      <c r="B387" s="276">
        <v>405000</v>
      </c>
      <c r="C387" s="334">
        <v>1127.1960000000001</v>
      </c>
      <c r="D387" s="334">
        <v>1285.9560000000001</v>
      </c>
      <c r="E387" s="276">
        <v>2381.4</v>
      </c>
      <c r="F387" s="304">
        <v>1184.5202513088996</v>
      </c>
      <c r="H387" s="191"/>
      <c r="I387" s="343">
        <v>1200.4637400000001</v>
      </c>
      <c r="J387" s="343">
        <v>1369.5431400000002</v>
      </c>
      <c r="K387" s="343">
        <v>2536.1910000000003</v>
      </c>
      <c r="L387" s="344">
        <v>1029.7292513088994</v>
      </c>
    </row>
    <row r="388" spans="2:12">
      <c r="B388" s="276">
        <v>406000</v>
      </c>
      <c r="C388" s="334">
        <v>1129.9792000000002</v>
      </c>
      <c r="D388" s="334">
        <v>1289.1312000000003</v>
      </c>
      <c r="E388" s="276">
        <v>2387.2800000000002</v>
      </c>
      <c r="F388" s="304">
        <v>1187.4449926701561</v>
      </c>
      <c r="H388" s="191"/>
      <c r="I388" s="343">
        <v>1203.4278480000003</v>
      </c>
      <c r="J388" s="343">
        <v>1372.9247280000002</v>
      </c>
      <c r="K388" s="343">
        <v>2542.4532000000004</v>
      </c>
      <c r="L388" s="344">
        <v>1032.2717926701559</v>
      </c>
    </row>
    <row r="389" spans="2:12">
      <c r="B389" s="276">
        <v>407000</v>
      </c>
      <c r="C389" s="334">
        <v>1132.7624000000003</v>
      </c>
      <c r="D389" s="334">
        <v>1292.3064000000002</v>
      </c>
      <c r="E389" s="276">
        <v>2393.1600000000003</v>
      </c>
      <c r="F389" s="304">
        <v>1190.3697340314127</v>
      </c>
      <c r="H389" s="191"/>
      <c r="I389" s="343">
        <v>1206.3919560000004</v>
      </c>
      <c r="J389" s="343">
        <v>1376.3063160000002</v>
      </c>
      <c r="K389" s="343">
        <v>2548.7154000000005</v>
      </c>
      <c r="L389" s="344">
        <v>1034.8143340314125</v>
      </c>
    </row>
    <row r="390" spans="2:12">
      <c r="B390" s="276">
        <v>408000</v>
      </c>
      <c r="C390" s="334">
        <v>1135.5456000000001</v>
      </c>
      <c r="D390" s="334">
        <v>1295.4816000000001</v>
      </c>
      <c r="E390" s="276">
        <v>2399.0400000000004</v>
      </c>
      <c r="F390" s="304">
        <v>1193.2944753926693</v>
      </c>
      <c r="H390" s="191"/>
      <c r="I390" s="343">
        <v>1209.3560640000001</v>
      </c>
      <c r="J390" s="343">
        <v>1379.6879040000001</v>
      </c>
      <c r="K390" s="343">
        <v>2554.9776000000006</v>
      </c>
      <c r="L390" s="344">
        <v>1037.3568753926691</v>
      </c>
    </row>
    <row r="391" spans="2:12">
      <c r="B391" s="276">
        <v>409000</v>
      </c>
      <c r="C391" s="334">
        <v>1138.3288000000002</v>
      </c>
      <c r="D391" s="334">
        <v>1298.6568</v>
      </c>
      <c r="E391" s="276">
        <v>2404.9200000000005</v>
      </c>
      <c r="F391" s="304">
        <v>1196.2192167539258</v>
      </c>
      <c r="H391" s="191"/>
      <c r="I391" s="343">
        <v>1212.3201720000002</v>
      </c>
      <c r="J391" s="343">
        <v>1383.0694920000001</v>
      </c>
      <c r="K391" s="343">
        <v>2561.2398000000007</v>
      </c>
      <c r="L391" s="344">
        <v>1039.8994167539256</v>
      </c>
    </row>
    <row r="392" spans="2:12">
      <c r="B392" s="276">
        <v>410000</v>
      </c>
      <c r="C392" s="334">
        <v>1141.1120000000003</v>
      </c>
      <c r="D392" s="334">
        <v>1301.8320000000001</v>
      </c>
      <c r="E392" s="276">
        <v>2410.8000000000002</v>
      </c>
      <c r="F392" s="304">
        <v>1199.1439581151824</v>
      </c>
      <c r="H392" s="191"/>
      <c r="I392" s="343">
        <v>1215.2842800000003</v>
      </c>
      <c r="J392" s="343">
        <v>1386.45108</v>
      </c>
      <c r="K392" s="343">
        <v>2567.5020000000004</v>
      </c>
      <c r="L392" s="344">
        <v>1042.4419581151822</v>
      </c>
    </row>
    <row r="393" spans="2:12">
      <c r="B393" s="276">
        <v>411000</v>
      </c>
      <c r="C393" s="334">
        <v>1143.8952000000004</v>
      </c>
      <c r="D393" s="334">
        <v>1305.0072</v>
      </c>
      <c r="E393" s="276">
        <v>2416.6800000000003</v>
      </c>
      <c r="F393" s="304">
        <v>1202.068699476439</v>
      </c>
      <c r="H393" s="191"/>
      <c r="I393" s="343">
        <v>1218.2483880000004</v>
      </c>
      <c r="J393" s="343">
        <v>1389.832668</v>
      </c>
      <c r="K393" s="343">
        <v>2573.7642000000005</v>
      </c>
      <c r="L393" s="344">
        <v>1044.9844994764387</v>
      </c>
    </row>
    <row r="394" spans="2:12">
      <c r="B394" s="276">
        <v>412000</v>
      </c>
      <c r="C394" s="334">
        <v>1146.6784000000002</v>
      </c>
      <c r="D394" s="334">
        <v>1308.1824000000001</v>
      </c>
      <c r="E394" s="276">
        <v>2422.56</v>
      </c>
      <c r="F394" s="304">
        <v>1204.9934408376951</v>
      </c>
      <c r="H394" s="191"/>
      <c r="I394" s="343">
        <v>1221.2124960000003</v>
      </c>
      <c r="J394" s="343">
        <v>1393.2142560000002</v>
      </c>
      <c r="K394" s="343">
        <v>2580.0263999999997</v>
      </c>
      <c r="L394" s="344">
        <v>1047.5270408376953</v>
      </c>
    </row>
    <row r="395" spans="2:12">
      <c r="B395" s="276">
        <v>413000</v>
      </c>
      <c r="C395" s="334">
        <v>1149.4616000000003</v>
      </c>
      <c r="D395" s="334">
        <v>1311.3576</v>
      </c>
      <c r="E395" s="276">
        <v>2428.44</v>
      </c>
      <c r="F395" s="304">
        <v>1207.9181821989516</v>
      </c>
      <c r="H395" s="191"/>
      <c r="I395" s="343">
        <v>1224.1766040000002</v>
      </c>
      <c r="J395" s="343">
        <v>1396.5958439999999</v>
      </c>
      <c r="K395" s="343">
        <v>2586.2885999999999</v>
      </c>
      <c r="L395" s="344">
        <v>1050.0695821989518</v>
      </c>
    </row>
    <row r="396" spans="2:12">
      <c r="B396" s="276">
        <v>414000</v>
      </c>
      <c r="C396" s="334">
        <v>1152.2448000000002</v>
      </c>
      <c r="D396" s="334">
        <v>1314.5328</v>
      </c>
      <c r="E396" s="276">
        <v>2434.3200000000002</v>
      </c>
      <c r="F396" s="304">
        <v>1210.8429235602082</v>
      </c>
      <c r="H396" s="191"/>
      <c r="I396" s="343">
        <v>1227.1407120000001</v>
      </c>
      <c r="J396" s="343">
        <v>1399.9774319999999</v>
      </c>
      <c r="K396" s="343">
        <v>2592.5508</v>
      </c>
      <c r="L396" s="344">
        <v>1052.6121235602084</v>
      </c>
    </row>
    <row r="397" spans="2:12">
      <c r="B397" s="276">
        <v>415000</v>
      </c>
      <c r="C397" s="334">
        <v>1155.0280000000002</v>
      </c>
      <c r="D397" s="334">
        <v>1317.7080000000003</v>
      </c>
      <c r="E397" s="276">
        <v>2440.2000000000003</v>
      </c>
      <c r="F397" s="304">
        <v>1213.7676649214648</v>
      </c>
      <c r="H397" s="191"/>
      <c r="I397" s="343">
        <v>1230.1048200000002</v>
      </c>
      <c r="J397" s="343">
        <v>1403.3590200000003</v>
      </c>
      <c r="K397" s="343">
        <v>2598.8130000000001</v>
      </c>
      <c r="L397" s="344">
        <v>1055.1546649214649</v>
      </c>
    </row>
    <row r="398" spans="2:12">
      <c r="B398" s="276">
        <v>416000</v>
      </c>
      <c r="C398" s="334">
        <v>1157.8112000000003</v>
      </c>
      <c r="D398" s="334">
        <v>1320.8832</v>
      </c>
      <c r="E398" s="276">
        <v>2446.0800000000004</v>
      </c>
      <c r="F398" s="304">
        <v>1216.6924062827213</v>
      </c>
      <c r="H398" s="191"/>
      <c r="I398" s="343">
        <v>1233.0689280000004</v>
      </c>
      <c r="J398" s="343">
        <v>1406.7406080000001</v>
      </c>
      <c r="K398" s="343">
        <v>2605.0752000000002</v>
      </c>
      <c r="L398" s="344">
        <v>1057.6972062827215</v>
      </c>
    </row>
    <row r="399" spans="2:12">
      <c r="B399" s="276">
        <v>417000</v>
      </c>
      <c r="C399" s="334">
        <v>1160.5944000000002</v>
      </c>
      <c r="D399" s="334">
        <v>1324.0584000000001</v>
      </c>
      <c r="E399" s="276">
        <v>2451.9600000000005</v>
      </c>
      <c r="F399" s="304">
        <v>1219.6171476439779</v>
      </c>
      <c r="H399" s="191"/>
      <c r="I399" s="343">
        <v>1236.0330360000003</v>
      </c>
      <c r="J399" s="343">
        <v>1410.122196</v>
      </c>
      <c r="K399" s="343">
        <v>2611.3374000000003</v>
      </c>
      <c r="L399" s="344">
        <v>1060.239747643978</v>
      </c>
    </row>
    <row r="400" spans="2:12">
      <c r="B400" s="276">
        <v>418000</v>
      </c>
      <c r="C400" s="334">
        <v>1163.3776000000003</v>
      </c>
      <c r="D400" s="334">
        <v>1327.2336</v>
      </c>
      <c r="E400" s="276">
        <v>2457.84</v>
      </c>
      <c r="F400" s="304">
        <v>1222.5418890052345</v>
      </c>
      <c r="H400" s="191"/>
      <c r="I400" s="343">
        <v>1238.9971440000004</v>
      </c>
      <c r="J400" s="343">
        <v>1413.503784</v>
      </c>
      <c r="K400" s="343">
        <v>2617.5996</v>
      </c>
      <c r="L400" s="344">
        <v>1062.7822890052346</v>
      </c>
    </row>
    <row r="401" spans="2:12">
      <c r="B401" s="276">
        <v>419000</v>
      </c>
      <c r="C401" s="334">
        <v>1166.1608000000003</v>
      </c>
      <c r="D401" s="334">
        <v>1330.4087999999999</v>
      </c>
      <c r="E401" s="276">
        <v>2463.7200000000003</v>
      </c>
      <c r="F401" s="304">
        <v>1225.466630366491</v>
      </c>
      <c r="H401" s="191"/>
      <c r="I401" s="343">
        <v>1241.9612520000003</v>
      </c>
      <c r="J401" s="343">
        <v>1416.885372</v>
      </c>
      <c r="K401" s="343">
        <v>2623.8618000000001</v>
      </c>
      <c r="L401" s="344">
        <v>1065.3248303664911</v>
      </c>
    </row>
    <row r="402" spans="2:12">
      <c r="B402" s="276">
        <v>420000</v>
      </c>
      <c r="C402" s="334">
        <v>1168.9440000000002</v>
      </c>
      <c r="D402" s="334">
        <v>1333.5840000000003</v>
      </c>
      <c r="E402" s="276">
        <v>2469.6000000000004</v>
      </c>
      <c r="F402" s="304">
        <v>1228.3913717277474</v>
      </c>
      <c r="H402" s="191"/>
      <c r="I402" s="343">
        <v>1244.9253600000002</v>
      </c>
      <c r="J402" s="343">
        <v>1420.2669600000004</v>
      </c>
      <c r="K402" s="343">
        <v>2630.1240000000003</v>
      </c>
      <c r="L402" s="344">
        <v>1067.8673717277475</v>
      </c>
    </row>
    <row r="403" spans="2:12">
      <c r="B403" s="276">
        <v>421000</v>
      </c>
      <c r="C403" s="334">
        <v>1171.7272000000003</v>
      </c>
      <c r="D403" s="334">
        <v>1336.7592000000002</v>
      </c>
      <c r="E403" s="276">
        <v>2475.48</v>
      </c>
      <c r="F403" s="304">
        <v>1231.3161130890039</v>
      </c>
      <c r="H403" s="191"/>
      <c r="I403" s="343">
        <v>1247.8894680000003</v>
      </c>
      <c r="J403" s="343">
        <v>1423.6485480000001</v>
      </c>
      <c r="K403" s="343">
        <v>2636.3861999999999</v>
      </c>
      <c r="L403" s="344">
        <v>1070.409913089004</v>
      </c>
    </row>
    <row r="404" spans="2:12">
      <c r="B404" s="276">
        <v>422000</v>
      </c>
      <c r="C404" s="334">
        <v>1174.5104000000001</v>
      </c>
      <c r="D404" s="334">
        <v>1339.9344000000003</v>
      </c>
      <c r="E404" s="276">
        <v>2481.36</v>
      </c>
      <c r="F404" s="304">
        <v>1234.2408544502605</v>
      </c>
      <c r="H404" s="191"/>
      <c r="I404" s="343">
        <v>1250.8535760000002</v>
      </c>
      <c r="J404" s="343">
        <v>1427.0301360000003</v>
      </c>
      <c r="K404" s="343">
        <v>2642.6484</v>
      </c>
      <c r="L404" s="344">
        <v>1072.9524544502606</v>
      </c>
    </row>
    <row r="405" spans="2:12">
      <c r="B405" s="276">
        <v>423000</v>
      </c>
      <c r="C405" s="334">
        <v>1177.2936000000002</v>
      </c>
      <c r="D405" s="334">
        <v>1343.1096</v>
      </c>
      <c r="E405" s="276">
        <v>2487.2400000000002</v>
      </c>
      <c r="F405" s="304">
        <v>1237.1655958115171</v>
      </c>
      <c r="H405" s="191"/>
      <c r="I405" s="343">
        <v>1253.8176840000001</v>
      </c>
      <c r="J405" s="343">
        <v>1430.411724</v>
      </c>
      <c r="K405" s="343">
        <v>2648.9106000000002</v>
      </c>
      <c r="L405" s="344">
        <v>1075.4949958115171</v>
      </c>
    </row>
    <row r="406" spans="2:12">
      <c r="B406" s="276">
        <v>424000</v>
      </c>
      <c r="C406" s="334">
        <v>1180.0768</v>
      </c>
      <c r="D406" s="334">
        <v>1346.2848000000001</v>
      </c>
      <c r="E406" s="276">
        <v>2493.1200000000003</v>
      </c>
      <c r="F406" s="304">
        <v>1240.0903371727736</v>
      </c>
      <c r="H406" s="191"/>
      <c r="I406" s="343">
        <v>1256.781792</v>
      </c>
      <c r="J406" s="343">
        <v>1433.7933120000002</v>
      </c>
      <c r="K406" s="343">
        <v>2655.1728000000003</v>
      </c>
      <c r="L406" s="344">
        <v>1078.0375371727737</v>
      </c>
    </row>
    <row r="407" spans="2:12">
      <c r="B407" s="276">
        <v>425000</v>
      </c>
      <c r="C407" s="334">
        <v>1182.8600000000001</v>
      </c>
      <c r="D407" s="334">
        <v>1349.4600000000003</v>
      </c>
      <c r="E407" s="276">
        <v>2499.0000000000005</v>
      </c>
      <c r="F407" s="304">
        <v>1243.0150785340302</v>
      </c>
      <c r="H407" s="191"/>
      <c r="I407" s="343">
        <v>1259.7459000000001</v>
      </c>
      <c r="J407" s="343">
        <v>1437.1749000000002</v>
      </c>
      <c r="K407" s="343">
        <v>2661.4350000000004</v>
      </c>
      <c r="L407" s="344">
        <v>1080.5800785340302</v>
      </c>
    </row>
    <row r="408" spans="2:12">
      <c r="B408" s="276">
        <v>426000</v>
      </c>
      <c r="C408" s="334">
        <v>1185.6432000000002</v>
      </c>
      <c r="D408" s="334">
        <v>1352.6352000000002</v>
      </c>
      <c r="E408" s="276">
        <v>2504.88</v>
      </c>
      <c r="F408" s="304">
        <v>1245.9398198952867</v>
      </c>
      <c r="H408" s="191"/>
      <c r="I408" s="343">
        <v>1262.7100080000002</v>
      </c>
      <c r="J408" s="343">
        <v>1440.5564880000002</v>
      </c>
      <c r="K408" s="343">
        <v>2667.6972000000001</v>
      </c>
      <c r="L408" s="344">
        <v>1083.1226198952868</v>
      </c>
    </row>
    <row r="409" spans="2:12">
      <c r="B409" s="276">
        <v>427000</v>
      </c>
      <c r="C409" s="334">
        <v>1188.4264000000003</v>
      </c>
      <c r="D409" s="334">
        <v>1355.8104000000001</v>
      </c>
      <c r="E409" s="276">
        <v>2510.7600000000002</v>
      </c>
      <c r="F409" s="304">
        <v>1248.8645612565433</v>
      </c>
      <c r="H409" s="191"/>
      <c r="I409" s="343">
        <v>1265.6741160000004</v>
      </c>
      <c r="J409" s="343">
        <v>1443.9380760000001</v>
      </c>
      <c r="K409" s="343">
        <v>2673.9594000000002</v>
      </c>
      <c r="L409" s="344">
        <v>1085.6651612565433</v>
      </c>
    </row>
    <row r="410" spans="2:12">
      <c r="B410" s="276">
        <v>428000</v>
      </c>
      <c r="C410" s="334">
        <v>1191.2096000000001</v>
      </c>
      <c r="D410" s="334">
        <v>1358.9856000000002</v>
      </c>
      <c r="E410" s="276">
        <v>2516.6400000000003</v>
      </c>
      <c r="F410" s="304">
        <v>1251.7893026177999</v>
      </c>
      <c r="H410" s="191"/>
      <c r="I410" s="343">
        <v>1268.6382240000003</v>
      </c>
      <c r="J410" s="343">
        <v>1447.3196640000001</v>
      </c>
      <c r="K410" s="343">
        <v>2680.2216000000003</v>
      </c>
      <c r="L410" s="344">
        <v>1088.2077026177999</v>
      </c>
    </row>
    <row r="411" spans="2:12">
      <c r="B411" s="276">
        <v>429000</v>
      </c>
      <c r="C411" s="334">
        <v>1193.9928000000002</v>
      </c>
      <c r="D411" s="334">
        <v>1362.1608000000001</v>
      </c>
      <c r="E411" s="276">
        <v>2522.52</v>
      </c>
      <c r="F411" s="304">
        <v>1254.7140439790564</v>
      </c>
      <c r="H411" s="191"/>
      <c r="I411" s="343">
        <v>1271.6023320000002</v>
      </c>
      <c r="J411" s="343">
        <v>1450.7012520000001</v>
      </c>
      <c r="K411" s="343">
        <v>2686.4838</v>
      </c>
      <c r="L411" s="344">
        <v>1090.7502439790564</v>
      </c>
    </row>
    <row r="412" spans="2:12">
      <c r="B412" s="276">
        <v>430000</v>
      </c>
      <c r="C412" s="334">
        <v>1196.7760000000001</v>
      </c>
      <c r="D412" s="334">
        <v>1365.3360000000002</v>
      </c>
      <c r="E412" s="276">
        <v>2528.4</v>
      </c>
      <c r="F412" s="304">
        <v>1257.638785340313</v>
      </c>
      <c r="H412" s="191"/>
      <c r="I412" s="343">
        <v>1274.5664400000001</v>
      </c>
      <c r="J412" s="343">
        <v>1454.0828400000003</v>
      </c>
      <c r="K412" s="343">
        <v>2692.7460000000001</v>
      </c>
      <c r="L412" s="344">
        <v>1093.292785340313</v>
      </c>
    </row>
    <row r="413" spans="2:12">
      <c r="B413" s="276">
        <v>431000</v>
      </c>
      <c r="C413" s="334">
        <v>1199.5592000000004</v>
      </c>
      <c r="D413" s="334">
        <v>1368.5112000000001</v>
      </c>
      <c r="E413" s="276">
        <v>2534.2800000000002</v>
      </c>
      <c r="F413" s="304">
        <v>1260.5635267015696</v>
      </c>
      <c r="H413" s="191"/>
      <c r="I413" s="343">
        <v>1277.5305480000004</v>
      </c>
      <c r="J413" s="343">
        <v>1457.4644280000002</v>
      </c>
      <c r="K413" s="343">
        <v>2699.0082000000002</v>
      </c>
      <c r="L413" s="344">
        <v>1095.8353267015696</v>
      </c>
    </row>
    <row r="414" spans="2:12">
      <c r="B414" s="276">
        <v>432000</v>
      </c>
      <c r="C414" s="334">
        <v>1202.3424000000002</v>
      </c>
      <c r="D414" s="334">
        <v>1371.6864000000003</v>
      </c>
      <c r="E414" s="276">
        <v>2540.1600000000003</v>
      </c>
      <c r="F414" s="304">
        <v>1263.4882680628261</v>
      </c>
      <c r="H414" s="191"/>
      <c r="I414" s="343">
        <v>1280.4946560000003</v>
      </c>
      <c r="J414" s="343">
        <v>1460.8460160000002</v>
      </c>
      <c r="K414" s="343">
        <v>2705.2704000000003</v>
      </c>
      <c r="L414" s="344">
        <v>1098.3778680628261</v>
      </c>
    </row>
    <row r="415" spans="2:12">
      <c r="B415" s="276">
        <v>433000</v>
      </c>
      <c r="C415" s="334">
        <v>1205.1256000000003</v>
      </c>
      <c r="D415" s="334">
        <v>1374.8616000000002</v>
      </c>
      <c r="E415" s="276">
        <v>2546.0400000000004</v>
      </c>
      <c r="F415" s="304">
        <v>1266.4130094240825</v>
      </c>
      <c r="H415" s="191"/>
      <c r="I415" s="343">
        <v>1283.4587640000004</v>
      </c>
      <c r="J415" s="343">
        <v>1464.2276040000002</v>
      </c>
      <c r="K415" s="343">
        <v>2711.5326000000005</v>
      </c>
      <c r="L415" s="344">
        <v>1100.9204094240824</v>
      </c>
    </row>
    <row r="416" spans="2:12">
      <c r="B416" s="276">
        <v>434000</v>
      </c>
      <c r="C416" s="334">
        <v>1207.9088000000002</v>
      </c>
      <c r="D416" s="334">
        <v>1378.0367999999999</v>
      </c>
      <c r="E416" s="276">
        <v>2551.9200000000005</v>
      </c>
      <c r="F416" s="304">
        <v>1269.337750785339</v>
      </c>
      <c r="H416" s="191"/>
      <c r="I416" s="343">
        <v>1286.4228720000001</v>
      </c>
      <c r="J416" s="343">
        <v>1467.6091919999999</v>
      </c>
      <c r="K416" s="343">
        <v>2717.7948000000006</v>
      </c>
      <c r="L416" s="344">
        <v>1103.462950785339</v>
      </c>
    </row>
    <row r="417" spans="2:12">
      <c r="B417" s="276">
        <v>435000</v>
      </c>
      <c r="C417" s="334">
        <v>1210.6920000000002</v>
      </c>
      <c r="D417" s="334">
        <v>1381.2120000000002</v>
      </c>
      <c r="E417" s="276">
        <v>2557.8000000000002</v>
      </c>
      <c r="F417" s="304">
        <v>1272.2624921465956</v>
      </c>
      <c r="H417" s="191"/>
      <c r="I417" s="343">
        <v>1289.3869800000002</v>
      </c>
      <c r="J417" s="343">
        <v>1470.9907800000003</v>
      </c>
      <c r="K417" s="343">
        <v>2724.0570000000002</v>
      </c>
      <c r="L417" s="344">
        <v>1106.0054921465955</v>
      </c>
    </row>
    <row r="418" spans="2:12">
      <c r="B418" s="276">
        <v>436000</v>
      </c>
      <c r="C418" s="334">
        <v>1213.4752000000003</v>
      </c>
      <c r="D418" s="334">
        <v>1384.3872000000001</v>
      </c>
      <c r="E418" s="276">
        <v>2563.6800000000003</v>
      </c>
      <c r="F418" s="304">
        <v>1275.1872335078522</v>
      </c>
      <c r="H418" s="191"/>
      <c r="I418" s="343">
        <v>1292.3510880000003</v>
      </c>
      <c r="J418" s="343">
        <v>1474.3723680000001</v>
      </c>
      <c r="K418" s="343">
        <v>2730.3192000000004</v>
      </c>
      <c r="L418" s="344">
        <v>1108.5480335078521</v>
      </c>
    </row>
    <row r="419" spans="2:12">
      <c r="B419" s="276">
        <v>437000</v>
      </c>
      <c r="C419" s="334">
        <v>1216.2584000000004</v>
      </c>
      <c r="D419" s="334">
        <v>1387.5624</v>
      </c>
      <c r="E419" s="276">
        <v>2569.56</v>
      </c>
      <c r="F419" s="304">
        <v>1278.1119748691087</v>
      </c>
      <c r="H419" s="191"/>
      <c r="I419" s="343">
        <v>1295.3151960000005</v>
      </c>
      <c r="J419" s="343">
        <v>1477.753956</v>
      </c>
      <c r="K419" s="343">
        <v>2736.5814</v>
      </c>
      <c r="L419" s="344">
        <v>1111.0905748691087</v>
      </c>
    </row>
    <row r="420" spans="2:12">
      <c r="B420" s="276">
        <v>438000</v>
      </c>
      <c r="C420" s="334">
        <v>1219.0416000000002</v>
      </c>
      <c r="D420" s="334">
        <v>1390.7376000000002</v>
      </c>
      <c r="E420" s="276">
        <v>2575.44</v>
      </c>
      <c r="F420" s="304">
        <v>1281.0367162303653</v>
      </c>
      <c r="H420" s="191"/>
      <c r="I420" s="343">
        <v>1298.2793040000004</v>
      </c>
      <c r="J420" s="343">
        <v>1481.1355440000002</v>
      </c>
      <c r="K420" s="343">
        <v>2742.8436000000002</v>
      </c>
      <c r="L420" s="344">
        <v>1113.6331162303652</v>
      </c>
    </row>
    <row r="421" spans="2:12">
      <c r="B421" s="276">
        <v>439000</v>
      </c>
      <c r="C421" s="334">
        <v>1221.8248000000001</v>
      </c>
      <c r="D421" s="334">
        <v>1393.9128000000001</v>
      </c>
      <c r="E421" s="276">
        <v>2581.3200000000002</v>
      </c>
      <c r="F421" s="304">
        <v>1283.9614575916219</v>
      </c>
      <c r="H421" s="191"/>
      <c r="I421" s="343">
        <v>1301.243412</v>
      </c>
      <c r="J421" s="343">
        <v>1484.5171320000002</v>
      </c>
      <c r="K421" s="343">
        <v>2749.1058000000003</v>
      </c>
      <c r="L421" s="344">
        <v>1116.1756575916218</v>
      </c>
    </row>
    <row r="422" spans="2:12">
      <c r="B422" s="276">
        <v>440000</v>
      </c>
      <c r="C422" s="334">
        <v>1224.6080000000002</v>
      </c>
      <c r="D422" s="334">
        <v>1397.0880000000004</v>
      </c>
      <c r="E422" s="276">
        <v>2587.2000000000003</v>
      </c>
      <c r="F422" s="304">
        <v>1286.8861989528784</v>
      </c>
      <c r="H422" s="191"/>
      <c r="I422" s="343">
        <v>1304.2075200000002</v>
      </c>
      <c r="J422" s="343">
        <v>1487.8987200000004</v>
      </c>
      <c r="K422" s="343">
        <v>2755.3680000000004</v>
      </c>
      <c r="L422" s="344">
        <v>1118.7181989528783</v>
      </c>
    </row>
    <row r="423" spans="2:12">
      <c r="B423" s="276">
        <v>441000</v>
      </c>
      <c r="C423" s="334">
        <v>1227.3912000000003</v>
      </c>
      <c r="D423" s="334">
        <v>1400.2632000000001</v>
      </c>
      <c r="E423" s="276">
        <v>2593.0800000000004</v>
      </c>
      <c r="F423" s="304">
        <v>1289.810940314135</v>
      </c>
      <c r="H423" s="191"/>
      <c r="I423" s="343">
        <v>1307.1716280000003</v>
      </c>
      <c r="J423" s="343">
        <v>1491.2803080000001</v>
      </c>
      <c r="K423" s="343">
        <v>2761.6302000000005</v>
      </c>
      <c r="L423" s="344">
        <v>1121.2607403141349</v>
      </c>
    </row>
    <row r="424" spans="2:12">
      <c r="B424" s="276">
        <v>442000</v>
      </c>
      <c r="C424" s="334">
        <v>1230.1744000000003</v>
      </c>
      <c r="D424" s="334">
        <v>1403.4384</v>
      </c>
      <c r="E424" s="276">
        <v>2598.9600000000005</v>
      </c>
      <c r="F424" s="304">
        <v>1292.7356816753916</v>
      </c>
      <c r="H424" s="191"/>
      <c r="I424" s="343">
        <v>1310.1357360000004</v>
      </c>
      <c r="J424" s="343">
        <v>1494.6618960000001</v>
      </c>
      <c r="K424" s="343">
        <v>2767.8924000000006</v>
      </c>
      <c r="L424" s="344">
        <v>1123.8032816753914</v>
      </c>
    </row>
    <row r="425" spans="2:12">
      <c r="B425" s="276">
        <v>443000</v>
      </c>
      <c r="C425" s="334">
        <v>1232.9576000000004</v>
      </c>
      <c r="D425" s="334">
        <v>1406.6135999999999</v>
      </c>
      <c r="E425" s="276">
        <v>2604.84</v>
      </c>
      <c r="F425" s="304">
        <v>1295.6604230366481</v>
      </c>
      <c r="H425" s="191"/>
      <c r="I425" s="343">
        <v>1313.0998440000005</v>
      </c>
      <c r="J425" s="343">
        <v>1498.0434839999998</v>
      </c>
      <c r="K425" s="343">
        <v>2774.1546000000003</v>
      </c>
      <c r="L425" s="344">
        <v>1126.345823036648</v>
      </c>
    </row>
    <row r="426" spans="2:12">
      <c r="B426" s="276">
        <v>444000</v>
      </c>
      <c r="C426" s="334">
        <v>1235.7408000000003</v>
      </c>
      <c r="D426" s="334">
        <v>1409.7888</v>
      </c>
      <c r="E426" s="276">
        <v>2610.7200000000003</v>
      </c>
      <c r="F426" s="304">
        <v>1298.5851643979047</v>
      </c>
      <c r="H426" s="191"/>
      <c r="I426" s="343">
        <v>1316.0639520000002</v>
      </c>
      <c r="J426" s="343">
        <v>1501.425072</v>
      </c>
      <c r="K426" s="343">
        <v>2780.4168000000004</v>
      </c>
      <c r="L426" s="344">
        <v>1128.8883643979045</v>
      </c>
    </row>
    <row r="427" spans="2:12">
      <c r="B427" s="276">
        <v>445000</v>
      </c>
      <c r="C427" s="334">
        <v>1238.5240000000001</v>
      </c>
      <c r="D427" s="334">
        <v>1412.9640000000002</v>
      </c>
      <c r="E427" s="276">
        <v>2616.6000000000004</v>
      </c>
      <c r="F427" s="304">
        <v>1301.5099057591613</v>
      </c>
      <c r="H427" s="191"/>
      <c r="I427" s="343">
        <v>1319.0280600000001</v>
      </c>
      <c r="J427" s="343">
        <v>1504.8066600000002</v>
      </c>
      <c r="K427" s="343">
        <v>2786.6790000000005</v>
      </c>
      <c r="L427" s="344">
        <v>1131.4309057591611</v>
      </c>
    </row>
    <row r="428" spans="2:12">
      <c r="B428" s="276">
        <v>446000</v>
      </c>
      <c r="C428" s="334">
        <v>1241.3072000000004</v>
      </c>
      <c r="D428" s="334">
        <v>1416.1392000000003</v>
      </c>
      <c r="E428" s="276">
        <v>2622.48</v>
      </c>
      <c r="F428" s="304">
        <v>1304.4346471204178</v>
      </c>
      <c r="H428" s="191"/>
      <c r="I428" s="343">
        <v>1321.9921680000004</v>
      </c>
      <c r="J428" s="343">
        <v>1508.1882480000004</v>
      </c>
      <c r="K428" s="343">
        <v>2792.9412000000002</v>
      </c>
      <c r="L428" s="344">
        <v>1133.9734471204176</v>
      </c>
    </row>
    <row r="429" spans="2:12">
      <c r="B429" s="276">
        <v>447000</v>
      </c>
      <c r="C429" s="334">
        <v>1244.0904000000003</v>
      </c>
      <c r="D429" s="334">
        <v>1419.3144000000002</v>
      </c>
      <c r="E429" s="276">
        <v>2628.36</v>
      </c>
      <c r="F429" s="304">
        <v>1307.3593884816744</v>
      </c>
      <c r="H429" s="191"/>
      <c r="I429" s="343">
        <v>1324.9562760000003</v>
      </c>
      <c r="J429" s="343">
        <v>1511.5698360000001</v>
      </c>
      <c r="K429" s="343">
        <v>2799.2034000000003</v>
      </c>
      <c r="L429" s="344">
        <v>1136.5159884816742</v>
      </c>
    </row>
    <row r="430" spans="2:12">
      <c r="B430" s="276">
        <v>448000</v>
      </c>
      <c r="C430" s="334">
        <v>1246.8736000000001</v>
      </c>
      <c r="D430" s="334">
        <v>1422.4896000000001</v>
      </c>
      <c r="E430" s="276">
        <v>2634.2400000000002</v>
      </c>
      <c r="F430" s="304">
        <v>1310.284129842931</v>
      </c>
      <c r="H430" s="191"/>
      <c r="I430" s="343">
        <v>1327.9203840000002</v>
      </c>
      <c r="J430" s="343">
        <v>1514.9514240000001</v>
      </c>
      <c r="K430" s="343">
        <v>2805.4656000000004</v>
      </c>
      <c r="L430" s="344">
        <v>1139.0585298429307</v>
      </c>
    </row>
    <row r="431" spans="2:12">
      <c r="B431" s="276">
        <v>449000</v>
      </c>
      <c r="C431" s="334">
        <v>1249.6568000000002</v>
      </c>
      <c r="D431" s="334">
        <v>1425.6648000000002</v>
      </c>
      <c r="E431" s="276">
        <v>2640.1200000000003</v>
      </c>
      <c r="F431" s="304">
        <v>1313.2088712041875</v>
      </c>
      <c r="H431" s="191"/>
      <c r="I431" s="343">
        <v>1330.8844920000001</v>
      </c>
      <c r="J431" s="343">
        <v>1518.3330120000003</v>
      </c>
      <c r="K431" s="343">
        <v>2811.7278000000006</v>
      </c>
      <c r="L431" s="344">
        <v>1141.6010712041873</v>
      </c>
    </row>
    <row r="432" spans="2:12">
      <c r="B432" s="276">
        <v>450000</v>
      </c>
      <c r="C432" s="334">
        <v>1252.44</v>
      </c>
      <c r="D432" s="334">
        <v>1428.8400000000001</v>
      </c>
      <c r="E432" s="276">
        <v>2646.0000000000005</v>
      </c>
      <c r="F432" s="304">
        <v>1316.1336125654441</v>
      </c>
      <c r="H432" s="191"/>
      <c r="I432" s="343">
        <v>1333.8486</v>
      </c>
      <c r="J432" s="343">
        <v>1521.7146000000002</v>
      </c>
      <c r="K432" s="343">
        <v>2817.9900000000007</v>
      </c>
      <c r="L432" s="344">
        <v>1144.1436125654438</v>
      </c>
    </row>
    <row r="433" spans="2:12">
      <c r="B433" s="276">
        <v>451000</v>
      </c>
      <c r="C433" s="334">
        <v>1255.2232000000001</v>
      </c>
      <c r="D433" s="334">
        <v>1432.0152</v>
      </c>
      <c r="E433" s="276">
        <v>2651.88</v>
      </c>
      <c r="F433" s="304">
        <v>1319.0583539267002</v>
      </c>
      <c r="H433" s="191"/>
      <c r="I433" s="343">
        <v>1336.8127080000002</v>
      </c>
      <c r="J433" s="343">
        <v>1525.096188</v>
      </c>
      <c r="K433" s="343">
        <v>2824.2521999999999</v>
      </c>
      <c r="L433" s="344">
        <v>1146.6861539267004</v>
      </c>
    </row>
    <row r="434" spans="2:12">
      <c r="B434" s="276">
        <v>452000</v>
      </c>
      <c r="C434" s="334">
        <v>1258.0064000000002</v>
      </c>
      <c r="D434" s="334">
        <v>1435.1904000000002</v>
      </c>
      <c r="E434" s="276">
        <v>2657.76</v>
      </c>
      <c r="F434" s="304">
        <v>1321.9830952879568</v>
      </c>
      <c r="H434" s="191"/>
      <c r="I434" s="343">
        <v>1339.7768160000003</v>
      </c>
      <c r="J434" s="343">
        <v>1528.4777760000002</v>
      </c>
      <c r="K434" s="343">
        <v>2830.5144</v>
      </c>
      <c r="L434" s="344">
        <v>1149.228695287957</v>
      </c>
    </row>
    <row r="435" spans="2:12">
      <c r="B435" s="276">
        <v>453000</v>
      </c>
      <c r="C435" s="334">
        <v>1260.7896000000003</v>
      </c>
      <c r="D435" s="334">
        <v>1438.3656000000001</v>
      </c>
      <c r="E435" s="276">
        <v>2663.6400000000003</v>
      </c>
      <c r="F435" s="304">
        <v>1324.9078366492133</v>
      </c>
      <c r="H435" s="191"/>
      <c r="I435" s="343">
        <v>1342.7409240000004</v>
      </c>
      <c r="J435" s="343">
        <v>1531.8593640000001</v>
      </c>
      <c r="K435" s="343">
        <v>2836.7766000000001</v>
      </c>
      <c r="L435" s="344">
        <v>1151.7712366492135</v>
      </c>
    </row>
    <row r="436" spans="2:12">
      <c r="B436" s="276">
        <v>454000</v>
      </c>
      <c r="C436" s="334">
        <v>1263.5728000000001</v>
      </c>
      <c r="D436" s="334">
        <v>1441.5408</v>
      </c>
      <c r="E436" s="276">
        <v>2669.52</v>
      </c>
      <c r="F436" s="304">
        <v>1327.8325780104699</v>
      </c>
      <c r="H436" s="191"/>
      <c r="I436" s="343">
        <v>1345.7050320000001</v>
      </c>
      <c r="J436" s="343">
        <v>1535.2409520000001</v>
      </c>
      <c r="K436" s="343">
        <v>2843.0387999999998</v>
      </c>
      <c r="L436" s="344">
        <v>1154.3137780104701</v>
      </c>
    </row>
    <row r="437" spans="2:12">
      <c r="B437" s="276">
        <v>455000</v>
      </c>
      <c r="C437" s="334">
        <v>1266.3560000000002</v>
      </c>
      <c r="D437" s="334">
        <v>1444.7160000000001</v>
      </c>
      <c r="E437" s="276">
        <v>2675.4</v>
      </c>
      <c r="F437" s="304">
        <v>1330.7573193717265</v>
      </c>
      <c r="H437" s="191"/>
      <c r="I437" s="343">
        <v>1348.6691400000002</v>
      </c>
      <c r="J437" s="343">
        <v>1538.6225400000001</v>
      </c>
      <c r="K437" s="343">
        <v>2849.3009999999999</v>
      </c>
      <c r="L437" s="344">
        <v>1156.8563193717266</v>
      </c>
    </row>
    <row r="438" spans="2:12">
      <c r="B438" s="276">
        <v>456000</v>
      </c>
      <c r="C438" s="334">
        <v>1269.1392000000003</v>
      </c>
      <c r="D438" s="334">
        <v>1447.8912000000003</v>
      </c>
      <c r="E438" s="276">
        <v>2681.28</v>
      </c>
      <c r="F438" s="304">
        <v>1333.682060732983</v>
      </c>
      <c r="H438" s="191"/>
      <c r="I438" s="343">
        <v>1351.6332480000003</v>
      </c>
      <c r="J438" s="343">
        <v>1542.0041280000003</v>
      </c>
      <c r="K438" s="343">
        <v>2855.5632000000001</v>
      </c>
      <c r="L438" s="344">
        <v>1159.3988607329832</v>
      </c>
    </row>
    <row r="439" spans="2:12">
      <c r="B439" s="276">
        <v>457000</v>
      </c>
      <c r="C439" s="334">
        <v>1271.9224000000002</v>
      </c>
      <c r="D439" s="334">
        <v>1451.0663999999999</v>
      </c>
      <c r="E439" s="276">
        <v>2687.1600000000003</v>
      </c>
      <c r="F439" s="304">
        <v>1336.6068020942396</v>
      </c>
      <c r="H439" s="191"/>
      <c r="I439" s="343">
        <v>1354.5973560000002</v>
      </c>
      <c r="J439" s="343">
        <v>1545.385716</v>
      </c>
      <c r="K439" s="343">
        <v>2861.8254000000002</v>
      </c>
      <c r="L439" s="344">
        <v>1161.9414020942397</v>
      </c>
    </row>
    <row r="440" spans="2:12">
      <c r="B440" s="276">
        <v>458000</v>
      </c>
      <c r="C440" s="334">
        <v>1274.7056000000002</v>
      </c>
      <c r="D440" s="334">
        <v>1454.2416000000001</v>
      </c>
      <c r="E440" s="276">
        <v>2693.0400000000004</v>
      </c>
      <c r="F440" s="304">
        <v>1339.5315434554961</v>
      </c>
      <c r="H440" s="191"/>
      <c r="I440" s="343">
        <v>1357.5614640000003</v>
      </c>
      <c r="J440" s="343">
        <v>1548.767304</v>
      </c>
      <c r="K440" s="343">
        <v>2868.0876000000003</v>
      </c>
      <c r="L440" s="344">
        <v>1164.4839434554963</v>
      </c>
    </row>
    <row r="441" spans="2:12">
      <c r="B441" s="276">
        <v>459000</v>
      </c>
      <c r="C441" s="334">
        <v>1277.4888000000003</v>
      </c>
      <c r="D441" s="334">
        <v>1457.4168</v>
      </c>
      <c r="E441" s="276">
        <v>2698.9200000000005</v>
      </c>
      <c r="F441" s="304">
        <v>1342.4562848167525</v>
      </c>
      <c r="H441" s="191"/>
      <c r="I441" s="343">
        <v>1360.5255720000002</v>
      </c>
      <c r="J441" s="343">
        <v>1552.1488919999999</v>
      </c>
      <c r="K441" s="343">
        <v>2874.3498000000004</v>
      </c>
      <c r="L441" s="344">
        <v>1167.0264848167526</v>
      </c>
    </row>
    <row r="442" spans="2:12">
      <c r="B442" s="276">
        <v>460000</v>
      </c>
      <c r="C442" s="334">
        <v>1280.2720000000002</v>
      </c>
      <c r="D442" s="334">
        <v>1460.5920000000003</v>
      </c>
      <c r="E442" s="276">
        <v>2704.8</v>
      </c>
      <c r="F442" s="304">
        <v>1345.3810261780091</v>
      </c>
      <c r="H442" s="191"/>
      <c r="I442" s="343">
        <v>1363.4896800000001</v>
      </c>
      <c r="J442" s="343">
        <v>1555.5304800000004</v>
      </c>
      <c r="K442" s="343">
        <v>2880.6120000000001</v>
      </c>
      <c r="L442" s="344">
        <v>1169.5690261780092</v>
      </c>
    </row>
    <row r="443" spans="2:12">
      <c r="B443" s="276">
        <v>461000</v>
      </c>
      <c r="C443" s="334">
        <v>1283.0552000000005</v>
      </c>
      <c r="D443" s="334">
        <v>1463.7672000000002</v>
      </c>
      <c r="E443" s="276">
        <v>2710.6800000000003</v>
      </c>
      <c r="F443" s="304">
        <v>1348.3057675392656</v>
      </c>
      <c r="H443" s="191"/>
      <c r="I443" s="343">
        <v>1366.4537880000005</v>
      </c>
      <c r="J443" s="343">
        <v>1558.9120680000003</v>
      </c>
      <c r="K443" s="343">
        <v>2886.8742000000002</v>
      </c>
      <c r="L443" s="344">
        <v>1172.1115675392657</v>
      </c>
    </row>
    <row r="444" spans="2:12">
      <c r="B444" s="276">
        <v>462000</v>
      </c>
      <c r="C444" s="334">
        <v>1285.8384000000003</v>
      </c>
      <c r="D444" s="334">
        <v>1466.9424000000001</v>
      </c>
      <c r="E444" s="276">
        <v>2716.5600000000004</v>
      </c>
      <c r="F444" s="304">
        <v>1351.2305089005222</v>
      </c>
      <c r="H444" s="191"/>
      <c r="I444" s="343">
        <v>1369.4178960000004</v>
      </c>
      <c r="J444" s="343">
        <v>1562.2936560000001</v>
      </c>
      <c r="K444" s="343">
        <v>2893.1364000000003</v>
      </c>
      <c r="L444" s="344">
        <v>1174.6541089005223</v>
      </c>
    </row>
    <row r="445" spans="2:12">
      <c r="B445" s="276">
        <v>463000</v>
      </c>
      <c r="C445" s="334">
        <v>1288.6216000000002</v>
      </c>
      <c r="D445" s="334">
        <v>1470.1176000000003</v>
      </c>
      <c r="E445" s="276">
        <v>2722.44</v>
      </c>
      <c r="F445" s="304">
        <v>1354.1552502617787</v>
      </c>
      <c r="H445" s="191"/>
      <c r="I445" s="343">
        <v>1372.3820040000003</v>
      </c>
      <c r="J445" s="343">
        <v>1565.6752440000002</v>
      </c>
      <c r="K445" s="343">
        <v>2899.3986</v>
      </c>
      <c r="L445" s="344">
        <v>1177.1966502617788</v>
      </c>
    </row>
    <row r="446" spans="2:12">
      <c r="B446" s="276">
        <v>464000</v>
      </c>
      <c r="C446" s="334">
        <v>1291.4048000000003</v>
      </c>
      <c r="D446" s="334">
        <v>1473.2928000000002</v>
      </c>
      <c r="E446" s="276">
        <v>2728.32</v>
      </c>
      <c r="F446" s="304">
        <v>1357.0799916230353</v>
      </c>
      <c r="H446" s="191"/>
      <c r="I446" s="343">
        <v>1375.3461120000002</v>
      </c>
      <c r="J446" s="343">
        <v>1569.0568320000002</v>
      </c>
      <c r="K446" s="343">
        <v>2905.6608000000001</v>
      </c>
      <c r="L446" s="344">
        <v>1179.7391916230354</v>
      </c>
    </row>
    <row r="447" spans="2:12">
      <c r="B447" s="276">
        <v>465000</v>
      </c>
      <c r="C447" s="334">
        <v>1294.1880000000003</v>
      </c>
      <c r="D447" s="334">
        <v>1476.4680000000001</v>
      </c>
      <c r="E447" s="276">
        <v>2734.2000000000003</v>
      </c>
      <c r="F447" s="304">
        <v>1360.0047329842919</v>
      </c>
      <c r="H447" s="191"/>
      <c r="I447" s="343">
        <v>1378.3102200000003</v>
      </c>
      <c r="J447" s="343">
        <v>1572.4384200000002</v>
      </c>
      <c r="K447" s="343">
        <v>2911.9230000000002</v>
      </c>
      <c r="L447" s="344">
        <v>1182.2817329842919</v>
      </c>
    </row>
    <row r="448" spans="2:12">
      <c r="B448" s="276">
        <v>466000</v>
      </c>
      <c r="C448" s="334">
        <v>1296.9712000000004</v>
      </c>
      <c r="D448" s="334">
        <v>1479.6432000000002</v>
      </c>
      <c r="E448" s="276">
        <v>2740.0800000000004</v>
      </c>
      <c r="F448" s="304">
        <v>1362.9294743455484</v>
      </c>
      <c r="H448" s="191"/>
      <c r="I448" s="343">
        <v>1381.2743280000004</v>
      </c>
      <c r="J448" s="343">
        <v>1575.8200080000001</v>
      </c>
      <c r="K448" s="343">
        <v>2918.1852000000003</v>
      </c>
      <c r="L448" s="344">
        <v>1184.8242743455485</v>
      </c>
    </row>
    <row r="449" spans="2:12">
      <c r="B449" s="276">
        <v>467000</v>
      </c>
      <c r="C449" s="334">
        <v>1299.7544000000005</v>
      </c>
      <c r="D449" s="334">
        <v>1482.8184000000001</v>
      </c>
      <c r="E449" s="276">
        <v>2745.9600000000005</v>
      </c>
      <c r="F449" s="304">
        <v>1365.854215706805</v>
      </c>
      <c r="H449" s="191"/>
      <c r="I449" s="343">
        <v>1384.2384360000005</v>
      </c>
      <c r="J449" s="343">
        <v>1579.2015960000001</v>
      </c>
      <c r="K449" s="343">
        <v>2924.4474000000005</v>
      </c>
      <c r="L449" s="344">
        <v>1187.366815706805</v>
      </c>
    </row>
    <row r="450" spans="2:12">
      <c r="B450" s="276">
        <v>468000</v>
      </c>
      <c r="C450" s="334">
        <v>1302.5376000000003</v>
      </c>
      <c r="D450" s="334">
        <v>1485.9936</v>
      </c>
      <c r="E450" s="276">
        <v>2751.84</v>
      </c>
      <c r="F450" s="304">
        <v>1368.7789570680616</v>
      </c>
      <c r="H450" s="191"/>
      <c r="I450" s="343">
        <v>1387.2025440000004</v>
      </c>
      <c r="J450" s="343">
        <v>1582.5831840000001</v>
      </c>
      <c r="K450" s="343">
        <v>2930.7096000000001</v>
      </c>
      <c r="L450" s="344">
        <v>1189.9093570680616</v>
      </c>
    </row>
    <row r="451" spans="2:12">
      <c r="B451" s="276">
        <v>469000</v>
      </c>
      <c r="C451" s="334">
        <v>1305.3208000000002</v>
      </c>
      <c r="D451" s="334">
        <v>1489.1688000000001</v>
      </c>
      <c r="E451" s="276">
        <v>2757.7200000000007</v>
      </c>
      <c r="F451" s="304">
        <v>1371.7036984293181</v>
      </c>
      <c r="H451" s="191"/>
      <c r="I451" s="343">
        <v>1390.1666520000001</v>
      </c>
      <c r="J451" s="343">
        <v>1585.9647720000003</v>
      </c>
      <c r="K451" s="343">
        <v>2936.9718000000007</v>
      </c>
      <c r="L451" s="344">
        <v>1192.4518984293181</v>
      </c>
    </row>
    <row r="452" spans="2:12">
      <c r="B452" s="276">
        <v>470000</v>
      </c>
      <c r="C452" s="334">
        <v>1308.1040000000003</v>
      </c>
      <c r="D452" s="334">
        <v>1492.3440000000003</v>
      </c>
      <c r="E452" s="276">
        <v>2763.6000000000004</v>
      </c>
      <c r="F452" s="304">
        <v>1374.6284397905747</v>
      </c>
      <c r="H452" s="191"/>
      <c r="I452" s="343">
        <v>1393.1307600000002</v>
      </c>
      <c r="J452" s="343">
        <v>1589.3463600000002</v>
      </c>
      <c r="K452" s="343">
        <v>2943.2340000000004</v>
      </c>
      <c r="L452" s="344">
        <v>1194.9944397905747</v>
      </c>
    </row>
    <row r="453" spans="2:12">
      <c r="B453" s="276">
        <v>471000</v>
      </c>
      <c r="C453" s="334">
        <v>1310.8872000000003</v>
      </c>
      <c r="D453" s="334">
        <v>1495.5192</v>
      </c>
      <c r="E453" s="276">
        <v>2769.48</v>
      </c>
      <c r="F453" s="304">
        <v>1377.5531811518313</v>
      </c>
      <c r="H453" s="191"/>
      <c r="I453" s="343">
        <v>1396.0948680000004</v>
      </c>
      <c r="J453" s="343">
        <v>1592.727948</v>
      </c>
      <c r="K453" s="343">
        <v>2949.4962</v>
      </c>
      <c r="L453" s="344">
        <v>1197.5369811518312</v>
      </c>
    </row>
    <row r="454" spans="2:12">
      <c r="B454" s="276">
        <v>472000</v>
      </c>
      <c r="C454" s="334">
        <v>1313.6704000000002</v>
      </c>
      <c r="D454" s="334">
        <v>1498.6944000000003</v>
      </c>
      <c r="E454" s="276">
        <v>2775.36</v>
      </c>
      <c r="F454" s="304">
        <v>1380.4779225130876</v>
      </c>
      <c r="H454" s="191"/>
      <c r="I454" s="343">
        <v>1399.0589760000003</v>
      </c>
      <c r="J454" s="343">
        <v>1596.1095360000004</v>
      </c>
      <c r="K454" s="343">
        <v>2955.7584000000002</v>
      </c>
      <c r="L454" s="344">
        <v>1200.0795225130876</v>
      </c>
    </row>
    <row r="455" spans="2:12">
      <c r="B455" s="276">
        <v>473000</v>
      </c>
      <c r="C455" s="334">
        <v>1316.4536000000001</v>
      </c>
      <c r="D455" s="334">
        <v>1501.8696</v>
      </c>
      <c r="E455" s="276">
        <v>2781.2400000000002</v>
      </c>
      <c r="F455" s="304">
        <v>1383.4026638743442</v>
      </c>
      <c r="H455" s="191"/>
      <c r="I455" s="343">
        <v>1402.0230840000002</v>
      </c>
      <c r="J455" s="343">
        <v>1599.4911239999999</v>
      </c>
      <c r="K455" s="343">
        <v>2962.0206000000003</v>
      </c>
      <c r="L455" s="344">
        <v>1202.6220638743441</v>
      </c>
    </row>
    <row r="456" spans="2:12">
      <c r="B456" s="276">
        <v>474000</v>
      </c>
      <c r="C456" s="334">
        <v>1319.2368000000001</v>
      </c>
      <c r="D456" s="334">
        <v>1505.0447999999999</v>
      </c>
      <c r="E456" s="276">
        <v>2787.1200000000003</v>
      </c>
      <c r="F456" s="304">
        <v>1386.3274052356007</v>
      </c>
      <c r="H456" s="191"/>
      <c r="I456" s="343">
        <v>1404.9871920000001</v>
      </c>
      <c r="J456" s="343">
        <v>1602.8727119999999</v>
      </c>
      <c r="K456" s="343">
        <v>2968.2828000000004</v>
      </c>
      <c r="L456" s="344">
        <v>1205.1646052356007</v>
      </c>
    </row>
    <row r="457" spans="2:12">
      <c r="B457" s="276">
        <v>475000</v>
      </c>
      <c r="C457" s="334">
        <v>1322.0200000000002</v>
      </c>
      <c r="D457" s="334">
        <v>1508.2200000000003</v>
      </c>
      <c r="E457" s="276">
        <v>2793</v>
      </c>
      <c r="F457" s="304">
        <v>1389.2521465968573</v>
      </c>
      <c r="H457" s="191"/>
      <c r="I457" s="343">
        <v>1407.9513000000002</v>
      </c>
      <c r="J457" s="343">
        <v>1606.2543000000003</v>
      </c>
      <c r="K457" s="343">
        <v>2974.5450000000001</v>
      </c>
      <c r="L457" s="344">
        <v>1207.7071465968572</v>
      </c>
    </row>
    <row r="458" spans="2:12">
      <c r="B458" s="276">
        <v>476000</v>
      </c>
      <c r="C458" s="334">
        <v>1324.8032000000003</v>
      </c>
      <c r="D458" s="334">
        <v>1511.3952000000002</v>
      </c>
      <c r="E458" s="276">
        <v>2798.8800000000006</v>
      </c>
      <c r="F458" s="304">
        <v>1392.1768879581139</v>
      </c>
      <c r="H458" s="191"/>
      <c r="I458" s="343">
        <v>1410.9154080000003</v>
      </c>
      <c r="J458" s="343">
        <v>1609.6358880000003</v>
      </c>
      <c r="K458" s="343">
        <v>2980.8072000000006</v>
      </c>
      <c r="L458" s="344">
        <v>1210.2496879581138</v>
      </c>
    </row>
    <row r="459" spans="2:12">
      <c r="B459" s="276">
        <v>477000</v>
      </c>
      <c r="C459" s="334">
        <v>1327.5864000000004</v>
      </c>
      <c r="D459" s="334">
        <v>1514.5703999999998</v>
      </c>
      <c r="E459" s="276">
        <v>2804.76</v>
      </c>
      <c r="F459" s="304">
        <v>1395.1016293193704</v>
      </c>
      <c r="H459" s="191"/>
      <c r="I459" s="343">
        <v>1413.8795160000004</v>
      </c>
      <c r="J459" s="343">
        <v>1613.0174759999998</v>
      </c>
      <c r="K459" s="343">
        <v>2987.0694000000003</v>
      </c>
      <c r="L459" s="344">
        <v>1212.7922293193703</v>
      </c>
    </row>
    <row r="460" spans="2:12">
      <c r="B460" s="276">
        <v>478000</v>
      </c>
      <c r="C460" s="334">
        <v>1330.3696000000002</v>
      </c>
      <c r="D460" s="334">
        <v>1517.7456000000002</v>
      </c>
      <c r="E460" s="276">
        <v>2810.64</v>
      </c>
      <c r="F460" s="304">
        <v>1398.026370680627</v>
      </c>
      <c r="H460" s="191"/>
      <c r="I460" s="343">
        <v>1416.8436240000003</v>
      </c>
      <c r="J460" s="343">
        <v>1616.3990640000002</v>
      </c>
      <c r="K460" s="343">
        <v>2993.3316</v>
      </c>
      <c r="L460" s="344">
        <v>1215.3347706806269</v>
      </c>
    </row>
    <row r="461" spans="2:12">
      <c r="B461" s="276">
        <v>479000</v>
      </c>
      <c r="C461" s="334">
        <v>1333.1528000000001</v>
      </c>
      <c r="D461" s="334">
        <v>1520.9208000000001</v>
      </c>
      <c r="E461" s="276">
        <v>2816.5200000000004</v>
      </c>
      <c r="F461" s="304">
        <v>1400.9511120418836</v>
      </c>
      <c r="H461" s="191"/>
      <c r="I461" s="343">
        <v>1419.807732</v>
      </c>
      <c r="J461" s="343">
        <v>1619.7806520000001</v>
      </c>
      <c r="K461" s="343">
        <v>2999.5938000000006</v>
      </c>
      <c r="L461" s="344">
        <v>1217.8773120418834</v>
      </c>
    </row>
    <row r="462" spans="2:12">
      <c r="B462" s="276">
        <v>480000</v>
      </c>
      <c r="C462" s="334">
        <v>1335.9360000000001</v>
      </c>
      <c r="D462" s="334">
        <v>1524.0960000000002</v>
      </c>
      <c r="E462" s="276">
        <v>2822.4</v>
      </c>
      <c r="F462" s="304">
        <v>1403.8758534031401</v>
      </c>
      <c r="H462" s="191"/>
      <c r="I462" s="343">
        <v>1422.7718400000001</v>
      </c>
      <c r="J462" s="343">
        <v>1623.1622400000003</v>
      </c>
      <c r="K462" s="343">
        <v>3005.8560000000002</v>
      </c>
      <c r="L462" s="344">
        <v>1220.41985340314</v>
      </c>
    </row>
    <row r="463" spans="2:12">
      <c r="B463" s="276">
        <v>481000</v>
      </c>
      <c r="C463" s="334">
        <v>1338.7192000000002</v>
      </c>
      <c r="D463" s="334">
        <v>1527.2712000000001</v>
      </c>
      <c r="E463" s="276">
        <v>2828.28</v>
      </c>
      <c r="F463" s="304">
        <v>1406.8005947643967</v>
      </c>
      <c r="H463" s="191"/>
      <c r="I463" s="343">
        <v>1425.7359480000002</v>
      </c>
      <c r="J463" s="343">
        <v>1626.5438280000001</v>
      </c>
      <c r="K463" s="343">
        <v>3012.1182000000003</v>
      </c>
      <c r="L463" s="344">
        <v>1222.9623947643965</v>
      </c>
    </row>
    <row r="464" spans="2:12">
      <c r="B464" s="276">
        <v>482000</v>
      </c>
      <c r="C464" s="334">
        <v>1341.5024000000003</v>
      </c>
      <c r="D464" s="334">
        <v>1530.4464</v>
      </c>
      <c r="E464" s="276">
        <v>2834.1600000000003</v>
      </c>
      <c r="F464" s="304">
        <v>1409.7253361256533</v>
      </c>
      <c r="H464" s="191"/>
      <c r="I464" s="343">
        <v>1428.7000560000004</v>
      </c>
      <c r="J464" s="343">
        <v>1629.925416</v>
      </c>
      <c r="K464" s="343">
        <v>3018.3804000000005</v>
      </c>
      <c r="L464" s="344">
        <v>1225.5049361256531</v>
      </c>
    </row>
    <row r="465" spans="2:12">
      <c r="B465" s="276">
        <v>483000</v>
      </c>
      <c r="C465" s="334">
        <v>1344.2856000000004</v>
      </c>
      <c r="D465" s="334">
        <v>1533.6216000000002</v>
      </c>
      <c r="E465" s="276">
        <v>2840.0400000000004</v>
      </c>
      <c r="F465" s="304">
        <v>1412.6500774869098</v>
      </c>
      <c r="H465" s="191"/>
      <c r="I465" s="343">
        <v>1431.6641640000005</v>
      </c>
      <c r="J465" s="343">
        <v>1633.3070040000002</v>
      </c>
      <c r="K465" s="343">
        <v>3024.6426000000006</v>
      </c>
      <c r="L465" s="344">
        <v>1228.0474774869097</v>
      </c>
    </row>
    <row r="466" spans="2:12">
      <c r="B466" s="276">
        <v>484000</v>
      </c>
      <c r="C466" s="334">
        <v>1347.0688000000002</v>
      </c>
      <c r="D466" s="334">
        <v>1536.7968000000001</v>
      </c>
      <c r="E466" s="276">
        <v>2845.92</v>
      </c>
      <c r="F466" s="304">
        <v>1415.5748188481664</v>
      </c>
      <c r="H466" s="191"/>
      <c r="I466" s="343">
        <v>1434.6282720000002</v>
      </c>
      <c r="J466" s="343">
        <v>1636.688592</v>
      </c>
      <c r="K466" s="343">
        <v>3030.9048000000003</v>
      </c>
      <c r="L466" s="344">
        <v>1230.5900188481662</v>
      </c>
    </row>
    <row r="467" spans="2:12">
      <c r="B467" s="276">
        <v>485000</v>
      </c>
      <c r="C467" s="334">
        <v>1349.8520000000001</v>
      </c>
      <c r="D467" s="334">
        <v>1539.9720000000004</v>
      </c>
      <c r="E467" s="276">
        <v>2851.8000000000006</v>
      </c>
      <c r="F467" s="304">
        <v>1418.499560209423</v>
      </c>
      <c r="H467" s="191"/>
      <c r="I467" s="343">
        <v>1437.59238</v>
      </c>
      <c r="J467" s="343">
        <v>1640.0701800000004</v>
      </c>
      <c r="K467" s="343">
        <v>3037.1670000000008</v>
      </c>
      <c r="L467" s="344">
        <v>1233.1325602094228</v>
      </c>
    </row>
    <row r="468" spans="2:12">
      <c r="B468" s="276">
        <v>486000</v>
      </c>
      <c r="C468" s="334">
        <v>1352.6352000000004</v>
      </c>
      <c r="D468" s="334">
        <v>1543.1472000000003</v>
      </c>
      <c r="E468" s="276">
        <v>2857.6800000000003</v>
      </c>
      <c r="F468" s="304">
        <v>1421.4243015706795</v>
      </c>
      <c r="H468" s="191"/>
      <c r="I468" s="343">
        <v>1440.5564880000004</v>
      </c>
      <c r="J468" s="343">
        <v>1643.4517680000004</v>
      </c>
      <c r="K468" s="343">
        <v>3043.4292000000005</v>
      </c>
      <c r="L468" s="344">
        <v>1235.6751015706793</v>
      </c>
    </row>
    <row r="469" spans="2:12">
      <c r="B469" s="276">
        <v>487000</v>
      </c>
      <c r="C469" s="334">
        <v>1355.4184000000002</v>
      </c>
      <c r="D469" s="334">
        <v>1546.3224000000002</v>
      </c>
      <c r="E469" s="276">
        <v>2863.56</v>
      </c>
      <c r="F469" s="304">
        <v>1424.3490429319361</v>
      </c>
      <c r="H469" s="191"/>
      <c r="I469" s="343">
        <v>1443.5205960000003</v>
      </c>
      <c r="J469" s="343">
        <v>1646.8333560000003</v>
      </c>
      <c r="K469" s="343">
        <v>3049.6914000000002</v>
      </c>
      <c r="L469" s="344">
        <v>1238.2176429319359</v>
      </c>
    </row>
    <row r="470" spans="2:12">
      <c r="B470" s="276">
        <v>488000</v>
      </c>
      <c r="C470" s="334">
        <v>1358.2016000000003</v>
      </c>
      <c r="D470" s="334">
        <v>1549.4975999999999</v>
      </c>
      <c r="E470" s="276">
        <v>2869.4400000000005</v>
      </c>
      <c r="F470" s="304">
        <v>1427.2737842931926</v>
      </c>
      <c r="H470" s="191"/>
      <c r="I470" s="343">
        <v>1446.4847040000004</v>
      </c>
      <c r="J470" s="343">
        <v>1650.2149439999998</v>
      </c>
      <c r="K470" s="343">
        <v>3055.9536000000007</v>
      </c>
      <c r="L470" s="344">
        <v>1240.7601842931924</v>
      </c>
    </row>
    <row r="471" spans="2:12">
      <c r="B471" s="276">
        <v>489000</v>
      </c>
      <c r="C471" s="334">
        <v>1360.9848000000004</v>
      </c>
      <c r="D471" s="334">
        <v>1552.6728000000001</v>
      </c>
      <c r="E471" s="276">
        <v>2875.32</v>
      </c>
      <c r="F471" s="304">
        <v>1430.1985256544488</v>
      </c>
      <c r="H471" s="191"/>
      <c r="I471" s="343">
        <v>1449.4488120000005</v>
      </c>
      <c r="J471" s="343">
        <v>1653.596532</v>
      </c>
      <c r="K471" s="343">
        <v>3062.2157999999999</v>
      </c>
      <c r="L471" s="344">
        <v>1243.302725654449</v>
      </c>
    </row>
    <row r="472" spans="2:12">
      <c r="B472" s="276">
        <v>490000</v>
      </c>
      <c r="C472" s="334">
        <v>1363.7680000000003</v>
      </c>
      <c r="D472" s="334">
        <v>1555.848</v>
      </c>
      <c r="E472" s="276">
        <v>2881.2000000000003</v>
      </c>
      <c r="F472" s="304">
        <v>1433.1232670157053</v>
      </c>
      <c r="H472" s="191"/>
      <c r="I472" s="343">
        <v>1452.4129200000002</v>
      </c>
      <c r="J472" s="343">
        <v>1656.97812</v>
      </c>
      <c r="K472" s="343">
        <v>3068.4780000000001</v>
      </c>
      <c r="L472" s="344">
        <v>1245.8452670157055</v>
      </c>
    </row>
    <row r="473" spans="2:12">
      <c r="B473" s="276">
        <v>491000</v>
      </c>
      <c r="C473" s="334">
        <v>1366.5512000000006</v>
      </c>
      <c r="D473" s="334">
        <v>1559.0232000000003</v>
      </c>
      <c r="E473" s="276">
        <v>2887.0800000000004</v>
      </c>
      <c r="F473" s="304">
        <v>1436.0480083769619</v>
      </c>
      <c r="H473" s="191"/>
      <c r="I473" s="343">
        <v>1455.3770280000006</v>
      </c>
      <c r="J473" s="343">
        <v>1660.3597080000004</v>
      </c>
      <c r="K473" s="343">
        <v>3074.7402000000002</v>
      </c>
      <c r="L473" s="344">
        <v>1248.3878083769621</v>
      </c>
    </row>
    <row r="474" spans="2:12">
      <c r="B474" s="276">
        <v>492000</v>
      </c>
      <c r="C474" s="334">
        <v>1369.3344000000004</v>
      </c>
      <c r="D474" s="334">
        <v>1562.1984000000002</v>
      </c>
      <c r="E474" s="276">
        <v>2892.9600000000005</v>
      </c>
      <c r="F474" s="304">
        <v>1438.9727497382185</v>
      </c>
      <c r="H474" s="191"/>
      <c r="I474" s="343">
        <v>1458.3411360000005</v>
      </c>
      <c r="J474" s="343">
        <v>1663.7412960000001</v>
      </c>
      <c r="K474" s="343">
        <v>3081.0024000000003</v>
      </c>
      <c r="L474" s="344">
        <v>1250.9303497382186</v>
      </c>
    </row>
    <row r="475" spans="2:12">
      <c r="B475" s="276">
        <v>493000</v>
      </c>
      <c r="C475" s="334">
        <v>1372.1176000000003</v>
      </c>
      <c r="D475" s="334">
        <v>1565.3736000000001</v>
      </c>
      <c r="E475" s="276">
        <v>2898.84</v>
      </c>
      <c r="F475" s="304">
        <v>1441.897491099475</v>
      </c>
      <c r="H475" s="191"/>
      <c r="I475" s="343">
        <v>1461.3052440000004</v>
      </c>
      <c r="J475" s="343">
        <v>1667.1228840000001</v>
      </c>
      <c r="K475" s="343">
        <v>3087.2646</v>
      </c>
      <c r="L475" s="344">
        <v>1253.4728910994752</v>
      </c>
    </row>
    <row r="476" spans="2:12">
      <c r="B476" s="276">
        <v>494000</v>
      </c>
      <c r="C476" s="334">
        <v>1374.9008000000003</v>
      </c>
      <c r="D476" s="334">
        <v>1568.5487999999998</v>
      </c>
      <c r="E476" s="276">
        <v>2904.7200000000007</v>
      </c>
      <c r="F476" s="304">
        <v>1444.8222324607316</v>
      </c>
      <c r="H476" s="191"/>
      <c r="I476" s="343">
        <v>1464.2693520000003</v>
      </c>
      <c r="J476" s="343">
        <v>1670.5044719999999</v>
      </c>
      <c r="K476" s="343">
        <v>3093.5268000000005</v>
      </c>
      <c r="L476" s="344">
        <v>1256.0154324607317</v>
      </c>
    </row>
    <row r="477" spans="2:12">
      <c r="B477" s="276">
        <v>495000</v>
      </c>
      <c r="C477" s="334">
        <v>1377.6840000000002</v>
      </c>
      <c r="D477" s="334">
        <v>1571.7240000000002</v>
      </c>
      <c r="E477" s="276">
        <v>2910.6000000000004</v>
      </c>
      <c r="F477" s="304">
        <v>1447.7469738219881</v>
      </c>
      <c r="H477" s="191"/>
      <c r="I477" s="343">
        <v>1467.2334600000002</v>
      </c>
      <c r="J477" s="343">
        <v>1673.8860600000003</v>
      </c>
      <c r="K477" s="343">
        <v>3099.7890000000002</v>
      </c>
      <c r="L477" s="344">
        <v>1258.5579738219883</v>
      </c>
    </row>
    <row r="478" spans="2:12">
      <c r="B478" s="276">
        <v>496000</v>
      </c>
      <c r="C478" s="334">
        <v>1380.4672000000003</v>
      </c>
      <c r="D478" s="334">
        <v>1574.8992000000005</v>
      </c>
      <c r="E478" s="276">
        <v>2916.48</v>
      </c>
      <c r="F478" s="304">
        <v>1450.6717151832447</v>
      </c>
      <c r="H478" s="191"/>
      <c r="I478" s="343">
        <v>1470.1975680000003</v>
      </c>
      <c r="J478" s="343">
        <v>1677.2676480000005</v>
      </c>
      <c r="K478" s="343">
        <v>3106.0511999999999</v>
      </c>
      <c r="L478" s="344">
        <v>1261.1005151832449</v>
      </c>
    </row>
    <row r="479" spans="2:12">
      <c r="B479" s="276">
        <v>497000</v>
      </c>
      <c r="C479" s="334">
        <v>1383.2504000000001</v>
      </c>
      <c r="D479" s="334">
        <v>1578.0744000000002</v>
      </c>
      <c r="E479" s="276">
        <v>2922.36</v>
      </c>
      <c r="F479" s="304">
        <v>1453.5964565445013</v>
      </c>
      <c r="H479" s="191"/>
      <c r="I479" s="343">
        <v>1473.1616760000002</v>
      </c>
      <c r="J479" s="343">
        <v>1680.6492360000002</v>
      </c>
      <c r="K479" s="343">
        <v>3112.3134</v>
      </c>
      <c r="L479" s="344">
        <v>1263.6430565445014</v>
      </c>
    </row>
    <row r="480" spans="2:12">
      <c r="B480" s="276">
        <v>498000</v>
      </c>
      <c r="C480" s="334">
        <v>1386.0336</v>
      </c>
      <c r="D480" s="334">
        <v>1581.2496000000001</v>
      </c>
      <c r="E480" s="276">
        <v>2928.2400000000002</v>
      </c>
      <c r="F480" s="304">
        <v>1456.5211979057576</v>
      </c>
      <c r="H480" s="191"/>
      <c r="I480" s="343">
        <v>1476.1257840000001</v>
      </c>
      <c r="J480" s="343">
        <v>1684.0308240000002</v>
      </c>
      <c r="K480" s="343">
        <v>3118.5756000000001</v>
      </c>
      <c r="L480" s="344">
        <v>1266.1855979057577</v>
      </c>
    </row>
    <row r="481" spans="2:12">
      <c r="B481" s="276">
        <v>499000</v>
      </c>
      <c r="C481" s="334">
        <v>1388.8168000000003</v>
      </c>
      <c r="D481" s="334">
        <v>1584.4248</v>
      </c>
      <c r="E481" s="276">
        <v>2934.1200000000003</v>
      </c>
      <c r="F481" s="304">
        <v>1459.4459392670142</v>
      </c>
      <c r="H481" s="191"/>
      <c r="I481" s="343">
        <v>1479.0898920000004</v>
      </c>
      <c r="J481" s="343">
        <v>1687.4124119999999</v>
      </c>
      <c r="K481" s="343">
        <v>3124.8378000000002</v>
      </c>
      <c r="L481" s="344">
        <v>1268.7281392670143</v>
      </c>
    </row>
    <row r="482" spans="2:12">
      <c r="B482" s="276">
        <v>500000</v>
      </c>
      <c r="C482" s="334">
        <v>1391.6000000000001</v>
      </c>
      <c r="D482" s="334">
        <v>1587.6000000000001</v>
      </c>
      <c r="E482" s="276">
        <v>2940</v>
      </c>
      <c r="F482" s="304">
        <v>1462.3706806282707</v>
      </c>
      <c r="H482" s="191"/>
      <c r="I482" s="343">
        <v>1482.0540000000001</v>
      </c>
      <c r="J482" s="343">
        <v>1690.7940000000001</v>
      </c>
      <c r="K482" s="343">
        <v>3131.1</v>
      </c>
      <c r="L482" s="344">
        <v>1271.2706806282708</v>
      </c>
    </row>
    <row r="483" spans="2:12">
      <c r="B483" s="276">
        <v>501000</v>
      </c>
      <c r="C483" s="334">
        <v>1350.1950000000002</v>
      </c>
      <c r="D483" s="334">
        <v>1502.3987999999999</v>
      </c>
      <c r="E483" s="276">
        <v>2945.8800000000006</v>
      </c>
      <c r="F483" s="304">
        <v>1465.2954219895273</v>
      </c>
      <c r="H483" s="191"/>
      <c r="I483" s="343">
        <v>1437.9576750000001</v>
      </c>
      <c r="J483" s="343">
        <v>1600.0547219999999</v>
      </c>
      <c r="K483" s="343">
        <v>3137.3622000000005</v>
      </c>
      <c r="L483" s="344">
        <v>1273.8132219895274</v>
      </c>
    </row>
    <row r="484" spans="2:12">
      <c r="B484" s="276">
        <v>502000</v>
      </c>
      <c r="C484" s="334">
        <v>1352.89</v>
      </c>
      <c r="D484" s="334">
        <v>1505.3976000000002</v>
      </c>
      <c r="E484" s="276">
        <v>2951.76</v>
      </c>
      <c r="F484" s="304">
        <v>1468.2201633507839</v>
      </c>
      <c r="H484" s="191"/>
      <c r="I484" s="343">
        <v>1440.8278500000001</v>
      </c>
      <c r="J484" s="343">
        <v>1603.2484440000003</v>
      </c>
      <c r="K484" s="343">
        <v>3143.6244000000002</v>
      </c>
      <c r="L484" s="344">
        <v>1276.3557633507839</v>
      </c>
    </row>
    <row r="485" spans="2:12">
      <c r="B485" s="276">
        <v>503000</v>
      </c>
      <c r="C485" s="334">
        <v>1355.5850000000003</v>
      </c>
      <c r="D485" s="334">
        <v>1508.3964000000003</v>
      </c>
      <c r="E485" s="276">
        <v>2957.64</v>
      </c>
      <c r="F485" s="304">
        <v>1471.1449047120404</v>
      </c>
      <c r="H485" s="191"/>
      <c r="I485" s="343">
        <v>1443.6980250000004</v>
      </c>
      <c r="J485" s="343">
        <v>1606.4421660000003</v>
      </c>
      <c r="K485" s="343">
        <v>3149.8865999999998</v>
      </c>
      <c r="L485" s="344">
        <v>1278.8983047120405</v>
      </c>
    </row>
    <row r="486" spans="2:12">
      <c r="B486" s="276">
        <v>504000</v>
      </c>
      <c r="C486" s="334">
        <v>1358.2800000000002</v>
      </c>
      <c r="D486" s="334">
        <v>1511.3952000000002</v>
      </c>
      <c r="E486" s="276">
        <v>2963.5200000000004</v>
      </c>
      <c r="F486" s="304">
        <v>1474.069646073297</v>
      </c>
      <c r="H486" s="191"/>
      <c r="I486" s="343">
        <v>1446.5682000000002</v>
      </c>
      <c r="J486" s="343">
        <v>1609.6358880000003</v>
      </c>
      <c r="K486" s="343">
        <v>3156.1488000000004</v>
      </c>
      <c r="L486" s="344">
        <v>1281.4408460732971</v>
      </c>
    </row>
    <row r="487" spans="2:12">
      <c r="B487" s="276">
        <v>505000</v>
      </c>
      <c r="C487" s="334">
        <v>1360.9750000000001</v>
      </c>
      <c r="D487" s="334">
        <v>1514.3940000000002</v>
      </c>
      <c r="E487" s="276">
        <v>2969.4</v>
      </c>
      <c r="F487" s="304">
        <v>1476.9943874345536</v>
      </c>
      <c r="H487" s="191"/>
      <c r="I487" s="343">
        <v>1449.4383750000002</v>
      </c>
      <c r="J487" s="343">
        <v>1612.8296100000002</v>
      </c>
      <c r="K487" s="343">
        <v>3162.4110000000001</v>
      </c>
      <c r="L487" s="344">
        <v>1283.9833874345536</v>
      </c>
    </row>
    <row r="488" spans="2:12">
      <c r="B488" s="276">
        <v>506000</v>
      </c>
      <c r="C488" s="334">
        <v>1363.67</v>
      </c>
      <c r="D488" s="334">
        <v>1517.3927999999999</v>
      </c>
      <c r="E488" s="276">
        <v>2975.28</v>
      </c>
      <c r="F488" s="304">
        <v>1479.9191287958101</v>
      </c>
      <c r="H488" s="191"/>
      <c r="I488" s="343">
        <v>1452.3085500000002</v>
      </c>
      <c r="J488" s="343">
        <v>1616.0233319999998</v>
      </c>
      <c r="K488" s="343">
        <v>3168.6732000000002</v>
      </c>
      <c r="L488" s="344">
        <v>1286.5259287958102</v>
      </c>
    </row>
    <row r="489" spans="2:12">
      <c r="B489" s="276">
        <v>507000</v>
      </c>
      <c r="C489" s="334">
        <v>1366.365</v>
      </c>
      <c r="D489" s="334">
        <v>1520.3916000000002</v>
      </c>
      <c r="E489" s="276">
        <v>2981.1600000000003</v>
      </c>
      <c r="F489" s="304">
        <v>1482.8438701570667</v>
      </c>
      <c r="H489" s="191"/>
      <c r="I489" s="343">
        <v>1455.178725</v>
      </c>
      <c r="J489" s="343">
        <v>1619.2170540000002</v>
      </c>
      <c r="K489" s="343">
        <v>3174.9354000000003</v>
      </c>
      <c r="L489" s="344">
        <v>1289.0684701570667</v>
      </c>
    </row>
    <row r="490" spans="2:12">
      <c r="B490" s="276">
        <v>508000</v>
      </c>
      <c r="C490" s="334">
        <v>1369.0600000000002</v>
      </c>
      <c r="D490" s="334">
        <v>1523.3904</v>
      </c>
      <c r="E490" s="276">
        <v>2987.0400000000004</v>
      </c>
      <c r="F490" s="304">
        <v>1485.7686115183233</v>
      </c>
      <c r="H490" s="191"/>
      <c r="I490" s="343">
        <v>1458.0489000000002</v>
      </c>
      <c r="J490" s="343">
        <v>1622.4107759999999</v>
      </c>
      <c r="K490" s="343">
        <v>3181.1976000000004</v>
      </c>
      <c r="L490" s="344">
        <v>1291.6110115183233</v>
      </c>
    </row>
    <row r="491" spans="2:12">
      <c r="B491" s="276">
        <v>509000</v>
      </c>
      <c r="C491" s="334">
        <v>1371.7550000000001</v>
      </c>
      <c r="D491" s="334">
        <v>1526.3892000000003</v>
      </c>
      <c r="E491" s="276">
        <v>2992.92</v>
      </c>
      <c r="F491" s="304">
        <v>1488.6933528795798</v>
      </c>
      <c r="H491" s="191"/>
      <c r="I491" s="343">
        <v>1460.919075</v>
      </c>
      <c r="J491" s="343">
        <v>1625.6044980000004</v>
      </c>
      <c r="K491" s="343">
        <v>3187.4598000000001</v>
      </c>
      <c r="L491" s="344">
        <v>1294.1535528795798</v>
      </c>
    </row>
    <row r="492" spans="2:12">
      <c r="B492" s="276">
        <v>510000</v>
      </c>
      <c r="C492" s="334">
        <v>1374.45</v>
      </c>
      <c r="D492" s="334">
        <v>1529.3880000000001</v>
      </c>
      <c r="E492" s="276">
        <v>2998.8000000000006</v>
      </c>
      <c r="F492" s="304">
        <v>1491.6180942408364</v>
      </c>
      <c r="H492" s="191"/>
      <c r="I492" s="343">
        <v>1463.78925</v>
      </c>
      <c r="J492" s="343">
        <v>1628.7982200000001</v>
      </c>
      <c r="K492" s="343">
        <v>3193.7220000000007</v>
      </c>
      <c r="L492" s="344">
        <v>1296.6960942408364</v>
      </c>
    </row>
    <row r="493" spans="2:12">
      <c r="B493" s="276">
        <v>511000</v>
      </c>
      <c r="C493" s="334">
        <v>1377.1450000000002</v>
      </c>
      <c r="D493" s="334">
        <v>1532.3868000000002</v>
      </c>
      <c r="E493" s="276">
        <v>3004.6800000000003</v>
      </c>
      <c r="F493" s="304">
        <v>1494.5428356020927</v>
      </c>
      <c r="H493" s="191"/>
      <c r="I493" s="343">
        <v>1466.6594250000003</v>
      </c>
      <c r="J493" s="343">
        <v>1631.9919420000003</v>
      </c>
      <c r="K493" s="343">
        <v>3199.9842000000003</v>
      </c>
      <c r="L493" s="344">
        <v>1299.2386356020927</v>
      </c>
    </row>
    <row r="494" spans="2:12">
      <c r="B494" s="276">
        <v>512000</v>
      </c>
      <c r="C494" s="334">
        <v>1379.8400000000001</v>
      </c>
      <c r="D494" s="334">
        <v>1535.3856000000003</v>
      </c>
      <c r="E494" s="276">
        <v>3010.56</v>
      </c>
      <c r="F494" s="304">
        <v>1497.4675769633493</v>
      </c>
      <c r="H494" s="191"/>
      <c r="I494" s="343">
        <v>1469.5296000000001</v>
      </c>
      <c r="J494" s="343">
        <v>1635.1856640000003</v>
      </c>
      <c r="K494" s="343">
        <v>3206.2464</v>
      </c>
      <c r="L494" s="344">
        <v>1301.7811769633493</v>
      </c>
    </row>
    <row r="495" spans="2:12">
      <c r="B495" s="276">
        <v>513000</v>
      </c>
      <c r="C495" s="334">
        <v>1382.5350000000001</v>
      </c>
      <c r="D495" s="334">
        <v>1538.3843999999999</v>
      </c>
      <c r="E495" s="276">
        <v>3016.4400000000005</v>
      </c>
      <c r="F495" s="304">
        <v>1500.3923183246059</v>
      </c>
      <c r="H495" s="191"/>
      <c r="I495" s="343">
        <v>1472.3997750000001</v>
      </c>
      <c r="J495" s="343">
        <v>1638.3793859999998</v>
      </c>
      <c r="K495" s="343">
        <v>3212.5086000000006</v>
      </c>
      <c r="L495" s="344">
        <v>1304.3237183246058</v>
      </c>
    </row>
    <row r="496" spans="2:12">
      <c r="B496" s="276">
        <v>514000</v>
      </c>
      <c r="C496" s="334">
        <v>1385.2300000000002</v>
      </c>
      <c r="D496" s="334">
        <v>1541.3832000000002</v>
      </c>
      <c r="E496" s="276">
        <v>3022.32</v>
      </c>
      <c r="F496" s="304">
        <v>1503.3170596858624</v>
      </c>
      <c r="H496" s="191"/>
      <c r="I496" s="343">
        <v>1475.2699500000003</v>
      </c>
      <c r="J496" s="343">
        <v>1641.5731080000003</v>
      </c>
      <c r="K496" s="343">
        <v>3218.7708000000002</v>
      </c>
      <c r="L496" s="344">
        <v>1306.8662596858624</v>
      </c>
    </row>
    <row r="497" spans="2:12">
      <c r="B497" s="276">
        <v>515000</v>
      </c>
      <c r="C497" s="334">
        <v>1387.9250000000002</v>
      </c>
      <c r="D497" s="334">
        <v>1544.3820000000003</v>
      </c>
      <c r="E497" s="276">
        <v>3028.2000000000003</v>
      </c>
      <c r="F497" s="304">
        <v>1506.241801047119</v>
      </c>
      <c r="H497" s="191"/>
      <c r="I497" s="343">
        <v>1478.1401250000001</v>
      </c>
      <c r="J497" s="343">
        <v>1644.7668300000003</v>
      </c>
      <c r="K497" s="343">
        <v>3225.0330000000004</v>
      </c>
      <c r="L497" s="344">
        <v>1309.4088010471189</v>
      </c>
    </row>
    <row r="498" spans="2:12">
      <c r="B498" s="276">
        <v>516000</v>
      </c>
      <c r="C498" s="334">
        <v>1390.6200000000001</v>
      </c>
      <c r="D498" s="334">
        <v>1547.3807999999999</v>
      </c>
      <c r="E498" s="276">
        <v>3034.0800000000004</v>
      </c>
      <c r="F498" s="304">
        <v>1509.1665424083756</v>
      </c>
      <c r="H498" s="191"/>
      <c r="I498" s="343">
        <v>1481.0103000000001</v>
      </c>
      <c r="J498" s="343">
        <v>1647.960552</v>
      </c>
      <c r="K498" s="343">
        <v>3231.2952000000005</v>
      </c>
      <c r="L498" s="344">
        <v>1311.9513424083755</v>
      </c>
    </row>
    <row r="499" spans="2:12">
      <c r="B499" s="276">
        <v>517000</v>
      </c>
      <c r="C499" s="334">
        <v>1393.3150000000003</v>
      </c>
      <c r="D499" s="334">
        <v>1550.3796000000002</v>
      </c>
      <c r="E499" s="276">
        <v>3039.9600000000005</v>
      </c>
      <c r="F499" s="304">
        <v>1512.0912837696321</v>
      </c>
      <c r="H499" s="191"/>
      <c r="I499" s="343">
        <v>1483.8804750000004</v>
      </c>
      <c r="J499" s="343">
        <v>1651.1542740000002</v>
      </c>
      <c r="K499" s="343">
        <v>3237.5574000000006</v>
      </c>
      <c r="L499" s="344">
        <v>1314.493883769632</v>
      </c>
    </row>
    <row r="500" spans="2:12">
      <c r="B500" s="276">
        <v>518000</v>
      </c>
      <c r="C500" s="334">
        <v>1396.0100000000002</v>
      </c>
      <c r="D500" s="334">
        <v>1553.3784000000003</v>
      </c>
      <c r="E500" s="276">
        <v>3045.84</v>
      </c>
      <c r="F500" s="304">
        <v>1515.0160251308887</v>
      </c>
      <c r="H500" s="191"/>
      <c r="I500" s="343">
        <v>1486.7506500000002</v>
      </c>
      <c r="J500" s="343">
        <v>1654.3479960000004</v>
      </c>
      <c r="K500" s="343">
        <v>3243.8196000000003</v>
      </c>
      <c r="L500" s="344">
        <v>1317.0364251308886</v>
      </c>
    </row>
    <row r="501" spans="2:12">
      <c r="B501" s="276">
        <v>519000</v>
      </c>
      <c r="C501" s="334">
        <v>1398.7050000000002</v>
      </c>
      <c r="D501" s="334">
        <v>1556.3772000000001</v>
      </c>
      <c r="E501" s="276">
        <v>3051.7200000000007</v>
      </c>
      <c r="F501" s="304">
        <v>1517.9407664921453</v>
      </c>
      <c r="H501" s="191"/>
      <c r="I501" s="343">
        <v>1489.6208250000002</v>
      </c>
      <c r="J501" s="343">
        <v>1657.5417180000002</v>
      </c>
      <c r="K501" s="343">
        <v>3250.0818000000008</v>
      </c>
      <c r="L501" s="344">
        <v>1319.5789664921451</v>
      </c>
    </row>
    <row r="502" spans="2:12">
      <c r="B502" s="276">
        <v>520000</v>
      </c>
      <c r="C502" s="334">
        <v>1401.4000000000003</v>
      </c>
      <c r="D502" s="334">
        <v>1559.3760000000002</v>
      </c>
      <c r="E502" s="276">
        <v>3057.6000000000004</v>
      </c>
      <c r="F502" s="304">
        <v>1520.8655078534018</v>
      </c>
      <c r="H502" s="191"/>
      <c r="I502" s="343">
        <v>1492.4910000000004</v>
      </c>
      <c r="J502" s="343">
        <v>1660.7354400000002</v>
      </c>
      <c r="K502" s="343">
        <v>3256.3440000000005</v>
      </c>
      <c r="L502" s="344">
        <v>1322.1215078534017</v>
      </c>
    </row>
    <row r="503" spans="2:12">
      <c r="B503" s="276">
        <v>521000</v>
      </c>
      <c r="C503" s="334">
        <v>1404.0950000000003</v>
      </c>
      <c r="D503" s="334">
        <v>1562.3748000000003</v>
      </c>
      <c r="E503" s="276">
        <v>3063.48</v>
      </c>
      <c r="F503" s="304">
        <v>1523.7902492146584</v>
      </c>
      <c r="H503" s="191"/>
      <c r="I503" s="343">
        <v>1495.3611750000002</v>
      </c>
      <c r="J503" s="343">
        <v>1663.9291620000004</v>
      </c>
      <c r="K503" s="343">
        <v>3262.6062000000002</v>
      </c>
      <c r="L503" s="344">
        <v>1324.6640492146582</v>
      </c>
    </row>
    <row r="504" spans="2:12">
      <c r="B504" s="276">
        <v>522000</v>
      </c>
      <c r="C504" s="334">
        <v>1406.7900000000002</v>
      </c>
      <c r="D504" s="334">
        <v>1565.3736000000001</v>
      </c>
      <c r="E504" s="276">
        <v>3069.3600000000006</v>
      </c>
      <c r="F504" s="304">
        <v>1526.714990575915</v>
      </c>
      <c r="H504" s="191"/>
      <c r="I504" s="343">
        <v>1498.2313500000002</v>
      </c>
      <c r="J504" s="343">
        <v>1667.1228840000001</v>
      </c>
      <c r="K504" s="343">
        <v>3268.8684000000007</v>
      </c>
      <c r="L504" s="344">
        <v>1327.2065905759148</v>
      </c>
    </row>
    <row r="505" spans="2:12">
      <c r="B505" s="276">
        <v>523000</v>
      </c>
      <c r="C505" s="334">
        <v>1409.4850000000004</v>
      </c>
      <c r="D505" s="334">
        <v>1568.3724000000002</v>
      </c>
      <c r="E505" s="276">
        <v>3075.2400000000002</v>
      </c>
      <c r="F505" s="304">
        <v>1529.6397319371715</v>
      </c>
      <c r="H505" s="191"/>
      <c r="I505" s="343">
        <v>1501.1015250000005</v>
      </c>
      <c r="J505" s="343">
        <v>1670.3166060000003</v>
      </c>
      <c r="K505" s="343">
        <v>3275.1306000000004</v>
      </c>
      <c r="L505" s="344">
        <v>1329.7491319371713</v>
      </c>
    </row>
    <row r="506" spans="2:12">
      <c r="B506" s="276">
        <v>524000</v>
      </c>
      <c r="C506" s="334">
        <v>1412.18</v>
      </c>
      <c r="D506" s="334">
        <v>1571.3712000000003</v>
      </c>
      <c r="E506" s="276">
        <v>3081.1200000000003</v>
      </c>
      <c r="F506" s="304">
        <v>1532.5644732984281</v>
      </c>
      <c r="H506" s="191"/>
      <c r="I506" s="343">
        <v>1503.9717000000001</v>
      </c>
      <c r="J506" s="343">
        <v>1673.5103280000003</v>
      </c>
      <c r="K506" s="343">
        <v>3281.3928000000005</v>
      </c>
      <c r="L506" s="344">
        <v>1332.2916732984279</v>
      </c>
    </row>
    <row r="507" spans="2:12">
      <c r="B507" s="276">
        <v>525000</v>
      </c>
      <c r="C507" s="334">
        <v>1414.875</v>
      </c>
      <c r="D507" s="334">
        <v>1574.3700000000001</v>
      </c>
      <c r="E507" s="276">
        <v>3087</v>
      </c>
      <c r="F507" s="304">
        <v>1535.4892146596846</v>
      </c>
      <c r="H507" s="191"/>
      <c r="I507" s="343">
        <v>1506.8418750000001</v>
      </c>
      <c r="J507" s="343">
        <v>1676.7040500000001</v>
      </c>
      <c r="K507" s="343">
        <v>3287.6550000000002</v>
      </c>
      <c r="L507" s="344">
        <v>1334.8342146596844</v>
      </c>
    </row>
    <row r="508" spans="2:12">
      <c r="B508" s="276">
        <v>526000</v>
      </c>
      <c r="C508" s="334">
        <v>1417.57</v>
      </c>
      <c r="D508" s="334">
        <v>1577.3688</v>
      </c>
      <c r="E508" s="276">
        <v>3092.8800000000006</v>
      </c>
      <c r="F508" s="304">
        <v>1538.4139560209412</v>
      </c>
      <c r="H508" s="191"/>
      <c r="I508" s="343">
        <v>1509.7120499999999</v>
      </c>
      <c r="J508" s="343">
        <v>1679.897772</v>
      </c>
      <c r="K508" s="343">
        <v>3293.9172000000008</v>
      </c>
      <c r="L508" s="344">
        <v>1337.376756020941</v>
      </c>
    </row>
    <row r="509" spans="2:12">
      <c r="B509" s="276">
        <v>527000</v>
      </c>
      <c r="C509" s="334">
        <v>1420.2650000000001</v>
      </c>
      <c r="D509" s="334">
        <v>1580.3675999999998</v>
      </c>
      <c r="E509" s="276">
        <v>3098.76</v>
      </c>
      <c r="F509" s="304">
        <v>1541.3386973821978</v>
      </c>
      <c r="H509" s="191"/>
      <c r="I509" s="343">
        <v>1512.5822250000001</v>
      </c>
      <c r="J509" s="343">
        <v>1683.0914939999998</v>
      </c>
      <c r="K509" s="343">
        <v>3300.1794000000004</v>
      </c>
      <c r="L509" s="344">
        <v>1339.9192973821976</v>
      </c>
    </row>
    <row r="510" spans="2:12">
      <c r="B510" s="276">
        <v>528000</v>
      </c>
      <c r="C510" s="334">
        <v>1422.96</v>
      </c>
      <c r="D510" s="334">
        <v>1583.3664000000001</v>
      </c>
      <c r="E510" s="276">
        <v>3104.64</v>
      </c>
      <c r="F510" s="304">
        <v>1544.2634387434543</v>
      </c>
      <c r="H510" s="191"/>
      <c r="I510" s="343">
        <v>1515.4524000000001</v>
      </c>
      <c r="J510" s="343">
        <v>1686.2852160000002</v>
      </c>
      <c r="K510" s="343">
        <v>3306.4416000000001</v>
      </c>
      <c r="L510" s="344">
        <v>1342.4618387434541</v>
      </c>
    </row>
    <row r="511" spans="2:12">
      <c r="B511" s="276">
        <v>529000</v>
      </c>
      <c r="C511" s="334">
        <v>1425.655</v>
      </c>
      <c r="D511" s="334">
        <v>1586.3652000000002</v>
      </c>
      <c r="E511" s="276">
        <v>3110.5200000000004</v>
      </c>
      <c r="F511" s="304">
        <v>1547.1881801047109</v>
      </c>
      <c r="H511" s="191"/>
      <c r="I511" s="343">
        <v>1518.3225749999999</v>
      </c>
      <c r="J511" s="343">
        <v>1689.4789380000002</v>
      </c>
      <c r="K511" s="343">
        <v>3312.7038000000007</v>
      </c>
      <c r="L511" s="344">
        <v>1345.0043801047107</v>
      </c>
    </row>
    <row r="512" spans="2:12">
      <c r="B512" s="276">
        <v>530000</v>
      </c>
      <c r="C512" s="334">
        <v>1428.3500000000001</v>
      </c>
      <c r="D512" s="334">
        <v>1589.3640000000003</v>
      </c>
      <c r="E512" s="276">
        <v>3116.4</v>
      </c>
      <c r="F512" s="304">
        <v>1550.112921465967</v>
      </c>
      <c r="H512" s="191"/>
      <c r="I512" s="343">
        <v>1521.1927500000002</v>
      </c>
      <c r="J512" s="343">
        <v>1692.6726600000002</v>
      </c>
      <c r="K512" s="343">
        <v>3318.9659999999999</v>
      </c>
      <c r="L512" s="344">
        <v>1347.5469214659672</v>
      </c>
    </row>
    <row r="513" spans="2:12">
      <c r="B513" s="276">
        <v>531000</v>
      </c>
      <c r="C513" s="334">
        <v>1431.0450000000001</v>
      </c>
      <c r="D513" s="334">
        <v>1592.3628000000001</v>
      </c>
      <c r="E513" s="276">
        <v>3122.28</v>
      </c>
      <c r="F513" s="304">
        <v>1553.0376628272236</v>
      </c>
      <c r="H513" s="191"/>
      <c r="I513" s="343">
        <v>1524.0629250000002</v>
      </c>
      <c r="J513" s="343">
        <v>1695.8663820000002</v>
      </c>
      <c r="K513" s="343">
        <v>3325.2282</v>
      </c>
      <c r="L513" s="344">
        <v>1350.0894628272238</v>
      </c>
    </row>
    <row r="514" spans="2:12">
      <c r="B514" s="276">
        <v>532000</v>
      </c>
      <c r="C514" s="334">
        <v>1433.74</v>
      </c>
      <c r="D514" s="334">
        <v>1595.3616000000002</v>
      </c>
      <c r="E514" s="276">
        <v>3128.1600000000003</v>
      </c>
      <c r="F514" s="304">
        <v>1555.9624041884801</v>
      </c>
      <c r="H514" s="191"/>
      <c r="I514" s="343">
        <v>1526.9331</v>
      </c>
      <c r="J514" s="343">
        <v>1699.0601040000001</v>
      </c>
      <c r="K514" s="343">
        <v>3331.4904000000001</v>
      </c>
      <c r="L514" s="344">
        <v>1352.6320041884803</v>
      </c>
    </row>
    <row r="515" spans="2:12">
      <c r="B515" s="276">
        <v>533000</v>
      </c>
      <c r="C515" s="334">
        <v>1436.4350000000002</v>
      </c>
      <c r="D515" s="334">
        <v>1598.3604000000003</v>
      </c>
      <c r="E515" s="276">
        <v>3134.0400000000004</v>
      </c>
      <c r="F515" s="304">
        <v>1558.8871455497367</v>
      </c>
      <c r="H515" s="191"/>
      <c r="I515" s="343">
        <v>1529.8032750000002</v>
      </c>
      <c r="J515" s="343">
        <v>1702.2538260000003</v>
      </c>
      <c r="K515" s="343">
        <v>3337.7526000000003</v>
      </c>
      <c r="L515" s="344">
        <v>1355.1745455497369</v>
      </c>
    </row>
    <row r="516" spans="2:12">
      <c r="B516" s="276">
        <v>534000</v>
      </c>
      <c r="C516" s="334">
        <v>1439.13</v>
      </c>
      <c r="D516" s="334">
        <v>1601.3592000000006</v>
      </c>
      <c r="E516" s="276">
        <v>3139.92</v>
      </c>
      <c r="F516" s="304">
        <v>1561.8118869109933</v>
      </c>
      <c r="H516" s="191"/>
      <c r="I516" s="343">
        <v>1532.6734500000002</v>
      </c>
      <c r="J516" s="343">
        <v>1705.4475480000006</v>
      </c>
      <c r="K516" s="343">
        <v>3344.0147999999999</v>
      </c>
      <c r="L516" s="344">
        <v>1357.7170869109934</v>
      </c>
    </row>
    <row r="517" spans="2:12">
      <c r="B517" s="276">
        <v>535000</v>
      </c>
      <c r="C517" s="334">
        <v>1441.825</v>
      </c>
      <c r="D517" s="334">
        <v>1604.3580000000002</v>
      </c>
      <c r="E517" s="276">
        <v>3145.8000000000006</v>
      </c>
      <c r="F517" s="304">
        <v>1564.7366282722498</v>
      </c>
      <c r="H517" s="191"/>
      <c r="I517" s="343">
        <v>1535.543625</v>
      </c>
      <c r="J517" s="343">
        <v>1708.6412700000001</v>
      </c>
      <c r="K517" s="343">
        <v>3350.2770000000005</v>
      </c>
      <c r="L517" s="344">
        <v>1360.25962827225</v>
      </c>
    </row>
    <row r="518" spans="2:12">
      <c r="B518" s="276">
        <v>536000</v>
      </c>
      <c r="C518" s="334">
        <v>1444.5200000000002</v>
      </c>
      <c r="D518" s="334">
        <v>1607.3568000000002</v>
      </c>
      <c r="E518" s="276">
        <v>3151.6800000000003</v>
      </c>
      <c r="F518" s="304">
        <v>1567.6613696335064</v>
      </c>
      <c r="H518" s="191"/>
      <c r="I518" s="343">
        <v>1538.4138000000003</v>
      </c>
      <c r="J518" s="343">
        <v>1711.8349920000003</v>
      </c>
      <c r="K518" s="343">
        <v>3356.5392000000002</v>
      </c>
      <c r="L518" s="344">
        <v>1362.8021696335065</v>
      </c>
    </row>
    <row r="519" spans="2:12">
      <c r="B519" s="276">
        <v>537000</v>
      </c>
      <c r="C519" s="334">
        <v>1447.2150000000001</v>
      </c>
      <c r="D519" s="334">
        <v>1610.3556000000001</v>
      </c>
      <c r="E519" s="276">
        <v>3157.56</v>
      </c>
      <c r="F519" s="304">
        <v>1570.5861109947627</v>
      </c>
      <c r="H519" s="191"/>
      <c r="I519" s="343">
        <v>1541.2839750000001</v>
      </c>
      <c r="J519" s="343">
        <v>1715.028714</v>
      </c>
      <c r="K519" s="343">
        <v>3362.8013999999998</v>
      </c>
      <c r="L519" s="344">
        <v>1365.3447109947629</v>
      </c>
    </row>
    <row r="520" spans="2:12">
      <c r="B520" s="276">
        <v>538000</v>
      </c>
      <c r="C520" s="334">
        <v>1449.91</v>
      </c>
      <c r="D520" s="334">
        <v>1613.3544000000002</v>
      </c>
      <c r="E520" s="276">
        <v>3163.4400000000005</v>
      </c>
      <c r="F520" s="304">
        <v>1573.5108523560193</v>
      </c>
      <c r="H520" s="191"/>
      <c r="I520" s="343">
        <v>1544.1541500000001</v>
      </c>
      <c r="J520" s="343">
        <v>1718.2224360000002</v>
      </c>
      <c r="K520" s="343">
        <v>3369.0636000000004</v>
      </c>
      <c r="L520" s="344">
        <v>1367.8872523560194</v>
      </c>
    </row>
    <row r="521" spans="2:12">
      <c r="B521" s="276">
        <v>539000</v>
      </c>
      <c r="C521" s="334">
        <v>1452.6050000000002</v>
      </c>
      <c r="D521" s="334">
        <v>1616.3532000000002</v>
      </c>
      <c r="E521" s="276">
        <v>3169.32</v>
      </c>
      <c r="F521" s="304">
        <v>1576.4355937172759</v>
      </c>
      <c r="H521" s="191"/>
      <c r="I521" s="343">
        <v>1547.0243250000003</v>
      </c>
      <c r="J521" s="343">
        <v>1721.4161580000002</v>
      </c>
      <c r="K521" s="343">
        <v>3375.3258000000001</v>
      </c>
      <c r="L521" s="344">
        <v>1370.429793717276</v>
      </c>
    </row>
    <row r="522" spans="2:12">
      <c r="B522" s="276">
        <v>540000</v>
      </c>
      <c r="C522" s="334">
        <v>1455.3000000000002</v>
      </c>
      <c r="D522" s="334">
        <v>1619.3520000000001</v>
      </c>
      <c r="E522" s="276">
        <v>3175.2000000000003</v>
      </c>
      <c r="F522" s="304">
        <v>1579.3603350785324</v>
      </c>
      <c r="H522" s="191"/>
      <c r="I522" s="343">
        <v>1549.8945000000001</v>
      </c>
      <c r="J522" s="343">
        <v>1724.6098800000002</v>
      </c>
      <c r="K522" s="343">
        <v>3381.5880000000002</v>
      </c>
      <c r="L522" s="344">
        <v>1372.9723350785325</v>
      </c>
    </row>
    <row r="523" spans="2:12">
      <c r="B523" s="276">
        <v>541000</v>
      </c>
      <c r="C523" s="334">
        <v>1457.9950000000001</v>
      </c>
      <c r="D523" s="334">
        <v>1622.3507999999999</v>
      </c>
      <c r="E523" s="276">
        <v>3181.0800000000004</v>
      </c>
      <c r="F523" s="304">
        <v>1582.285076439789</v>
      </c>
      <c r="H523" s="191"/>
      <c r="I523" s="343">
        <v>1552.7646750000001</v>
      </c>
      <c r="J523" s="343">
        <v>1727.803602</v>
      </c>
      <c r="K523" s="343">
        <v>3387.8502000000003</v>
      </c>
      <c r="L523" s="344">
        <v>1375.5148764397891</v>
      </c>
    </row>
    <row r="524" spans="2:12">
      <c r="B524" s="276">
        <v>542000</v>
      </c>
      <c r="C524" s="334">
        <v>1460.6900000000003</v>
      </c>
      <c r="D524" s="334">
        <v>1625.3496000000005</v>
      </c>
      <c r="E524" s="276">
        <v>3186.9600000000005</v>
      </c>
      <c r="F524" s="304">
        <v>1585.2098178010456</v>
      </c>
      <c r="H524" s="191"/>
      <c r="I524" s="343">
        <v>1555.6348500000004</v>
      </c>
      <c r="J524" s="343">
        <v>1730.9973240000004</v>
      </c>
      <c r="K524" s="343">
        <v>3394.1124000000004</v>
      </c>
      <c r="L524" s="344">
        <v>1378.0574178010456</v>
      </c>
    </row>
    <row r="525" spans="2:12">
      <c r="B525" s="276">
        <v>543000</v>
      </c>
      <c r="C525" s="334">
        <v>1463.3850000000002</v>
      </c>
      <c r="D525" s="334">
        <v>1628.3484000000001</v>
      </c>
      <c r="E525" s="276">
        <v>3192.84</v>
      </c>
      <c r="F525" s="304">
        <v>1588.1345591623021</v>
      </c>
      <c r="H525" s="191"/>
      <c r="I525" s="343">
        <v>1558.5050250000002</v>
      </c>
      <c r="J525" s="343">
        <v>1734.1910460000001</v>
      </c>
      <c r="K525" s="343">
        <v>3400.3746000000001</v>
      </c>
      <c r="L525" s="344">
        <v>1380.5999591623022</v>
      </c>
    </row>
    <row r="526" spans="2:12">
      <c r="B526" s="276">
        <v>544000</v>
      </c>
      <c r="C526" s="334">
        <v>1466.0800000000002</v>
      </c>
      <c r="D526" s="334">
        <v>1631.3471999999999</v>
      </c>
      <c r="E526" s="276">
        <v>3198.7200000000007</v>
      </c>
      <c r="F526" s="304">
        <v>1591.0593005235587</v>
      </c>
      <c r="H526" s="191"/>
      <c r="I526" s="343">
        <v>1561.3752000000002</v>
      </c>
      <c r="J526" s="343">
        <v>1737.3847679999999</v>
      </c>
      <c r="K526" s="343">
        <v>3406.6368000000007</v>
      </c>
      <c r="L526" s="344">
        <v>1383.1425005235587</v>
      </c>
    </row>
    <row r="527" spans="2:12">
      <c r="B527" s="276">
        <v>545000</v>
      </c>
      <c r="C527" s="334">
        <v>1468.7750000000003</v>
      </c>
      <c r="D527" s="334">
        <v>1634.3460000000005</v>
      </c>
      <c r="E527" s="276">
        <v>3204.6000000000004</v>
      </c>
      <c r="F527" s="304">
        <v>1593.9840418848153</v>
      </c>
      <c r="H527" s="191"/>
      <c r="I527" s="343">
        <v>1564.2453750000004</v>
      </c>
      <c r="J527" s="343">
        <v>1740.5784900000006</v>
      </c>
      <c r="K527" s="343">
        <v>3412.8990000000003</v>
      </c>
      <c r="L527" s="344">
        <v>1385.6850418848153</v>
      </c>
    </row>
    <row r="528" spans="2:12">
      <c r="B528" s="276">
        <v>546000</v>
      </c>
      <c r="C528" s="334">
        <v>1471.4700000000003</v>
      </c>
      <c r="D528" s="334">
        <v>1637.3448000000001</v>
      </c>
      <c r="E528" s="276">
        <v>3210.48</v>
      </c>
      <c r="F528" s="304">
        <v>1596.9087832460718</v>
      </c>
      <c r="H528" s="191"/>
      <c r="I528" s="343">
        <v>1567.1155500000002</v>
      </c>
      <c r="J528" s="343">
        <v>1743.7722120000001</v>
      </c>
      <c r="K528" s="343">
        <v>3419.1612</v>
      </c>
      <c r="L528" s="344">
        <v>1388.2275832460718</v>
      </c>
    </row>
    <row r="529" spans="2:12">
      <c r="B529" s="276">
        <v>547000</v>
      </c>
      <c r="C529" s="334">
        <v>1474.1650000000002</v>
      </c>
      <c r="D529" s="334">
        <v>1640.3436000000002</v>
      </c>
      <c r="E529" s="276">
        <v>3216.3600000000006</v>
      </c>
      <c r="F529" s="304">
        <v>1599.8335246073284</v>
      </c>
      <c r="H529" s="191"/>
      <c r="I529" s="343">
        <v>1569.9857250000002</v>
      </c>
      <c r="J529" s="343">
        <v>1746.9659340000001</v>
      </c>
      <c r="K529" s="343">
        <v>3425.4234000000006</v>
      </c>
      <c r="L529" s="344">
        <v>1390.7701246073284</v>
      </c>
    </row>
    <row r="530" spans="2:12">
      <c r="B530" s="276">
        <v>548000</v>
      </c>
      <c r="C530" s="334">
        <v>1476.8600000000004</v>
      </c>
      <c r="D530" s="334">
        <v>1643.3424000000005</v>
      </c>
      <c r="E530" s="276">
        <v>3222.2400000000002</v>
      </c>
      <c r="F530" s="304">
        <v>1602.758265968585</v>
      </c>
      <c r="H530" s="191"/>
      <c r="I530" s="343">
        <v>1572.8559000000005</v>
      </c>
      <c r="J530" s="343">
        <v>1750.1596560000005</v>
      </c>
      <c r="K530" s="343">
        <v>3431.6856000000002</v>
      </c>
      <c r="L530" s="344">
        <v>1393.312665968585</v>
      </c>
    </row>
    <row r="531" spans="2:12">
      <c r="B531" s="276">
        <v>549000</v>
      </c>
      <c r="C531" s="334">
        <v>1479.5550000000003</v>
      </c>
      <c r="D531" s="334">
        <v>1646.3412000000001</v>
      </c>
      <c r="E531" s="276">
        <v>3228.1200000000003</v>
      </c>
      <c r="F531" s="304">
        <v>1605.6830073298415</v>
      </c>
      <c r="H531" s="191"/>
      <c r="I531" s="343">
        <v>1575.7260750000003</v>
      </c>
      <c r="J531" s="343">
        <v>1753.353378</v>
      </c>
      <c r="K531" s="343">
        <v>3437.9478000000004</v>
      </c>
      <c r="L531" s="344">
        <v>1395.8552073298415</v>
      </c>
    </row>
    <row r="532" spans="2:12">
      <c r="B532" s="276">
        <v>550000</v>
      </c>
      <c r="C532" s="334">
        <v>1482.25</v>
      </c>
      <c r="D532" s="334">
        <v>1649.3400000000001</v>
      </c>
      <c r="E532" s="276">
        <v>3234.0000000000005</v>
      </c>
      <c r="F532" s="304">
        <v>1608.6077486910981</v>
      </c>
      <c r="H532" s="191"/>
      <c r="I532" s="343">
        <v>1578.5962500000001</v>
      </c>
      <c r="J532" s="343">
        <v>1756.5471000000002</v>
      </c>
      <c r="K532" s="343">
        <v>3444.2100000000005</v>
      </c>
      <c r="L532" s="344">
        <v>1398.3977486910981</v>
      </c>
    </row>
    <row r="533" spans="2:12">
      <c r="B533" s="276">
        <v>551000</v>
      </c>
      <c r="C533" s="334">
        <v>1484.9449999999999</v>
      </c>
      <c r="D533" s="334">
        <v>1652.3388000000002</v>
      </c>
      <c r="E533" s="276">
        <v>3239.8800000000006</v>
      </c>
      <c r="F533" s="304">
        <v>1611.5324900523547</v>
      </c>
      <c r="H533" s="191"/>
      <c r="I533" s="343">
        <v>1581.4664249999998</v>
      </c>
      <c r="J533" s="343">
        <v>1759.7408220000002</v>
      </c>
      <c r="K533" s="343">
        <v>3450.4722000000006</v>
      </c>
      <c r="L533" s="344">
        <v>1400.9402900523546</v>
      </c>
    </row>
    <row r="534" spans="2:12">
      <c r="B534" s="276">
        <v>552000</v>
      </c>
      <c r="C534" s="334">
        <v>1487.64</v>
      </c>
      <c r="D534" s="334">
        <v>1655.3376000000005</v>
      </c>
      <c r="E534" s="276">
        <v>3245.76</v>
      </c>
      <c r="F534" s="304">
        <v>1614.4572314136112</v>
      </c>
      <c r="H534" s="191"/>
      <c r="I534" s="343">
        <v>1584.3366000000001</v>
      </c>
      <c r="J534" s="343">
        <v>1762.9345440000006</v>
      </c>
      <c r="K534" s="343">
        <v>3456.7344000000003</v>
      </c>
      <c r="L534" s="344">
        <v>1403.4828314136112</v>
      </c>
    </row>
    <row r="535" spans="2:12">
      <c r="B535" s="276">
        <v>553000</v>
      </c>
      <c r="C535" s="334">
        <v>1490.335</v>
      </c>
      <c r="D535" s="334">
        <v>1658.3364000000001</v>
      </c>
      <c r="E535" s="276">
        <v>3251.64</v>
      </c>
      <c r="F535" s="304">
        <v>1617.3819727748678</v>
      </c>
      <c r="H535" s="191"/>
      <c r="I535" s="343">
        <v>1587.2067750000001</v>
      </c>
      <c r="J535" s="343">
        <v>1766.1282660000002</v>
      </c>
      <c r="K535" s="343">
        <v>3462.9965999999999</v>
      </c>
      <c r="L535" s="344">
        <v>1406.0253727748677</v>
      </c>
    </row>
    <row r="536" spans="2:12">
      <c r="B536" s="276">
        <v>554000</v>
      </c>
      <c r="C536" s="334">
        <v>1493.03</v>
      </c>
      <c r="D536" s="334">
        <v>1661.3351999999998</v>
      </c>
      <c r="E536" s="276">
        <v>3257.5200000000004</v>
      </c>
      <c r="F536" s="304">
        <v>1620.3067141361244</v>
      </c>
      <c r="H536" s="191"/>
      <c r="I536" s="343">
        <v>1590.0769499999999</v>
      </c>
      <c r="J536" s="343">
        <v>1769.3219879999997</v>
      </c>
      <c r="K536" s="343">
        <v>3469.2588000000005</v>
      </c>
      <c r="L536" s="344">
        <v>1408.5679141361243</v>
      </c>
    </row>
    <row r="537" spans="2:12">
      <c r="B537" s="276">
        <v>555000</v>
      </c>
      <c r="C537" s="334">
        <v>1495.7250000000001</v>
      </c>
      <c r="D537" s="334">
        <v>1664.3340000000005</v>
      </c>
      <c r="E537" s="276">
        <v>3263.4</v>
      </c>
      <c r="F537" s="304">
        <v>1623.2314554973809</v>
      </c>
      <c r="H537" s="191"/>
      <c r="I537" s="343">
        <v>1592.9471250000001</v>
      </c>
      <c r="J537" s="343">
        <v>1772.5157100000006</v>
      </c>
      <c r="K537" s="343">
        <v>3475.5210000000002</v>
      </c>
      <c r="L537" s="344">
        <v>1411.1104554973808</v>
      </c>
    </row>
    <row r="538" spans="2:12">
      <c r="B538" s="276">
        <v>556000</v>
      </c>
      <c r="C538" s="334">
        <v>1498.42</v>
      </c>
      <c r="D538" s="334">
        <v>1667.3328000000001</v>
      </c>
      <c r="E538" s="276">
        <v>3269.28</v>
      </c>
      <c r="F538" s="304">
        <v>1626.1561968586373</v>
      </c>
      <c r="H538" s="191"/>
      <c r="I538" s="343">
        <v>1595.8173000000002</v>
      </c>
      <c r="J538" s="343">
        <v>1775.7094320000001</v>
      </c>
      <c r="K538" s="343">
        <v>3481.7832000000003</v>
      </c>
      <c r="L538" s="344">
        <v>1413.6529968586372</v>
      </c>
    </row>
    <row r="539" spans="2:12">
      <c r="B539" s="276">
        <v>557000</v>
      </c>
      <c r="C539" s="334">
        <v>1501.115</v>
      </c>
      <c r="D539" s="334">
        <v>1670.3316000000002</v>
      </c>
      <c r="E539" s="276">
        <v>3275.1600000000003</v>
      </c>
      <c r="F539" s="304">
        <v>1629.0809382198938</v>
      </c>
      <c r="H539" s="191"/>
      <c r="I539" s="343">
        <v>1598.6874749999999</v>
      </c>
      <c r="J539" s="343">
        <v>1778.9031540000003</v>
      </c>
      <c r="K539" s="343">
        <v>3488.0454000000004</v>
      </c>
      <c r="L539" s="344">
        <v>1416.1955382198937</v>
      </c>
    </row>
    <row r="540" spans="2:12">
      <c r="B540" s="276">
        <v>558000</v>
      </c>
      <c r="C540" s="334">
        <v>1503.8100000000002</v>
      </c>
      <c r="D540" s="334">
        <v>1673.3304000000001</v>
      </c>
      <c r="E540" s="276">
        <v>3281.0400000000004</v>
      </c>
      <c r="F540" s="304">
        <v>1632.0056795811504</v>
      </c>
      <c r="H540" s="191"/>
      <c r="I540" s="343">
        <v>1601.5576500000002</v>
      </c>
      <c r="J540" s="343">
        <v>1782.0968760000001</v>
      </c>
      <c r="K540" s="343">
        <v>3494.3076000000005</v>
      </c>
      <c r="L540" s="344">
        <v>1418.7380795811503</v>
      </c>
    </row>
    <row r="541" spans="2:12">
      <c r="B541" s="276">
        <v>559000</v>
      </c>
      <c r="C541" s="334">
        <v>1506.5050000000001</v>
      </c>
      <c r="D541" s="334">
        <v>1676.3292000000001</v>
      </c>
      <c r="E541" s="276">
        <v>3286.92</v>
      </c>
      <c r="F541" s="304">
        <v>1634.930420942407</v>
      </c>
      <c r="H541" s="191"/>
      <c r="I541" s="343">
        <v>1604.4278250000002</v>
      </c>
      <c r="J541" s="343">
        <v>1785.290598</v>
      </c>
      <c r="K541" s="343">
        <v>3500.5698000000002</v>
      </c>
      <c r="L541" s="344">
        <v>1421.2806209424068</v>
      </c>
    </row>
    <row r="542" spans="2:12">
      <c r="B542" s="276">
        <v>560000</v>
      </c>
      <c r="C542" s="334">
        <v>1509.2</v>
      </c>
      <c r="D542" s="334">
        <v>1679.3280000000002</v>
      </c>
      <c r="E542" s="276">
        <v>3292.8000000000006</v>
      </c>
      <c r="F542" s="304">
        <v>1637.8551623036635</v>
      </c>
      <c r="H542" s="191"/>
      <c r="I542" s="343">
        <v>1607.298</v>
      </c>
      <c r="J542" s="343">
        <v>1788.4843200000003</v>
      </c>
      <c r="K542" s="343">
        <v>3506.8320000000008</v>
      </c>
      <c r="L542" s="344">
        <v>1423.8231623036634</v>
      </c>
    </row>
    <row r="543" spans="2:12">
      <c r="B543" s="276">
        <v>561000</v>
      </c>
      <c r="C543" s="334">
        <v>1511.8950000000002</v>
      </c>
      <c r="D543" s="334">
        <v>1682.3268</v>
      </c>
      <c r="E543" s="276">
        <v>3298.6800000000003</v>
      </c>
      <c r="F543" s="304">
        <v>1640.7799036649201</v>
      </c>
      <c r="H543" s="191"/>
      <c r="I543" s="343">
        <v>1610.1681750000002</v>
      </c>
      <c r="J543" s="343">
        <v>1791.678042</v>
      </c>
      <c r="K543" s="343">
        <v>3513.0942000000005</v>
      </c>
      <c r="L543" s="344">
        <v>1426.3657036649199</v>
      </c>
    </row>
    <row r="544" spans="2:12">
      <c r="B544" s="276">
        <v>562000</v>
      </c>
      <c r="C544" s="334">
        <v>1514.5900000000001</v>
      </c>
      <c r="D544" s="334">
        <v>1685.3256000000003</v>
      </c>
      <c r="E544" s="276">
        <v>3304.56</v>
      </c>
      <c r="F544" s="304">
        <v>1643.7046450261766</v>
      </c>
      <c r="H544" s="191"/>
      <c r="I544" s="343">
        <v>1613.0383500000003</v>
      </c>
      <c r="J544" s="343">
        <v>1794.8717640000004</v>
      </c>
      <c r="K544" s="343">
        <v>3519.3564000000001</v>
      </c>
      <c r="L544" s="344">
        <v>1428.9082450261765</v>
      </c>
    </row>
    <row r="545" spans="2:12">
      <c r="B545" s="276">
        <v>563000</v>
      </c>
      <c r="C545" s="334">
        <v>1517.2850000000001</v>
      </c>
      <c r="D545" s="334">
        <v>1688.3244000000002</v>
      </c>
      <c r="E545" s="276">
        <v>3310.4400000000005</v>
      </c>
      <c r="F545" s="304">
        <v>1646.6293863874332</v>
      </c>
      <c r="H545" s="191"/>
      <c r="I545" s="343">
        <v>1615.9085250000001</v>
      </c>
      <c r="J545" s="343">
        <v>1798.0654860000002</v>
      </c>
      <c r="K545" s="343">
        <v>3525.6186000000007</v>
      </c>
      <c r="L545" s="344">
        <v>1431.450786387433</v>
      </c>
    </row>
    <row r="546" spans="2:12">
      <c r="B546" s="276">
        <v>564000</v>
      </c>
      <c r="C546" s="334">
        <v>1519.9800000000002</v>
      </c>
      <c r="D546" s="334">
        <v>1691.3232</v>
      </c>
      <c r="E546" s="276">
        <v>3316.32</v>
      </c>
      <c r="F546" s="304">
        <v>1649.5541277486898</v>
      </c>
      <c r="H546" s="191"/>
      <c r="I546" s="343">
        <v>1618.7787000000003</v>
      </c>
      <c r="J546" s="343">
        <v>1801.2592079999999</v>
      </c>
      <c r="K546" s="343">
        <v>3531.8808000000004</v>
      </c>
      <c r="L546" s="344">
        <v>1433.9933277486896</v>
      </c>
    </row>
    <row r="547" spans="2:12">
      <c r="B547" s="276">
        <v>565000</v>
      </c>
      <c r="C547" s="334">
        <v>1522.6750000000002</v>
      </c>
      <c r="D547" s="334">
        <v>1694.3220000000001</v>
      </c>
      <c r="E547" s="276">
        <v>3322.2000000000003</v>
      </c>
      <c r="F547" s="304">
        <v>1652.4788691099463</v>
      </c>
      <c r="H547" s="191"/>
      <c r="I547" s="343">
        <v>1621.6488750000003</v>
      </c>
      <c r="J547" s="343">
        <v>1804.4529300000002</v>
      </c>
      <c r="K547" s="343">
        <v>3538.1430000000005</v>
      </c>
      <c r="L547" s="344">
        <v>1436.5358691099461</v>
      </c>
    </row>
    <row r="548" spans="2:12">
      <c r="B548" s="276">
        <v>566000</v>
      </c>
      <c r="C548" s="334">
        <v>1525.3700000000001</v>
      </c>
      <c r="D548" s="334">
        <v>1697.3208000000002</v>
      </c>
      <c r="E548" s="276">
        <v>3328.0800000000004</v>
      </c>
      <c r="F548" s="304">
        <v>1655.4036104712029</v>
      </c>
      <c r="H548" s="191"/>
      <c r="I548" s="343">
        <v>1624.5190500000001</v>
      </c>
      <c r="J548" s="343">
        <v>1807.6466520000001</v>
      </c>
      <c r="K548" s="343">
        <v>3544.4052000000006</v>
      </c>
      <c r="L548" s="344">
        <v>1439.0784104712027</v>
      </c>
    </row>
    <row r="549" spans="2:12">
      <c r="B549" s="276">
        <v>567000</v>
      </c>
      <c r="C549" s="334">
        <v>1528.0650000000003</v>
      </c>
      <c r="D549" s="334">
        <v>1700.3196000000005</v>
      </c>
      <c r="E549" s="276">
        <v>3333.9600000000005</v>
      </c>
      <c r="F549" s="304">
        <v>1658.3283518324595</v>
      </c>
      <c r="H549" s="191"/>
      <c r="I549" s="343">
        <v>1627.3892250000004</v>
      </c>
      <c r="J549" s="343">
        <v>1810.8403740000006</v>
      </c>
      <c r="K549" s="343">
        <v>3550.6674000000007</v>
      </c>
      <c r="L549" s="344">
        <v>1441.6209518324592</v>
      </c>
    </row>
    <row r="550" spans="2:12">
      <c r="B550" s="276">
        <v>568000</v>
      </c>
      <c r="C550" s="334">
        <v>1530.7600000000002</v>
      </c>
      <c r="D550" s="334">
        <v>1703.3184000000001</v>
      </c>
      <c r="E550" s="276">
        <v>3339.84</v>
      </c>
      <c r="F550" s="304">
        <v>1661.253093193716</v>
      </c>
      <c r="H550" s="191"/>
      <c r="I550" s="343">
        <v>1630.2594000000001</v>
      </c>
      <c r="J550" s="343">
        <v>1814.0340960000001</v>
      </c>
      <c r="K550" s="343">
        <v>3556.9296000000004</v>
      </c>
      <c r="L550" s="344">
        <v>1444.1634931937158</v>
      </c>
    </row>
    <row r="551" spans="2:12">
      <c r="B551" s="276">
        <v>569000</v>
      </c>
      <c r="C551" s="334">
        <v>1533.4550000000002</v>
      </c>
      <c r="D551" s="334">
        <v>1706.3171999999997</v>
      </c>
      <c r="E551" s="276">
        <v>3345.7200000000007</v>
      </c>
      <c r="F551" s="304">
        <v>1664.1778345549726</v>
      </c>
      <c r="H551" s="191"/>
      <c r="I551" s="343">
        <v>1633.1295750000002</v>
      </c>
      <c r="J551" s="343">
        <v>1817.2278179999996</v>
      </c>
      <c r="K551" s="343">
        <v>3563.191800000001</v>
      </c>
      <c r="L551" s="344">
        <v>1446.7060345549723</v>
      </c>
    </row>
    <row r="552" spans="2:12">
      <c r="B552" s="276">
        <v>570000</v>
      </c>
      <c r="C552" s="334">
        <v>1536.1500000000003</v>
      </c>
      <c r="D552" s="334">
        <v>1709.3160000000005</v>
      </c>
      <c r="E552" s="276">
        <v>3351.6000000000004</v>
      </c>
      <c r="F552" s="304">
        <v>1667.1025759162292</v>
      </c>
      <c r="H552" s="191"/>
      <c r="I552" s="343">
        <v>1635.9997500000004</v>
      </c>
      <c r="J552" s="343">
        <v>1820.4215400000005</v>
      </c>
      <c r="K552" s="343">
        <v>3569.4540000000006</v>
      </c>
      <c r="L552" s="344">
        <v>1449.2485759162289</v>
      </c>
    </row>
    <row r="553" spans="2:12">
      <c r="B553" s="276">
        <v>571000</v>
      </c>
      <c r="C553" s="334">
        <v>1538.8450000000003</v>
      </c>
      <c r="D553" s="334">
        <v>1712.3148000000001</v>
      </c>
      <c r="E553" s="276">
        <v>3357.48</v>
      </c>
      <c r="F553" s="304">
        <v>1670.0273172774853</v>
      </c>
      <c r="H553" s="191"/>
      <c r="I553" s="343">
        <v>1638.8699250000002</v>
      </c>
      <c r="J553" s="343">
        <v>1823.615262</v>
      </c>
      <c r="K553" s="343">
        <v>3575.7161999999998</v>
      </c>
      <c r="L553" s="344">
        <v>1451.7911172774855</v>
      </c>
    </row>
    <row r="554" spans="2:12">
      <c r="B554" s="276">
        <v>572000</v>
      </c>
      <c r="C554" s="334">
        <v>1541.5400000000002</v>
      </c>
      <c r="D554" s="334">
        <v>1715.3136000000002</v>
      </c>
      <c r="E554" s="276">
        <v>3363.3600000000006</v>
      </c>
      <c r="F554" s="304">
        <v>1672.9520586387418</v>
      </c>
      <c r="H554" s="191"/>
      <c r="I554" s="343">
        <v>1641.7401000000002</v>
      </c>
      <c r="J554" s="343">
        <v>1826.8089840000002</v>
      </c>
      <c r="K554" s="343">
        <v>3581.9784000000004</v>
      </c>
      <c r="L554" s="344">
        <v>1454.333658638742</v>
      </c>
    </row>
    <row r="555" spans="2:12">
      <c r="B555" s="276">
        <v>573000</v>
      </c>
      <c r="C555" s="334">
        <v>1544.2350000000004</v>
      </c>
      <c r="D555" s="334">
        <v>1718.3124000000005</v>
      </c>
      <c r="E555" s="276">
        <v>3369.2400000000002</v>
      </c>
      <c r="F555" s="304">
        <v>1675.8767999999984</v>
      </c>
      <c r="H555" s="191"/>
      <c r="I555" s="343">
        <v>1644.6102750000005</v>
      </c>
      <c r="J555" s="343">
        <v>1830.0027060000004</v>
      </c>
      <c r="K555" s="343">
        <v>3588.2406000000001</v>
      </c>
      <c r="L555" s="344">
        <v>1456.8761999999986</v>
      </c>
    </row>
    <row r="556" spans="2:12">
      <c r="B556" s="276">
        <v>574000</v>
      </c>
      <c r="C556" s="334">
        <v>1546.9300000000003</v>
      </c>
      <c r="D556" s="334">
        <v>1721.3112000000001</v>
      </c>
      <c r="E556" s="276">
        <v>3375.1200000000003</v>
      </c>
      <c r="F556" s="304">
        <v>1678.801541361255</v>
      </c>
      <c r="H556" s="191"/>
      <c r="I556" s="343">
        <v>1647.4804500000002</v>
      </c>
      <c r="J556" s="343">
        <v>1833.1964280000002</v>
      </c>
      <c r="K556" s="343">
        <v>3594.5028000000002</v>
      </c>
      <c r="L556" s="344">
        <v>1459.4187413612551</v>
      </c>
    </row>
    <row r="557" spans="2:12">
      <c r="B557" s="276">
        <v>575000</v>
      </c>
      <c r="C557" s="334">
        <v>1549.625</v>
      </c>
      <c r="D557" s="334">
        <v>1724.3100000000002</v>
      </c>
      <c r="E557" s="276">
        <v>3381.0000000000005</v>
      </c>
      <c r="F557" s="304">
        <v>1681.7262827225115</v>
      </c>
      <c r="H557" s="191"/>
      <c r="I557" s="343">
        <v>1650.350625</v>
      </c>
      <c r="J557" s="343">
        <v>1836.3901500000002</v>
      </c>
      <c r="K557" s="343">
        <v>3600.7650000000003</v>
      </c>
      <c r="L557" s="344">
        <v>1461.9612827225117</v>
      </c>
    </row>
    <row r="558" spans="2:12">
      <c r="B558" s="276">
        <v>576000</v>
      </c>
      <c r="C558" s="334">
        <v>1552.32</v>
      </c>
      <c r="D558" s="334">
        <v>1727.3088000000005</v>
      </c>
      <c r="E558" s="276">
        <v>3386.8800000000006</v>
      </c>
      <c r="F558" s="304">
        <v>1684.6510240837681</v>
      </c>
      <c r="H558" s="191"/>
      <c r="I558" s="343">
        <v>1653.2208000000001</v>
      </c>
      <c r="J558" s="343">
        <v>1839.5838720000006</v>
      </c>
      <c r="K558" s="343">
        <v>3607.0272000000004</v>
      </c>
      <c r="L558" s="344">
        <v>1464.5038240837682</v>
      </c>
    </row>
    <row r="559" spans="2:12">
      <c r="B559" s="276">
        <v>577000</v>
      </c>
      <c r="C559" s="334">
        <v>1555.0150000000001</v>
      </c>
      <c r="D559" s="334">
        <v>1730.3076000000003</v>
      </c>
      <c r="E559" s="276">
        <v>3392.76</v>
      </c>
      <c r="F559" s="304">
        <v>1687.5757654450247</v>
      </c>
      <c r="H559" s="191"/>
      <c r="I559" s="343">
        <v>1656.0909750000001</v>
      </c>
      <c r="J559" s="343">
        <v>1842.7775940000004</v>
      </c>
      <c r="K559" s="343">
        <v>3613.2894000000001</v>
      </c>
      <c r="L559" s="344">
        <v>1467.0463654450248</v>
      </c>
    </row>
    <row r="560" spans="2:12">
      <c r="B560" s="276">
        <v>578000</v>
      </c>
      <c r="C560" s="334">
        <v>1557.71</v>
      </c>
      <c r="D560" s="334">
        <v>1733.3064000000002</v>
      </c>
      <c r="E560" s="276">
        <v>3398.64</v>
      </c>
      <c r="F560" s="304">
        <v>1690.5005068062812</v>
      </c>
      <c r="H560" s="191"/>
      <c r="I560" s="343">
        <v>1658.9611500000001</v>
      </c>
      <c r="J560" s="343">
        <v>1845.9713160000001</v>
      </c>
      <c r="K560" s="343">
        <v>3619.5515999999998</v>
      </c>
      <c r="L560" s="344">
        <v>1469.5889068062813</v>
      </c>
    </row>
    <row r="561" spans="2:12">
      <c r="B561" s="276">
        <v>579000</v>
      </c>
      <c r="C561" s="334">
        <v>1560.405</v>
      </c>
      <c r="D561" s="334">
        <v>1736.3051999999998</v>
      </c>
      <c r="E561" s="276">
        <v>3404.5200000000004</v>
      </c>
      <c r="F561" s="304">
        <v>1693.4252481675378</v>
      </c>
      <c r="H561" s="191"/>
      <c r="I561" s="343">
        <v>1661.8313249999999</v>
      </c>
      <c r="J561" s="343">
        <v>1849.1650379999999</v>
      </c>
      <c r="K561" s="343">
        <v>3625.8138000000004</v>
      </c>
      <c r="L561" s="344">
        <v>1472.1314481675379</v>
      </c>
    </row>
    <row r="562" spans="2:12">
      <c r="B562" s="276">
        <v>580000</v>
      </c>
      <c r="C562" s="334">
        <v>1563.1000000000001</v>
      </c>
      <c r="D562" s="334">
        <v>1739.3040000000003</v>
      </c>
      <c r="E562" s="276">
        <v>3410.4</v>
      </c>
      <c r="F562" s="304">
        <v>1696.3499895287944</v>
      </c>
      <c r="H562" s="191"/>
      <c r="I562" s="343">
        <v>1664.7015000000001</v>
      </c>
      <c r="J562" s="343">
        <v>1852.3587600000003</v>
      </c>
      <c r="K562" s="343">
        <v>3632.076</v>
      </c>
      <c r="L562" s="344">
        <v>1474.6739895287944</v>
      </c>
    </row>
    <row r="563" spans="2:12">
      <c r="B563" s="276">
        <v>581000</v>
      </c>
      <c r="C563" s="334">
        <v>1565.7950000000001</v>
      </c>
      <c r="D563" s="334">
        <v>1742.3028000000002</v>
      </c>
      <c r="E563" s="276">
        <v>3416.28</v>
      </c>
      <c r="F563" s="304">
        <v>1699.2747308900509</v>
      </c>
      <c r="H563" s="191"/>
      <c r="I563" s="343">
        <v>1667.5716750000001</v>
      </c>
      <c r="J563" s="343">
        <v>1855.5524820000003</v>
      </c>
      <c r="K563" s="343">
        <v>3638.3382000000001</v>
      </c>
      <c r="L563" s="344">
        <v>1477.216530890051</v>
      </c>
    </row>
    <row r="564" spans="2:12">
      <c r="B564" s="276">
        <v>582000</v>
      </c>
      <c r="C564" s="334">
        <v>1568.49</v>
      </c>
      <c r="D564" s="334">
        <v>1745.3016</v>
      </c>
      <c r="E564" s="276">
        <v>3422.1600000000003</v>
      </c>
      <c r="F564" s="304">
        <v>1702.199472251307</v>
      </c>
      <c r="H564" s="191"/>
      <c r="I564" s="343">
        <v>1670.4418499999999</v>
      </c>
      <c r="J564" s="343">
        <v>1858.746204</v>
      </c>
      <c r="K564" s="343">
        <v>3644.6004000000003</v>
      </c>
      <c r="L564" s="344">
        <v>1479.7590722513071</v>
      </c>
    </row>
    <row r="565" spans="2:12">
      <c r="B565" s="276">
        <v>583000</v>
      </c>
      <c r="C565" s="334">
        <v>1571.1850000000002</v>
      </c>
      <c r="D565" s="334">
        <v>1748.3004000000003</v>
      </c>
      <c r="E565" s="276">
        <v>3428.0400000000004</v>
      </c>
      <c r="F565" s="304">
        <v>1705.1242136125636</v>
      </c>
      <c r="H565" s="191"/>
      <c r="I565" s="343">
        <v>1673.3120250000002</v>
      </c>
      <c r="J565" s="343">
        <v>1861.9399260000002</v>
      </c>
      <c r="K565" s="343">
        <v>3650.8626000000004</v>
      </c>
      <c r="L565" s="344">
        <v>1482.3016136125636</v>
      </c>
    </row>
    <row r="566" spans="2:12">
      <c r="B566" s="276">
        <v>584000</v>
      </c>
      <c r="C566" s="334">
        <v>1573.88</v>
      </c>
      <c r="D566" s="334">
        <v>1751.2992000000002</v>
      </c>
      <c r="E566" s="276">
        <v>3433.92</v>
      </c>
      <c r="F566" s="304">
        <v>1708.0489549738202</v>
      </c>
      <c r="H566" s="191"/>
      <c r="I566" s="343">
        <v>1676.1822000000002</v>
      </c>
      <c r="J566" s="343">
        <v>1865.1336480000002</v>
      </c>
      <c r="K566" s="343">
        <v>3657.1248000000001</v>
      </c>
      <c r="L566" s="344">
        <v>1484.8441549738202</v>
      </c>
    </row>
    <row r="567" spans="2:12">
      <c r="B567" s="276">
        <v>585000</v>
      </c>
      <c r="C567" s="334">
        <v>1576.575</v>
      </c>
      <c r="D567" s="334">
        <v>1754.298</v>
      </c>
      <c r="E567" s="276">
        <v>3439.8000000000006</v>
      </c>
      <c r="F567" s="304">
        <v>1710.9736963350767</v>
      </c>
      <c r="H567" s="191"/>
      <c r="I567" s="343">
        <v>1679.052375</v>
      </c>
      <c r="J567" s="343">
        <v>1868.32737</v>
      </c>
      <c r="K567" s="343">
        <v>3663.3870000000006</v>
      </c>
      <c r="L567" s="344">
        <v>1487.3866963350767</v>
      </c>
    </row>
    <row r="568" spans="2:12">
      <c r="B568" s="276">
        <v>586000</v>
      </c>
      <c r="C568" s="334">
        <v>1579.2700000000002</v>
      </c>
      <c r="D568" s="334">
        <v>1757.2968000000001</v>
      </c>
      <c r="E568" s="276">
        <v>3445.6800000000003</v>
      </c>
      <c r="F568" s="304">
        <v>1713.8984376963333</v>
      </c>
      <c r="H568" s="191"/>
      <c r="I568" s="343">
        <v>1681.9225500000002</v>
      </c>
      <c r="J568" s="343">
        <v>1871.5210920000002</v>
      </c>
      <c r="K568" s="343">
        <v>3669.6492000000003</v>
      </c>
      <c r="L568" s="344">
        <v>1489.9292376963333</v>
      </c>
    </row>
    <row r="569" spans="2:12">
      <c r="B569" s="276">
        <v>587000</v>
      </c>
      <c r="C569" s="334">
        <v>1581.9650000000001</v>
      </c>
      <c r="D569" s="334">
        <v>1760.2956000000004</v>
      </c>
      <c r="E569" s="276">
        <v>3451.56</v>
      </c>
      <c r="F569" s="304">
        <v>1716.8231790575899</v>
      </c>
      <c r="H569" s="191"/>
      <c r="I569" s="343">
        <v>1684.7927250000002</v>
      </c>
      <c r="J569" s="343">
        <v>1874.7148140000004</v>
      </c>
      <c r="K569" s="343">
        <v>3675.9114</v>
      </c>
      <c r="L569" s="344">
        <v>1492.4717790575899</v>
      </c>
    </row>
    <row r="570" spans="2:12">
      <c r="B570" s="276">
        <v>588000</v>
      </c>
      <c r="C570" s="334">
        <v>1584.66</v>
      </c>
      <c r="D570" s="334">
        <v>1763.2944</v>
      </c>
      <c r="E570" s="276">
        <v>3457.4400000000005</v>
      </c>
      <c r="F570" s="304">
        <v>1719.7479204188464</v>
      </c>
      <c r="H570" s="191"/>
      <c r="I570" s="343">
        <v>1687.6629</v>
      </c>
      <c r="J570" s="343">
        <v>1877.9085359999999</v>
      </c>
      <c r="K570" s="343">
        <v>3682.1736000000005</v>
      </c>
      <c r="L570" s="344">
        <v>1495.0143204188464</v>
      </c>
    </row>
    <row r="571" spans="2:12">
      <c r="B571" s="276">
        <v>589000</v>
      </c>
      <c r="C571" s="334">
        <v>1587.3550000000002</v>
      </c>
      <c r="D571" s="334">
        <v>1766.2932000000001</v>
      </c>
      <c r="E571" s="276">
        <v>3463.32</v>
      </c>
      <c r="F571" s="304">
        <v>1722.672661780103</v>
      </c>
      <c r="H571" s="191"/>
      <c r="I571" s="343">
        <v>1690.5330750000003</v>
      </c>
      <c r="J571" s="343">
        <v>1881.1022580000001</v>
      </c>
      <c r="K571" s="343">
        <v>3688.4358000000002</v>
      </c>
      <c r="L571" s="344">
        <v>1497.556861780103</v>
      </c>
    </row>
    <row r="572" spans="2:12">
      <c r="B572" s="276">
        <v>590000</v>
      </c>
      <c r="C572" s="334">
        <v>1590.0500000000002</v>
      </c>
      <c r="D572" s="334">
        <v>1769.2920000000004</v>
      </c>
      <c r="E572" s="276">
        <v>3469.2000000000003</v>
      </c>
      <c r="F572" s="304">
        <v>1725.5974031413596</v>
      </c>
      <c r="H572" s="191"/>
      <c r="I572" s="343">
        <v>1693.4032500000003</v>
      </c>
      <c r="J572" s="343">
        <v>1884.2959800000003</v>
      </c>
      <c r="K572" s="343">
        <v>3694.6980000000003</v>
      </c>
      <c r="L572" s="344">
        <v>1500.0994031413595</v>
      </c>
    </row>
    <row r="573" spans="2:12">
      <c r="B573" s="276">
        <v>591000</v>
      </c>
      <c r="C573" s="334">
        <v>1592.7450000000001</v>
      </c>
      <c r="D573" s="334">
        <v>1772.2908</v>
      </c>
      <c r="E573" s="276">
        <v>3475.0800000000004</v>
      </c>
      <c r="F573" s="304">
        <v>1728.5221445026161</v>
      </c>
      <c r="H573" s="191"/>
      <c r="I573" s="343">
        <v>1696.2734250000001</v>
      </c>
      <c r="J573" s="343">
        <v>1887.4897020000001</v>
      </c>
      <c r="K573" s="343">
        <v>3700.9602000000004</v>
      </c>
      <c r="L573" s="344">
        <v>1502.6419445026161</v>
      </c>
    </row>
    <row r="574" spans="2:12">
      <c r="B574" s="276">
        <v>592000</v>
      </c>
      <c r="C574" s="334">
        <v>1595.4400000000003</v>
      </c>
      <c r="D574" s="334">
        <v>1775.2896000000003</v>
      </c>
      <c r="E574" s="276">
        <v>3480.9600000000005</v>
      </c>
      <c r="F574" s="304">
        <v>1731.4468858638727</v>
      </c>
      <c r="H574" s="191"/>
      <c r="I574" s="343">
        <v>1699.1436000000003</v>
      </c>
      <c r="J574" s="343">
        <v>1890.6834240000003</v>
      </c>
      <c r="K574" s="343">
        <v>3707.2224000000006</v>
      </c>
      <c r="L574" s="344">
        <v>1505.1844858638726</v>
      </c>
    </row>
    <row r="575" spans="2:12">
      <c r="B575" s="276">
        <v>593000</v>
      </c>
      <c r="C575" s="334">
        <v>1598.1350000000002</v>
      </c>
      <c r="D575" s="334">
        <v>1778.2884000000001</v>
      </c>
      <c r="E575" s="276">
        <v>3486.84</v>
      </c>
      <c r="F575" s="304">
        <v>1734.3716272251293</v>
      </c>
      <c r="H575" s="191"/>
      <c r="I575" s="343">
        <v>1702.0137750000004</v>
      </c>
      <c r="J575" s="343">
        <v>1893.8771460000003</v>
      </c>
      <c r="K575" s="343">
        <v>3713.4846000000002</v>
      </c>
      <c r="L575" s="344">
        <v>1507.7270272251292</v>
      </c>
    </row>
    <row r="576" spans="2:12">
      <c r="B576" s="276">
        <v>594000</v>
      </c>
      <c r="C576" s="334">
        <v>1600.8300000000002</v>
      </c>
      <c r="D576" s="334">
        <v>1781.2872</v>
      </c>
      <c r="E576" s="276">
        <v>3492.7200000000007</v>
      </c>
      <c r="F576" s="304">
        <v>1737.2963685863858</v>
      </c>
      <c r="H576" s="191"/>
      <c r="I576" s="343">
        <v>1704.8839500000001</v>
      </c>
      <c r="J576" s="343">
        <v>1897.070868</v>
      </c>
      <c r="K576" s="343">
        <v>3719.7468000000008</v>
      </c>
      <c r="L576" s="344">
        <v>1510.2695685863857</v>
      </c>
    </row>
    <row r="577" spans="2:12">
      <c r="B577" s="276">
        <v>595000</v>
      </c>
      <c r="C577" s="334">
        <v>1603.5250000000003</v>
      </c>
      <c r="D577" s="334">
        <v>1784.2860000000003</v>
      </c>
      <c r="E577" s="276">
        <v>3498.6000000000004</v>
      </c>
      <c r="F577" s="304">
        <v>1740.2211099476424</v>
      </c>
      <c r="H577" s="191"/>
      <c r="I577" s="343">
        <v>1707.7541250000004</v>
      </c>
      <c r="J577" s="343">
        <v>1900.2645900000002</v>
      </c>
      <c r="K577" s="343">
        <v>3726.0090000000005</v>
      </c>
      <c r="L577" s="344">
        <v>1512.8121099476423</v>
      </c>
    </row>
    <row r="578" spans="2:12">
      <c r="B578" s="276">
        <v>596000</v>
      </c>
      <c r="C578" s="334">
        <v>1606.2200000000003</v>
      </c>
      <c r="D578" s="334">
        <v>1787.2848000000001</v>
      </c>
      <c r="E578" s="276">
        <v>3504.48</v>
      </c>
      <c r="F578" s="304">
        <v>1743.145851308899</v>
      </c>
      <c r="H578" s="191"/>
      <c r="I578" s="343">
        <v>1710.6243000000002</v>
      </c>
      <c r="J578" s="343">
        <v>1903.4583120000002</v>
      </c>
      <c r="K578" s="343">
        <v>3732.2712000000001</v>
      </c>
      <c r="L578" s="344">
        <v>1515.3546513088988</v>
      </c>
    </row>
    <row r="579" spans="2:12">
      <c r="B579" s="276">
        <v>597000</v>
      </c>
      <c r="C579" s="334">
        <v>1608.9150000000002</v>
      </c>
      <c r="D579" s="334">
        <v>1790.2836000000004</v>
      </c>
      <c r="E579" s="276">
        <v>3510.3600000000006</v>
      </c>
      <c r="F579" s="304">
        <v>1746.0705926701555</v>
      </c>
      <c r="H579" s="191"/>
      <c r="I579" s="343">
        <v>1713.4944750000002</v>
      </c>
      <c r="J579" s="343">
        <v>1906.6520340000004</v>
      </c>
      <c r="K579" s="343">
        <v>3738.5334000000007</v>
      </c>
      <c r="L579" s="344">
        <v>1517.8971926701554</v>
      </c>
    </row>
    <row r="580" spans="2:12">
      <c r="B580" s="276">
        <v>598000</v>
      </c>
      <c r="C580" s="334">
        <v>1611.6100000000004</v>
      </c>
      <c r="D580" s="334">
        <v>1793.2824000000003</v>
      </c>
      <c r="E580" s="276">
        <v>3516.2400000000002</v>
      </c>
      <c r="F580" s="304">
        <v>1748.9953340314121</v>
      </c>
      <c r="H580" s="191"/>
      <c r="I580" s="343">
        <v>1716.3646500000004</v>
      </c>
      <c r="J580" s="343">
        <v>1909.8457560000004</v>
      </c>
      <c r="K580" s="343">
        <v>3744.7956000000004</v>
      </c>
      <c r="L580" s="344">
        <v>1520.4397340314119</v>
      </c>
    </row>
    <row r="581" spans="2:12">
      <c r="B581" s="276">
        <v>599000</v>
      </c>
      <c r="C581" s="334">
        <v>1614.3050000000003</v>
      </c>
      <c r="D581" s="334">
        <v>1796.2812000000001</v>
      </c>
      <c r="E581" s="276">
        <v>3522.1200000000003</v>
      </c>
      <c r="F581" s="304">
        <v>1751.9200753926687</v>
      </c>
      <c r="H581" s="191"/>
      <c r="I581" s="343">
        <v>1719.2348250000002</v>
      </c>
      <c r="J581" s="343">
        <v>1913.0394780000001</v>
      </c>
      <c r="K581" s="343">
        <v>3751.0578000000005</v>
      </c>
      <c r="L581" s="344">
        <v>1522.9822753926685</v>
      </c>
    </row>
    <row r="582" spans="2:12">
      <c r="B582" s="276">
        <v>600000</v>
      </c>
      <c r="C582" s="334">
        <v>1617.0000000000002</v>
      </c>
      <c r="D582" s="334">
        <v>1799.28</v>
      </c>
      <c r="E582" s="276">
        <v>3528.0000000000005</v>
      </c>
      <c r="F582" s="304">
        <v>1754.8448167539252</v>
      </c>
      <c r="H582" s="191"/>
      <c r="I582" s="343">
        <v>1722.1050000000002</v>
      </c>
      <c r="J582" s="343">
        <v>1916.2331999999999</v>
      </c>
      <c r="K582" s="343">
        <v>3757.3200000000006</v>
      </c>
      <c r="L582" s="344">
        <v>1525.5248167539251</v>
      </c>
    </row>
    <row r="583" spans="2:12">
      <c r="B583" s="276">
        <v>601000</v>
      </c>
      <c r="C583" s="334">
        <v>1619.6949999999999</v>
      </c>
      <c r="D583" s="334">
        <v>1802.2788000000003</v>
      </c>
      <c r="E583" s="276">
        <v>3533.8800000000006</v>
      </c>
      <c r="F583" s="304">
        <v>1757.7695581151818</v>
      </c>
      <c r="H583" s="191"/>
      <c r="I583" s="343">
        <v>1724.975175</v>
      </c>
      <c r="J583" s="343">
        <v>1919.4269220000003</v>
      </c>
      <c r="K583" s="343">
        <v>3763.5822000000007</v>
      </c>
      <c r="L583" s="344">
        <v>1528.0673581151816</v>
      </c>
    </row>
    <row r="584" spans="2:12">
      <c r="B584" s="276">
        <v>602000</v>
      </c>
      <c r="C584" s="334">
        <v>1622.39</v>
      </c>
      <c r="D584" s="334">
        <v>1805.2776000000003</v>
      </c>
      <c r="E584" s="276">
        <v>3539.76</v>
      </c>
      <c r="F584" s="304">
        <v>1760.6942994764383</v>
      </c>
      <c r="H584" s="191"/>
      <c r="I584" s="343">
        <v>1727.8453500000001</v>
      </c>
      <c r="J584" s="343">
        <v>1922.6206440000003</v>
      </c>
      <c r="K584" s="343">
        <v>3769.8444000000004</v>
      </c>
      <c r="L584" s="344">
        <v>1530.6098994764382</v>
      </c>
    </row>
    <row r="585" spans="2:12">
      <c r="B585" s="276">
        <v>603000</v>
      </c>
      <c r="C585" s="334">
        <v>1625.085</v>
      </c>
      <c r="D585" s="334">
        <v>1808.2764</v>
      </c>
      <c r="E585" s="276">
        <v>3545.6400000000008</v>
      </c>
      <c r="F585" s="304">
        <v>1763.6190408376949</v>
      </c>
      <c r="H585" s="191"/>
      <c r="I585" s="343">
        <v>1730.7155250000001</v>
      </c>
      <c r="J585" s="343">
        <v>1925.8143660000001</v>
      </c>
      <c r="K585" s="343">
        <v>3776.106600000001</v>
      </c>
      <c r="L585" s="344">
        <v>1533.1524408376947</v>
      </c>
    </row>
    <row r="586" spans="2:12">
      <c r="B586" s="276">
        <v>604000</v>
      </c>
      <c r="C586" s="334">
        <v>1627.78</v>
      </c>
      <c r="D586" s="334">
        <v>1811.2751999999998</v>
      </c>
      <c r="E586" s="276">
        <v>3551.5200000000004</v>
      </c>
      <c r="F586" s="304">
        <v>1766.5437821989515</v>
      </c>
      <c r="H586" s="191"/>
      <c r="I586" s="343">
        <v>1733.5857000000001</v>
      </c>
      <c r="J586" s="343">
        <v>1929.0080879999998</v>
      </c>
      <c r="K586" s="343">
        <v>3782.3688000000006</v>
      </c>
      <c r="L586" s="344">
        <v>1535.6949821989513</v>
      </c>
    </row>
    <row r="587" spans="2:12">
      <c r="B587" s="276">
        <v>605000</v>
      </c>
      <c r="C587" s="334">
        <v>1630.4750000000001</v>
      </c>
      <c r="D587" s="334">
        <v>1814.2740000000003</v>
      </c>
      <c r="E587" s="276">
        <v>3557.4</v>
      </c>
      <c r="F587" s="304">
        <v>1769.468523560208</v>
      </c>
      <c r="H587" s="191"/>
      <c r="I587" s="343">
        <v>1736.4558750000001</v>
      </c>
      <c r="J587" s="343">
        <v>1932.2018100000005</v>
      </c>
      <c r="K587" s="343">
        <v>3788.6310000000003</v>
      </c>
      <c r="L587" s="344">
        <v>1538.2375235602078</v>
      </c>
    </row>
    <row r="588" spans="2:12">
      <c r="B588" s="276">
        <v>606000</v>
      </c>
      <c r="C588" s="334">
        <v>1633.17</v>
      </c>
      <c r="D588" s="334">
        <v>1817.2728</v>
      </c>
      <c r="E588" s="276">
        <v>3563.28</v>
      </c>
      <c r="F588" s="304">
        <v>1772.3932649214646</v>
      </c>
      <c r="H588" s="191"/>
      <c r="I588" s="343">
        <v>1739.3260500000001</v>
      </c>
      <c r="J588" s="343">
        <v>1935.395532</v>
      </c>
      <c r="K588" s="343">
        <v>3794.8932000000004</v>
      </c>
      <c r="L588" s="344">
        <v>1540.7800649214644</v>
      </c>
    </row>
    <row r="589" spans="2:12">
      <c r="B589" s="276">
        <v>607000</v>
      </c>
      <c r="C589" s="334">
        <v>1635.865</v>
      </c>
      <c r="D589" s="334">
        <v>1820.2716</v>
      </c>
      <c r="E589" s="276">
        <v>3569.1600000000003</v>
      </c>
      <c r="F589" s="304">
        <v>1775.3180062827212</v>
      </c>
      <c r="H589" s="191"/>
      <c r="I589" s="343">
        <v>1742.1962249999999</v>
      </c>
      <c r="J589" s="343">
        <v>1938.589254</v>
      </c>
      <c r="K589" s="343">
        <v>3801.1554000000006</v>
      </c>
      <c r="L589" s="344">
        <v>1543.3226062827209</v>
      </c>
    </row>
    <row r="590" spans="2:12">
      <c r="B590" s="276">
        <v>608000</v>
      </c>
      <c r="C590" s="334">
        <v>1638.5600000000002</v>
      </c>
      <c r="D590" s="334">
        <v>1823.2704000000003</v>
      </c>
      <c r="E590" s="276">
        <v>3575.0400000000004</v>
      </c>
      <c r="F590" s="304">
        <v>1778.2427476439775</v>
      </c>
      <c r="H590" s="191"/>
      <c r="I590" s="343">
        <v>1745.0664000000002</v>
      </c>
      <c r="J590" s="343">
        <v>1941.7829760000004</v>
      </c>
      <c r="K590" s="343">
        <v>3807.4176000000007</v>
      </c>
      <c r="L590" s="344">
        <v>1545.8651476439773</v>
      </c>
    </row>
    <row r="591" spans="2:12">
      <c r="B591" s="276">
        <v>609000</v>
      </c>
      <c r="C591" s="334">
        <v>1641.2550000000001</v>
      </c>
      <c r="D591" s="334">
        <v>1826.2692</v>
      </c>
      <c r="E591" s="276">
        <v>3580.92</v>
      </c>
      <c r="F591" s="304">
        <v>1781.1674890052336</v>
      </c>
      <c r="H591" s="191"/>
      <c r="I591" s="343">
        <v>1747.9365750000002</v>
      </c>
      <c r="J591" s="343">
        <v>1944.9766979999999</v>
      </c>
      <c r="K591" s="343">
        <v>3813.6797999999999</v>
      </c>
      <c r="L591" s="344">
        <v>1548.4076890052338</v>
      </c>
    </row>
    <row r="592" spans="2:12">
      <c r="B592" s="276">
        <v>610000</v>
      </c>
      <c r="C592" s="334">
        <v>1643.95</v>
      </c>
      <c r="D592" s="334">
        <v>1829.268</v>
      </c>
      <c r="E592" s="276">
        <v>3586.8000000000006</v>
      </c>
      <c r="F592" s="304">
        <v>1784.0922303664906</v>
      </c>
      <c r="H592" s="191"/>
      <c r="I592" s="343">
        <v>1750.80675</v>
      </c>
      <c r="J592" s="343">
        <v>1948.1704199999999</v>
      </c>
      <c r="K592" s="343">
        <v>3819.9420000000009</v>
      </c>
      <c r="L592" s="344">
        <v>1550.9502303664904</v>
      </c>
    </row>
    <row r="593" spans="2:12">
      <c r="B593" s="276">
        <v>611000</v>
      </c>
      <c r="C593" s="334">
        <v>1646.6450000000002</v>
      </c>
      <c r="D593" s="334">
        <v>1832.2668000000003</v>
      </c>
      <c r="E593" s="276">
        <v>3592.6800000000003</v>
      </c>
      <c r="F593" s="304">
        <v>1787.0169717277467</v>
      </c>
      <c r="H593" s="191"/>
      <c r="I593" s="343">
        <v>1753.6769250000002</v>
      </c>
      <c r="J593" s="343">
        <v>1951.3641420000004</v>
      </c>
      <c r="K593" s="343">
        <v>3826.2042000000001</v>
      </c>
      <c r="L593" s="344">
        <v>1553.4927717277469</v>
      </c>
    </row>
    <row r="594" spans="2:12">
      <c r="B594" s="276">
        <v>612000</v>
      </c>
      <c r="C594" s="334">
        <v>1649.3400000000001</v>
      </c>
      <c r="D594" s="334">
        <v>1835.2656000000004</v>
      </c>
      <c r="E594" s="276">
        <v>3598.56</v>
      </c>
      <c r="F594" s="304">
        <v>1789.9417130890033</v>
      </c>
      <c r="H594" s="191"/>
      <c r="I594" s="343">
        <v>1756.5471000000002</v>
      </c>
      <c r="J594" s="343">
        <v>1954.5578640000003</v>
      </c>
      <c r="K594" s="343">
        <v>3832.4663999999998</v>
      </c>
      <c r="L594" s="344">
        <v>1556.0353130890035</v>
      </c>
    </row>
    <row r="595" spans="2:12">
      <c r="B595" s="276">
        <v>613000</v>
      </c>
      <c r="C595" s="334">
        <v>1652.0350000000001</v>
      </c>
      <c r="D595" s="334">
        <v>1838.2644</v>
      </c>
      <c r="E595" s="276">
        <v>3604.4400000000005</v>
      </c>
      <c r="F595" s="304">
        <v>1792.8664544502599</v>
      </c>
      <c r="H595" s="191"/>
      <c r="I595" s="343">
        <v>1759.417275</v>
      </c>
      <c r="J595" s="343">
        <v>1957.7515860000001</v>
      </c>
      <c r="K595" s="343">
        <v>3838.7286000000004</v>
      </c>
      <c r="L595" s="344">
        <v>1558.57785445026</v>
      </c>
    </row>
    <row r="596" spans="2:12">
      <c r="B596" s="276">
        <v>614000</v>
      </c>
      <c r="C596" s="334">
        <v>1654.7300000000002</v>
      </c>
      <c r="D596" s="334">
        <v>1841.2632000000001</v>
      </c>
      <c r="E596" s="276">
        <v>3610.32</v>
      </c>
      <c r="F596" s="304">
        <v>1795.7911958115164</v>
      </c>
      <c r="H596" s="191"/>
      <c r="I596" s="343">
        <v>1762.2874500000003</v>
      </c>
      <c r="J596" s="343">
        <v>1960.9453080000001</v>
      </c>
      <c r="K596" s="343">
        <v>3844.9908</v>
      </c>
      <c r="L596" s="344">
        <v>1561.1203958115166</v>
      </c>
    </row>
    <row r="597" spans="2:12">
      <c r="B597" s="276">
        <v>615000</v>
      </c>
      <c r="C597" s="334">
        <v>1657.4250000000002</v>
      </c>
      <c r="D597" s="334">
        <v>1844.2620000000004</v>
      </c>
      <c r="E597" s="276">
        <v>3616.2000000000003</v>
      </c>
      <c r="F597" s="304">
        <v>1798.715937172773</v>
      </c>
      <c r="H597" s="191"/>
      <c r="I597" s="343">
        <v>1765.1576250000003</v>
      </c>
      <c r="J597" s="343">
        <v>1964.1390300000005</v>
      </c>
      <c r="K597" s="343">
        <v>3851.2530000000002</v>
      </c>
      <c r="L597" s="344">
        <v>1563.6629371727731</v>
      </c>
    </row>
    <row r="598" spans="2:12">
      <c r="B598" s="276">
        <v>616000</v>
      </c>
      <c r="C598" s="334">
        <v>1660.1200000000001</v>
      </c>
      <c r="D598" s="334">
        <v>1847.2608</v>
      </c>
      <c r="E598" s="276">
        <v>3622.0800000000004</v>
      </c>
      <c r="F598" s="304">
        <v>1801.6406785340296</v>
      </c>
      <c r="H598" s="191"/>
      <c r="I598" s="343">
        <v>1768.0278000000001</v>
      </c>
      <c r="J598" s="343">
        <v>1967.332752</v>
      </c>
      <c r="K598" s="343">
        <v>3857.5152000000003</v>
      </c>
      <c r="L598" s="344">
        <v>1566.2054785340297</v>
      </c>
    </row>
    <row r="599" spans="2:12">
      <c r="B599" s="276">
        <v>617000</v>
      </c>
      <c r="C599" s="334">
        <v>1662.8150000000003</v>
      </c>
      <c r="D599" s="334">
        <v>1850.2596000000003</v>
      </c>
      <c r="E599" s="276">
        <v>3627.9600000000005</v>
      </c>
      <c r="F599" s="304">
        <v>1804.5654198952861</v>
      </c>
      <c r="H599" s="191"/>
      <c r="I599" s="343">
        <v>1770.8979750000003</v>
      </c>
      <c r="J599" s="343">
        <v>1970.5264740000002</v>
      </c>
      <c r="K599" s="343">
        <v>3863.7774000000004</v>
      </c>
      <c r="L599" s="344">
        <v>1568.7480198952862</v>
      </c>
    </row>
    <row r="600" spans="2:12">
      <c r="B600" s="276">
        <v>618000</v>
      </c>
      <c r="C600" s="334">
        <v>1665.5100000000002</v>
      </c>
      <c r="D600" s="334">
        <v>1853.2584000000004</v>
      </c>
      <c r="E600" s="276">
        <v>3633.84</v>
      </c>
      <c r="F600" s="304">
        <v>1807.4901612565427</v>
      </c>
      <c r="H600" s="191"/>
      <c r="I600" s="343">
        <v>1773.7681500000003</v>
      </c>
      <c r="J600" s="343">
        <v>1973.7201960000004</v>
      </c>
      <c r="K600" s="343">
        <v>3870.0396000000001</v>
      </c>
      <c r="L600" s="344">
        <v>1571.2905612565428</v>
      </c>
    </row>
    <row r="601" spans="2:12">
      <c r="B601" s="276">
        <v>619000</v>
      </c>
      <c r="C601" s="334">
        <v>1668.2050000000002</v>
      </c>
      <c r="D601" s="334">
        <v>1856.2572</v>
      </c>
      <c r="E601" s="276">
        <v>3639.7200000000007</v>
      </c>
      <c r="F601" s="304">
        <v>1810.4149026177993</v>
      </c>
      <c r="H601" s="191"/>
      <c r="I601" s="343">
        <v>1776.6383250000001</v>
      </c>
      <c r="J601" s="343">
        <v>1976.913918</v>
      </c>
      <c r="K601" s="343">
        <v>3876.3018000000006</v>
      </c>
      <c r="L601" s="344">
        <v>1573.8331026177993</v>
      </c>
    </row>
    <row r="602" spans="2:12">
      <c r="B602" s="276">
        <v>620000</v>
      </c>
      <c r="C602" s="334">
        <v>1670.9000000000003</v>
      </c>
      <c r="D602" s="334">
        <v>1859.2560000000003</v>
      </c>
      <c r="E602" s="276">
        <v>3645.6000000000004</v>
      </c>
      <c r="F602" s="304">
        <v>1813.3396439790558</v>
      </c>
      <c r="H602" s="191"/>
      <c r="I602" s="343">
        <v>1779.5085000000004</v>
      </c>
      <c r="J602" s="343">
        <v>1980.1076400000004</v>
      </c>
      <c r="K602" s="343">
        <v>3882.5640000000003</v>
      </c>
      <c r="L602" s="344">
        <v>1576.3756439790559</v>
      </c>
    </row>
    <row r="603" spans="2:12">
      <c r="B603" s="276">
        <v>621000</v>
      </c>
      <c r="C603" s="334">
        <v>1673.5950000000003</v>
      </c>
      <c r="D603" s="334">
        <v>1862.2547999999999</v>
      </c>
      <c r="E603" s="276">
        <v>3651.48</v>
      </c>
      <c r="F603" s="304">
        <v>1816.2643853403124</v>
      </c>
      <c r="H603" s="191"/>
      <c r="I603" s="343">
        <v>1782.3786750000004</v>
      </c>
      <c r="J603" s="343">
        <v>1983.3013619999999</v>
      </c>
      <c r="K603" s="343">
        <v>3888.8262</v>
      </c>
      <c r="L603" s="344">
        <v>1578.9181853403124</v>
      </c>
    </row>
    <row r="604" spans="2:12">
      <c r="B604" s="276">
        <v>622000</v>
      </c>
      <c r="C604" s="334">
        <v>1676.2900000000002</v>
      </c>
      <c r="D604" s="334">
        <v>1865.2536000000002</v>
      </c>
      <c r="E604" s="276">
        <v>3657.3600000000006</v>
      </c>
      <c r="F604" s="304">
        <v>1819.189126701569</v>
      </c>
      <c r="H604" s="191"/>
      <c r="I604" s="343">
        <v>1785.2488500000002</v>
      </c>
      <c r="J604" s="343">
        <v>1986.4950840000001</v>
      </c>
      <c r="K604" s="343">
        <v>3895.0884000000005</v>
      </c>
      <c r="L604" s="344">
        <v>1581.460726701569</v>
      </c>
    </row>
    <row r="605" spans="2:12">
      <c r="B605" s="276">
        <v>623000</v>
      </c>
      <c r="C605" s="334">
        <v>1678.9850000000004</v>
      </c>
      <c r="D605" s="334">
        <v>1868.2524000000003</v>
      </c>
      <c r="E605" s="276">
        <v>3663.2400000000002</v>
      </c>
      <c r="F605" s="304">
        <v>1822.1138680628255</v>
      </c>
      <c r="H605" s="191"/>
      <c r="I605" s="343">
        <v>1788.1190250000004</v>
      </c>
      <c r="J605" s="343">
        <v>1989.6888060000003</v>
      </c>
      <c r="K605" s="343">
        <v>3901.3506000000002</v>
      </c>
      <c r="L605" s="344">
        <v>1584.0032680628256</v>
      </c>
    </row>
    <row r="606" spans="2:12">
      <c r="B606" s="276">
        <v>624000</v>
      </c>
      <c r="C606" s="334">
        <v>1681.6800000000003</v>
      </c>
      <c r="D606" s="334">
        <v>1871.2511999999999</v>
      </c>
      <c r="E606" s="276">
        <v>3669.1200000000003</v>
      </c>
      <c r="F606" s="304">
        <v>1825.0386094240821</v>
      </c>
      <c r="H606" s="191"/>
      <c r="I606" s="343">
        <v>1790.9892000000002</v>
      </c>
      <c r="J606" s="343">
        <v>1992.8825279999999</v>
      </c>
      <c r="K606" s="343">
        <v>3907.6128000000003</v>
      </c>
      <c r="L606" s="344">
        <v>1586.5458094240821</v>
      </c>
    </row>
    <row r="607" spans="2:12">
      <c r="B607" s="276">
        <v>625000</v>
      </c>
      <c r="C607" s="334">
        <v>1684.3750000000002</v>
      </c>
      <c r="D607" s="334">
        <v>1874.2500000000002</v>
      </c>
      <c r="E607" s="276">
        <v>3675.0000000000005</v>
      </c>
      <c r="F607" s="304">
        <v>1827.9633507853387</v>
      </c>
      <c r="H607" s="191"/>
      <c r="I607" s="343">
        <v>1793.8593750000002</v>
      </c>
      <c r="J607" s="343">
        <v>1996.0762500000003</v>
      </c>
      <c r="K607" s="343">
        <v>3913.8750000000005</v>
      </c>
      <c r="L607" s="344">
        <v>1589.0883507853387</v>
      </c>
    </row>
    <row r="608" spans="2:12">
      <c r="B608" s="276">
        <v>626000</v>
      </c>
      <c r="C608" s="334">
        <v>1687.07</v>
      </c>
      <c r="D608" s="334">
        <v>1877.2488000000003</v>
      </c>
      <c r="E608" s="276">
        <v>3680.8800000000006</v>
      </c>
      <c r="F608" s="304">
        <v>1830.8880921465952</v>
      </c>
      <c r="H608" s="191"/>
      <c r="I608" s="343">
        <v>1796.72955</v>
      </c>
      <c r="J608" s="343">
        <v>1999.2699720000003</v>
      </c>
      <c r="K608" s="343">
        <v>3920.1372000000006</v>
      </c>
      <c r="L608" s="344">
        <v>1591.6308921465952</v>
      </c>
    </row>
    <row r="609" spans="2:12">
      <c r="B609" s="276">
        <v>627000</v>
      </c>
      <c r="C609" s="334">
        <v>1689.7650000000001</v>
      </c>
      <c r="D609" s="334">
        <v>1880.2476000000004</v>
      </c>
      <c r="E609" s="276">
        <v>3686.76</v>
      </c>
      <c r="F609" s="304">
        <v>1833.8128335078518</v>
      </c>
      <c r="H609" s="191"/>
      <c r="I609" s="343">
        <v>1799.599725</v>
      </c>
      <c r="J609" s="343">
        <v>2002.4636940000005</v>
      </c>
      <c r="K609" s="343">
        <v>3926.3994000000002</v>
      </c>
      <c r="L609" s="344">
        <v>1594.1734335078518</v>
      </c>
    </row>
    <row r="610" spans="2:12">
      <c r="B610" s="276">
        <v>628000</v>
      </c>
      <c r="C610" s="334">
        <v>1692.46</v>
      </c>
      <c r="D610" s="334">
        <v>1883.2464</v>
      </c>
      <c r="E610" s="276">
        <v>3692.6400000000008</v>
      </c>
      <c r="F610" s="304">
        <v>1836.7375748691084</v>
      </c>
      <c r="H610" s="191"/>
      <c r="I610" s="343">
        <v>1802.4699000000001</v>
      </c>
      <c r="J610" s="343">
        <v>2005.657416</v>
      </c>
      <c r="K610" s="343">
        <v>3932.6616000000008</v>
      </c>
      <c r="L610" s="344">
        <v>1596.7159748691083</v>
      </c>
    </row>
    <row r="611" spans="2:12">
      <c r="B611" s="276">
        <v>629000</v>
      </c>
      <c r="C611" s="334">
        <v>1695.155</v>
      </c>
      <c r="D611" s="334">
        <v>1886.2452000000001</v>
      </c>
      <c r="E611" s="276">
        <v>3698.5200000000004</v>
      </c>
      <c r="F611" s="304">
        <v>1839.6623162303649</v>
      </c>
      <c r="H611" s="191"/>
      <c r="I611" s="343">
        <v>1805.3400750000001</v>
      </c>
      <c r="J611" s="343">
        <v>2008.851138</v>
      </c>
      <c r="K611" s="343">
        <v>3938.9238000000005</v>
      </c>
      <c r="L611" s="344">
        <v>1599.2585162303649</v>
      </c>
    </row>
    <row r="612" spans="2:12">
      <c r="B612" s="276">
        <v>630000</v>
      </c>
      <c r="C612" s="334">
        <v>1697.8500000000001</v>
      </c>
      <c r="D612" s="334">
        <v>1889.2440000000004</v>
      </c>
      <c r="E612" s="276">
        <v>3704.4</v>
      </c>
      <c r="F612" s="304">
        <v>1842.5870575916215</v>
      </c>
      <c r="H612" s="191"/>
      <c r="I612" s="343">
        <v>1808.2102500000001</v>
      </c>
      <c r="J612" s="343">
        <v>2012.0448600000004</v>
      </c>
      <c r="K612" s="343">
        <v>3945.1860000000001</v>
      </c>
      <c r="L612" s="344">
        <v>1601.8010575916214</v>
      </c>
    </row>
    <row r="613" spans="2:12">
      <c r="B613" s="276">
        <v>631000</v>
      </c>
      <c r="C613" s="334">
        <v>1700.5450000000001</v>
      </c>
      <c r="D613" s="334">
        <v>1892.2428</v>
      </c>
      <c r="E613" s="276">
        <v>3710.2800000000007</v>
      </c>
      <c r="F613" s="304">
        <v>1845.5117989528781</v>
      </c>
      <c r="H613" s="191"/>
      <c r="I613" s="343">
        <v>1811.0804250000001</v>
      </c>
      <c r="J613" s="343">
        <v>2015.238582</v>
      </c>
      <c r="K613" s="343">
        <v>3951.4482000000007</v>
      </c>
      <c r="L613" s="344">
        <v>1604.343598952878</v>
      </c>
    </row>
    <row r="614" spans="2:12">
      <c r="B614" s="276">
        <v>632000</v>
      </c>
      <c r="C614" s="334">
        <v>1703.24</v>
      </c>
      <c r="D614" s="334">
        <v>1895.2416000000003</v>
      </c>
      <c r="E614" s="276">
        <v>3716.1600000000003</v>
      </c>
      <c r="F614" s="304">
        <v>1848.4365403141346</v>
      </c>
      <c r="H614" s="191"/>
      <c r="I614" s="343">
        <v>1813.9506000000001</v>
      </c>
      <c r="J614" s="343">
        <v>2018.4323040000004</v>
      </c>
      <c r="K614" s="343">
        <v>3957.7104000000004</v>
      </c>
      <c r="L614" s="344">
        <v>1606.8861403141345</v>
      </c>
    </row>
    <row r="615" spans="2:12">
      <c r="B615" s="276">
        <v>633000</v>
      </c>
      <c r="C615" s="334">
        <v>1705.9350000000002</v>
      </c>
      <c r="D615" s="334">
        <v>1898.2404000000004</v>
      </c>
      <c r="E615" s="276">
        <v>3722.0400000000004</v>
      </c>
      <c r="F615" s="304">
        <v>1851.3612816753912</v>
      </c>
      <c r="H615" s="191"/>
      <c r="I615" s="343">
        <v>1816.8207750000001</v>
      </c>
      <c r="J615" s="343">
        <v>2021.6260260000004</v>
      </c>
      <c r="K615" s="343">
        <v>3963.9726000000005</v>
      </c>
      <c r="L615" s="344">
        <v>1609.4286816753911</v>
      </c>
    </row>
    <row r="616" spans="2:12">
      <c r="B616" s="276">
        <v>634000</v>
      </c>
      <c r="C616" s="334">
        <v>1708.63</v>
      </c>
      <c r="D616" s="334">
        <v>1901.2392</v>
      </c>
      <c r="E616" s="276">
        <v>3727.92</v>
      </c>
      <c r="F616" s="304">
        <v>1854.2860230366475</v>
      </c>
      <c r="H616" s="191"/>
      <c r="I616" s="343">
        <v>1819.6909500000002</v>
      </c>
      <c r="J616" s="343">
        <v>2024.8197479999999</v>
      </c>
      <c r="K616" s="343">
        <v>3970.2348000000002</v>
      </c>
      <c r="L616" s="344">
        <v>1611.9712230366474</v>
      </c>
    </row>
    <row r="617" spans="2:12">
      <c r="B617" s="276">
        <v>635000</v>
      </c>
      <c r="C617" s="334">
        <v>1711.325</v>
      </c>
      <c r="D617" s="334">
        <v>1904.2380000000001</v>
      </c>
      <c r="E617" s="276">
        <v>3733.8000000000006</v>
      </c>
      <c r="F617" s="304">
        <v>1857.2107643979041</v>
      </c>
      <c r="H617" s="191"/>
      <c r="I617" s="343">
        <v>1822.5611249999999</v>
      </c>
      <c r="J617" s="343">
        <v>2028.0134700000001</v>
      </c>
      <c r="K617" s="343">
        <v>3976.4970000000008</v>
      </c>
      <c r="L617" s="344">
        <v>1614.513764397904</v>
      </c>
    </row>
    <row r="618" spans="2:12">
      <c r="B618" s="276">
        <v>636000</v>
      </c>
      <c r="C618" s="334">
        <v>1714.0200000000002</v>
      </c>
      <c r="D618" s="334">
        <v>1907.2368000000004</v>
      </c>
      <c r="E618" s="276">
        <v>3739.6800000000003</v>
      </c>
      <c r="F618" s="304">
        <v>1860.1355057591607</v>
      </c>
      <c r="H618" s="191"/>
      <c r="I618" s="343">
        <v>1825.4313000000002</v>
      </c>
      <c r="J618" s="343">
        <v>2031.2071920000003</v>
      </c>
      <c r="K618" s="343">
        <v>3982.7592000000004</v>
      </c>
      <c r="L618" s="344">
        <v>1617.0563057591605</v>
      </c>
    </row>
    <row r="619" spans="2:12">
      <c r="B619" s="276">
        <v>637000</v>
      </c>
      <c r="C619" s="334">
        <v>1716.7150000000001</v>
      </c>
      <c r="D619" s="334">
        <v>1910.2356000000002</v>
      </c>
      <c r="E619" s="276">
        <v>3745.56</v>
      </c>
      <c r="F619" s="304">
        <v>1863.0602471204172</v>
      </c>
      <c r="H619" s="191"/>
      <c r="I619" s="343">
        <v>1828.3014750000002</v>
      </c>
      <c r="J619" s="343">
        <v>2034.4009140000003</v>
      </c>
      <c r="K619" s="343">
        <v>3989.0214000000001</v>
      </c>
      <c r="L619" s="344">
        <v>1619.5988471204171</v>
      </c>
    </row>
    <row r="620" spans="2:12">
      <c r="B620" s="276">
        <v>638000</v>
      </c>
      <c r="C620" s="334">
        <v>1719.41</v>
      </c>
      <c r="D620" s="334">
        <v>1913.2344000000001</v>
      </c>
      <c r="E620" s="276">
        <v>3751.4400000000005</v>
      </c>
      <c r="F620" s="304">
        <v>1865.9849884816738</v>
      </c>
      <c r="H620" s="191"/>
      <c r="I620" s="343">
        <v>1831.17165</v>
      </c>
      <c r="J620" s="343">
        <v>2037.594636</v>
      </c>
      <c r="K620" s="343">
        <v>3995.2836000000007</v>
      </c>
      <c r="L620" s="344">
        <v>1622.1413884816736</v>
      </c>
    </row>
    <row r="621" spans="2:12">
      <c r="B621" s="276">
        <v>639000</v>
      </c>
      <c r="C621" s="334">
        <v>1722.1050000000002</v>
      </c>
      <c r="D621" s="334">
        <v>1916.2332000000004</v>
      </c>
      <c r="E621" s="276">
        <v>3757.32</v>
      </c>
      <c r="F621" s="304">
        <v>1868.9097298429303</v>
      </c>
      <c r="H621" s="191"/>
      <c r="I621" s="343">
        <v>1834.0418250000002</v>
      </c>
      <c r="J621" s="343">
        <v>2040.7883580000005</v>
      </c>
      <c r="K621" s="343">
        <v>4001.5458000000003</v>
      </c>
      <c r="L621" s="344">
        <v>1624.6839298429302</v>
      </c>
    </row>
    <row r="622" spans="2:12">
      <c r="B622" s="276">
        <v>640000</v>
      </c>
      <c r="C622" s="334">
        <v>1724.8000000000002</v>
      </c>
      <c r="D622" s="334">
        <v>1919.2320000000002</v>
      </c>
      <c r="E622" s="276">
        <v>3763.2000000000003</v>
      </c>
      <c r="F622" s="304">
        <v>1871.8344712041869</v>
      </c>
      <c r="H622" s="191"/>
      <c r="I622" s="343">
        <v>1836.9120000000003</v>
      </c>
      <c r="J622" s="343">
        <v>2043.9820800000002</v>
      </c>
      <c r="K622" s="343">
        <v>4007.8080000000004</v>
      </c>
      <c r="L622" s="344">
        <v>1627.2264712041867</v>
      </c>
    </row>
    <row r="623" spans="2:12">
      <c r="B623" s="276">
        <v>641000</v>
      </c>
      <c r="C623" s="334">
        <v>1727.4950000000001</v>
      </c>
      <c r="D623" s="334">
        <v>1922.2308</v>
      </c>
      <c r="E623" s="276">
        <v>3769.0800000000004</v>
      </c>
      <c r="F623" s="304">
        <v>1874.7592125654435</v>
      </c>
      <c r="H623" s="191"/>
      <c r="I623" s="343">
        <v>1839.7821750000001</v>
      </c>
      <c r="J623" s="343">
        <v>2047.175802</v>
      </c>
      <c r="K623" s="343">
        <v>4014.0702000000006</v>
      </c>
      <c r="L623" s="344">
        <v>1629.7690125654433</v>
      </c>
    </row>
    <row r="624" spans="2:12">
      <c r="B624" s="276">
        <v>642000</v>
      </c>
      <c r="C624" s="334">
        <v>1730.1900000000003</v>
      </c>
      <c r="D624" s="334">
        <v>1925.2296000000006</v>
      </c>
      <c r="E624" s="276">
        <v>3774.9600000000005</v>
      </c>
      <c r="F624" s="304">
        <v>1877.6839539267</v>
      </c>
      <c r="H624" s="191"/>
      <c r="I624" s="343">
        <v>1842.6523500000003</v>
      </c>
      <c r="J624" s="343">
        <v>2050.3695240000006</v>
      </c>
      <c r="K624" s="343">
        <v>4020.3324000000007</v>
      </c>
      <c r="L624" s="344">
        <v>1632.3115539266998</v>
      </c>
    </row>
    <row r="625" spans="2:12">
      <c r="B625" s="276">
        <v>643000</v>
      </c>
      <c r="C625" s="334">
        <v>1732.8850000000002</v>
      </c>
      <c r="D625" s="334">
        <v>1928.2284000000002</v>
      </c>
      <c r="E625" s="276">
        <v>3780.84</v>
      </c>
      <c r="F625" s="304">
        <v>1880.6086952879566</v>
      </c>
      <c r="H625" s="191"/>
      <c r="I625" s="343">
        <v>1845.5225250000003</v>
      </c>
      <c r="J625" s="343">
        <v>2053.5632460000002</v>
      </c>
      <c r="K625" s="343">
        <v>4026.5946000000004</v>
      </c>
      <c r="L625" s="344">
        <v>1634.8540952879564</v>
      </c>
    </row>
    <row r="626" spans="2:12">
      <c r="B626" s="276">
        <v>644000</v>
      </c>
      <c r="C626" s="334">
        <v>1735.5800000000002</v>
      </c>
      <c r="D626" s="334">
        <v>1931.2272</v>
      </c>
      <c r="E626" s="276">
        <v>3786.7200000000007</v>
      </c>
      <c r="F626" s="304">
        <v>1883.5334366492132</v>
      </c>
      <c r="H626" s="191"/>
      <c r="I626" s="343">
        <v>1848.3927000000001</v>
      </c>
      <c r="J626" s="343">
        <v>2056.7569680000001</v>
      </c>
      <c r="K626" s="343">
        <v>4032.8568000000009</v>
      </c>
      <c r="L626" s="344">
        <v>1637.396636649213</v>
      </c>
    </row>
    <row r="627" spans="2:12">
      <c r="B627" s="276">
        <v>645000</v>
      </c>
      <c r="C627" s="334">
        <v>1738.2750000000003</v>
      </c>
      <c r="D627" s="334">
        <v>1934.2260000000003</v>
      </c>
      <c r="E627" s="276">
        <v>3792.6000000000004</v>
      </c>
      <c r="F627" s="304">
        <v>1886.4581780104697</v>
      </c>
      <c r="H627" s="191"/>
      <c r="I627" s="343">
        <v>1851.2628750000003</v>
      </c>
      <c r="J627" s="343">
        <v>2059.9506900000006</v>
      </c>
      <c r="K627" s="343">
        <v>4039.1190000000006</v>
      </c>
      <c r="L627" s="344">
        <v>1639.9391780104695</v>
      </c>
    </row>
    <row r="628" spans="2:12">
      <c r="B628" s="276">
        <v>646000</v>
      </c>
      <c r="C628" s="334">
        <v>1740.9700000000003</v>
      </c>
      <c r="D628" s="334">
        <v>1937.2248000000002</v>
      </c>
      <c r="E628" s="276">
        <v>3798.48</v>
      </c>
      <c r="F628" s="304">
        <v>1889.3829193717258</v>
      </c>
      <c r="H628" s="191"/>
      <c r="I628" s="343">
        <v>1854.1330500000004</v>
      </c>
      <c r="J628" s="343">
        <v>2063.1444120000001</v>
      </c>
      <c r="K628" s="343">
        <v>4045.3811999999998</v>
      </c>
      <c r="L628" s="344">
        <v>1642.4817193717261</v>
      </c>
    </row>
    <row r="629" spans="2:12">
      <c r="B629" s="276">
        <v>647000</v>
      </c>
      <c r="C629" s="334">
        <v>1743.6650000000002</v>
      </c>
      <c r="D629" s="334">
        <v>1940.2236000000003</v>
      </c>
      <c r="E629" s="276">
        <v>3804.3600000000006</v>
      </c>
      <c r="F629" s="304">
        <v>1892.3076607329829</v>
      </c>
      <c r="H629" s="191"/>
      <c r="I629" s="343">
        <v>1857.0032250000002</v>
      </c>
      <c r="J629" s="343">
        <v>2066.3381340000001</v>
      </c>
      <c r="K629" s="343">
        <v>4051.6434000000008</v>
      </c>
      <c r="L629" s="344">
        <v>1645.0242607329826</v>
      </c>
    </row>
    <row r="630" spans="2:12">
      <c r="B630" s="276">
        <v>648000</v>
      </c>
      <c r="C630" s="334">
        <v>1746.3600000000004</v>
      </c>
      <c r="D630" s="334">
        <v>1943.2224000000003</v>
      </c>
      <c r="E630" s="276">
        <v>3810.2400000000002</v>
      </c>
      <c r="F630" s="304">
        <v>1895.232402094239</v>
      </c>
      <c r="H630" s="191"/>
      <c r="I630" s="343">
        <v>1859.8734000000004</v>
      </c>
      <c r="J630" s="343">
        <v>2069.5318560000005</v>
      </c>
      <c r="K630" s="343">
        <v>4057.9056</v>
      </c>
      <c r="L630" s="344">
        <v>1647.5668020942392</v>
      </c>
    </row>
    <row r="631" spans="2:12">
      <c r="B631" s="276">
        <v>649000</v>
      </c>
      <c r="C631" s="334">
        <v>1749.0550000000003</v>
      </c>
      <c r="D631" s="334">
        <v>1946.2212</v>
      </c>
      <c r="E631" s="276">
        <v>3816.1200000000003</v>
      </c>
      <c r="F631" s="304">
        <v>1898.1571434554955</v>
      </c>
      <c r="H631" s="191"/>
      <c r="I631" s="343">
        <v>1862.7435750000004</v>
      </c>
      <c r="J631" s="343">
        <v>2072.725578</v>
      </c>
      <c r="K631" s="343">
        <v>4064.1678000000002</v>
      </c>
      <c r="L631" s="344">
        <v>1650.1093434554957</v>
      </c>
    </row>
    <row r="632" spans="2:12">
      <c r="B632" s="276">
        <v>650000</v>
      </c>
      <c r="C632" s="334">
        <v>1751.7500000000002</v>
      </c>
      <c r="D632" s="334">
        <v>1949.2200000000003</v>
      </c>
      <c r="E632" s="276">
        <v>3822.0000000000005</v>
      </c>
      <c r="F632" s="304">
        <v>1901.0818848167521</v>
      </c>
      <c r="H632" s="191"/>
      <c r="I632" s="343">
        <v>1865.6137500000002</v>
      </c>
      <c r="J632" s="343">
        <v>2075.9193000000005</v>
      </c>
      <c r="K632" s="343">
        <v>4070.4300000000003</v>
      </c>
      <c r="L632" s="344">
        <v>1652.6518848167523</v>
      </c>
    </row>
    <row r="633" spans="2:12">
      <c r="B633" s="276">
        <v>651000</v>
      </c>
      <c r="C633" s="334">
        <v>1754.4450000000004</v>
      </c>
      <c r="D633" s="334">
        <v>1952.2188000000003</v>
      </c>
      <c r="E633" s="276">
        <v>3827.8800000000006</v>
      </c>
      <c r="F633" s="304">
        <v>1904.0066261780087</v>
      </c>
      <c r="H633" s="191"/>
      <c r="I633" s="343">
        <v>1868.4839250000005</v>
      </c>
      <c r="J633" s="343">
        <v>2079.1130220000005</v>
      </c>
      <c r="K633" s="343">
        <v>4076.6922000000004</v>
      </c>
      <c r="L633" s="344">
        <v>1655.1944261780088</v>
      </c>
    </row>
    <row r="634" spans="2:12">
      <c r="B634" s="276">
        <v>652000</v>
      </c>
      <c r="C634" s="334">
        <v>1757.14</v>
      </c>
      <c r="D634" s="334">
        <v>1955.2176000000002</v>
      </c>
      <c r="E634" s="276">
        <v>3833.76</v>
      </c>
      <c r="F634" s="304">
        <v>1906.9313675392652</v>
      </c>
      <c r="H634" s="191"/>
      <c r="I634" s="343">
        <v>1871.3541</v>
      </c>
      <c r="J634" s="343">
        <v>2082.306744</v>
      </c>
      <c r="K634" s="343">
        <v>4082.9544000000001</v>
      </c>
      <c r="L634" s="344">
        <v>1657.7369675392654</v>
      </c>
    </row>
    <row r="635" spans="2:12">
      <c r="B635" s="276">
        <v>653000</v>
      </c>
      <c r="C635" s="334">
        <v>1759.835</v>
      </c>
      <c r="D635" s="334">
        <v>1958.2164000000002</v>
      </c>
      <c r="E635" s="276">
        <v>3839.6400000000008</v>
      </c>
      <c r="F635" s="304">
        <v>1909.8561089005218</v>
      </c>
      <c r="H635" s="191"/>
      <c r="I635" s="343">
        <v>1874.224275</v>
      </c>
      <c r="J635" s="343">
        <v>2085.5004660000004</v>
      </c>
      <c r="K635" s="343">
        <v>4089.2166000000007</v>
      </c>
      <c r="L635" s="344">
        <v>1660.2795089005219</v>
      </c>
    </row>
    <row r="636" spans="2:12">
      <c r="B636" s="276">
        <v>654000</v>
      </c>
      <c r="C636" s="334">
        <v>1762.53</v>
      </c>
      <c r="D636" s="334">
        <v>1961.2151999999999</v>
      </c>
      <c r="E636" s="276">
        <v>3845.5200000000004</v>
      </c>
      <c r="F636" s="304">
        <v>1912.7808502617784</v>
      </c>
      <c r="H636" s="191"/>
      <c r="I636" s="343">
        <v>1877.0944500000001</v>
      </c>
      <c r="J636" s="343">
        <v>2088.6941879999999</v>
      </c>
      <c r="K636" s="343">
        <v>4095.4788000000003</v>
      </c>
      <c r="L636" s="344">
        <v>1662.8220502617785</v>
      </c>
    </row>
    <row r="637" spans="2:12">
      <c r="B637" s="276">
        <v>655000</v>
      </c>
      <c r="C637" s="334">
        <v>1765.2250000000001</v>
      </c>
      <c r="D637" s="334">
        <v>1964.2140000000002</v>
      </c>
      <c r="E637" s="276">
        <v>3851.4</v>
      </c>
      <c r="F637" s="304">
        <v>1915.7055916230349</v>
      </c>
      <c r="H637" s="191"/>
      <c r="I637" s="343">
        <v>1879.9646250000001</v>
      </c>
      <c r="J637" s="343">
        <v>2091.8879100000004</v>
      </c>
      <c r="K637" s="343">
        <v>4101.741</v>
      </c>
      <c r="L637" s="344">
        <v>1665.364591623035</v>
      </c>
    </row>
    <row r="638" spans="2:12">
      <c r="B638" s="276">
        <v>656000</v>
      </c>
      <c r="C638" s="334">
        <v>1767.92</v>
      </c>
      <c r="D638" s="334">
        <v>1967.2128</v>
      </c>
      <c r="E638" s="276">
        <v>3857.2800000000007</v>
      </c>
      <c r="F638" s="304">
        <v>1918.630332984292</v>
      </c>
      <c r="H638" s="191"/>
      <c r="I638" s="343">
        <v>1882.8348000000001</v>
      </c>
      <c r="J638" s="343">
        <v>2095.0816319999999</v>
      </c>
      <c r="K638" s="343">
        <v>4108.003200000001</v>
      </c>
      <c r="L638" s="344">
        <v>1667.9071329842916</v>
      </c>
    </row>
    <row r="639" spans="2:12">
      <c r="B639" s="276">
        <v>657000</v>
      </c>
      <c r="C639" s="334">
        <v>1770.615</v>
      </c>
      <c r="D639" s="334">
        <v>1970.2116000000003</v>
      </c>
      <c r="E639" s="276">
        <v>3863.1600000000003</v>
      </c>
      <c r="F639" s="304">
        <v>1921.5550743455481</v>
      </c>
      <c r="H639" s="191"/>
      <c r="I639" s="343">
        <v>1885.7049750000001</v>
      </c>
      <c r="J639" s="343">
        <v>2098.2753540000003</v>
      </c>
      <c r="K639" s="343">
        <v>4114.2654000000002</v>
      </c>
      <c r="L639" s="344">
        <v>1670.4496743455481</v>
      </c>
    </row>
    <row r="640" spans="2:12">
      <c r="B640" s="276">
        <v>658000</v>
      </c>
      <c r="C640" s="334">
        <v>1773.3100000000002</v>
      </c>
      <c r="D640" s="334">
        <v>1973.2104000000002</v>
      </c>
      <c r="E640" s="276">
        <v>3869.0400000000004</v>
      </c>
      <c r="F640" s="304">
        <v>1924.4798157068046</v>
      </c>
      <c r="H640" s="191"/>
      <c r="I640" s="343">
        <v>1888.5751500000001</v>
      </c>
      <c r="J640" s="343">
        <v>2101.4690760000003</v>
      </c>
      <c r="K640" s="343">
        <v>4120.5276000000003</v>
      </c>
      <c r="L640" s="344">
        <v>1672.9922157068047</v>
      </c>
    </row>
    <row r="641" spans="2:12">
      <c r="B641" s="276">
        <v>659000</v>
      </c>
      <c r="C641" s="334">
        <v>1776.0050000000001</v>
      </c>
      <c r="D641" s="334">
        <v>1976.2092</v>
      </c>
      <c r="E641" s="276">
        <v>3874.92</v>
      </c>
      <c r="F641" s="304">
        <v>1927.4045570680612</v>
      </c>
      <c r="H641" s="191"/>
      <c r="I641" s="343">
        <v>1891.4453250000001</v>
      </c>
      <c r="J641" s="343">
        <v>2104.6627979999998</v>
      </c>
      <c r="K641" s="343">
        <v>4126.7898000000005</v>
      </c>
      <c r="L641" s="344">
        <v>1675.5347570680608</v>
      </c>
    </row>
    <row r="642" spans="2:12">
      <c r="B642" s="276">
        <v>660000</v>
      </c>
      <c r="C642" s="334">
        <v>1778.7</v>
      </c>
      <c r="D642" s="334">
        <v>1979.2080000000003</v>
      </c>
      <c r="E642" s="276">
        <v>3880.8000000000006</v>
      </c>
      <c r="F642" s="304">
        <v>1930.3292984293173</v>
      </c>
      <c r="H642" s="191"/>
      <c r="I642" s="343">
        <v>1894.3155000000002</v>
      </c>
      <c r="J642" s="343">
        <v>2107.8565200000003</v>
      </c>
      <c r="K642" s="343">
        <v>4133.0520000000006</v>
      </c>
      <c r="L642" s="344">
        <v>1678.0772984293174</v>
      </c>
    </row>
    <row r="643" spans="2:12">
      <c r="B643" s="276">
        <v>661000</v>
      </c>
      <c r="C643" s="334">
        <v>1781.3950000000002</v>
      </c>
      <c r="D643" s="334">
        <v>1982.2068000000002</v>
      </c>
      <c r="E643" s="276">
        <v>3886.6800000000003</v>
      </c>
      <c r="F643" s="304">
        <v>1933.2540397905743</v>
      </c>
      <c r="H643" s="191"/>
      <c r="I643" s="343">
        <v>1897.1856750000002</v>
      </c>
      <c r="J643" s="343">
        <v>2111.0502420000003</v>
      </c>
      <c r="K643" s="343">
        <v>4139.3142000000007</v>
      </c>
      <c r="L643" s="344">
        <v>1680.6198397905739</v>
      </c>
    </row>
    <row r="644" spans="2:12">
      <c r="B644" s="276">
        <v>662000</v>
      </c>
      <c r="C644" s="334">
        <v>1784.0900000000001</v>
      </c>
      <c r="D644" s="334">
        <v>1985.2056000000002</v>
      </c>
      <c r="E644" s="276">
        <v>3892.56</v>
      </c>
      <c r="F644" s="304">
        <v>1936.1787811518304</v>
      </c>
      <c r="H644" s="191"/>
      <c r="I644" s="343">
        <v>1900.0558500000002</v>
      </c>
      <c r="J644" s="343">
        <v>2114.2439640000002</v>
      </c>
      <c r="K644" s="343">
        <v>4145.5763999999999</v>
      </c>
      <c r="L644" s="344">
        <v>1683.1623811518305</v>
      </c>
    </row>
    <row r="645" spans="2:12">
      <c r="B645" s="276">
        <v>663000</v>
      </c>
      <c r="C645" s="334">
        <v>1786.7850000000001</v>
      </c>
      <c r="D645" s="334">
        <v>1988.2043999999999</v>
      </c>
      <c r="E645" s="276">
        <v>3898.4400000000005</v>
      </c>
      <c r="F645" s="304">
        <v>1939.1035225130875</v>
      </c>
      <c r="H645" s="191"/>
      <c r="I645" s="343">
        <v>1902.9260250000002</v>
      </c>
      <c r="J645" s="343">
        <v>2117.4376859999998</v>
      </c>
      <c r="K645" s="343">
        <v>4151.838600000001</v>
      </c>
      <c r="L645" s="344">
        <v>1685.704922513087</v>
      </c>
    </row>
    <row r="646" spans="2:12">
      <c r="B646" s="276">
        <v>664000</v>
      </c>
      <c r="C646" s="334">
        <v>1789.4800000000002</v>
      </c>
      <c r="D646" s="334">
        <v>1991.2032000000002</v>
      </c>
      <c r="E646" s="276">
        <v>3904.32</v>
      </c>
      <c r="F646" s="304">
        <v>1942.0282638743436</v>
      </c>
      <c r="H646" s="191"/>
      <c r="I646" s="343">
        <v>1905.7962000000002</v>
      </c>
      <c r="J646" s="343">
        <v>2120.6314080000002</v>
      </c>
      <c r="K646" s="343">
        <v>4158.1008000000002</v>
      </c>
      <c r="L646" s="344">
        <v>1688.2474638743436</v>
      </c>
    </row>
    <row r="647" spans="2:12">
      <c r="B647" s="276">
        <v>665000</v>
      </c>
      <c r="C647" s="334">
        <v>1792.1750000000002</v>
      </c>
      <c r="D647" s="334">
        <v>1994.2020000000002</v>
      </c>
      <c r="E647" s="276">
        <v>3910.2000000000003</v>
      </c>
      <c r="F647" s="304">
        <v>1944.9530052356001</v>
      </c>
      <c r="H647" s="191"/>
      <c r="I647" s="343">
        <v>1908.6663750000002</v>
      </c>
      <c r="J647" s="343">
        <v>2123.8251300000002</v>
      </c>
      <c r="K647" s="343">
        <v>4164.3630000000003</v>
      </c>
      <c r="L647" s="344">
        <v>1690.7900052356001</v>
      </c>
    </row>
    <row r="648" spans="2:12">
      <c r="B648" s="276">
        <v>666000</v>
      </c>
      <c r="C648" s="334">
        <v>1794.8700000000001</v>
      </c>
      <c r="D648" s="334">
        <v>1997.2007999999998</v>
      </c>
      <c r="E648" s="276">
        <v>3916.0800000000004</v>
      </c>
      <c r="F648" s="304">
        <v>1947.8777465968567</v>
      </c>
      <c r="H648" s="191"/>
      <c r="I648" s="343">
        <v>1911.53655</v>
      </c>
      <c r="J648" s="343">
        <v>2127.0188519999997</v>
      </c>
      <c r="K648" s="343">
        <v>4170.6252000000004</v>
      </c>
      <c r="L648" s="344">
        <v>1693.3325465968567</v>
      </c>
    </row>
    <row r="649" spans="2:12">
      <c r="B649" s="276">
        <v>667000</v>
      </c>
      <c r="C649" s="334">
        <v>1797.5650000000003</v>
      </c>
      <c r="D649" s="334">
        <v>2000.1996000000006</v>
      </c>
      <c r="E649" s="276">
        <v>3921.9600000000005</v>
      </c>
      <c r="F649" s="304">
        <v>1950.8024879581133</v>
      </c>
      <c r="H649" s="191"/>
      <c r="I649" s="343">
        <v>1914.4067250000003</v>
      </c>
      <c r="J649" s="343">
        <v>2130.2125740000006</v>
      </c>
      <c r="K649" s="343">
        <v>4176.8874000000005</v>
      </c>
      <c r="L649" s="344">
        <v>1695.8750879581132</v>
      </c>
    </row>
    <row r="650" spans="2:12">
      <c r="B650" s="276">
        <v>668000</v>
      </c>
      <c r="C650" s="334">
        <v>1800.2600000000002</v>
      </c>
      <c r="D650" s="334">
        <v>2003.1984000000002</v>
      </c>
      <c r="E650" s="276">
        <v>3927.84</v>
      </c>
      <c r="F650" s="304">
        <v>1953.7272293193694</v>
      </c>
      <c r="H650" s="191"/>
      <c r="I650" s="343">
        <v>1917.2769000000003</v>
      </c>
      <c r="J650" s="343">
        <v>2133.4062960000001</v>
      </c>
      <c r="K650" s="343">
        <v>4183.1495999999997</v>
      </c>
      <c r="L650" s="344">
        <v>1698.4176293193698</v>
      </c>
    </row>
    <row r="651" spans="2:12">
      <c r="B651" s="276">
        <v>669000</v>
      </c>
      <c r="C651" s="334">
        <v>1802.9550000000002</v>
      </c>
      <c r="D651" s="334">
        <v>2006.1971999999998</v>
      </c>
      <c r="E651" s="276">
        <v>3933.7200000000007</v>
      </c>
      <c r="F651" s="304">
        <v>1956.6519706806264</v>
      </c>
      <c r="H651" s="191"/>
      <c r="I651" s="343">
        <v>1920.1470750000001</v>
      </c>
      <c r="J651" s="343">
        <v>2136.6000179999996</v>
      </c>
      <c r="K651" s="343">
        <v>4189.4118000000008</v>
      </c>
      <c r="L651" s="344">
        <v>1700.9601706806263</v>
      </c>
    </row>
    <row r="652" spans="2:12">
      <c r="B652" s="276">
        <v>670000</v>
      </c>
      <c r="C652" s="334">
        <v>1805.6500000000003</v>
      </c>
      <c r="D652" s="334">
        <v>2009.1960000000006</v>
      </c>
      <c r="E652" s="276">
        <v>3939.6000000000004</v>
      </c>
      <c r="F652" s="304">
        <v>1959.5767120418825</v>
      </c>
      <c r="H652" s="191"/>
      <c r="I652" s="343">
        <v>1923.0172500000003</v>
      </c>
      <c r="J652" s="343">
        <v>2139.7937400000005</v>
      </c>
      <c r="K652" s="343">
        <v>4195.674</v>
      </c>
      <c r="L652" s="344">
        <v>1703.5027120418829</v>
      </c>
    </row>
    <row r="653" spans="2:12">
      <c r="B653" s="276">
        <v>671000</v>
      </c>
      <c r="C653" s="334">
        <v>1808.3450000000003</v>
      </c>
      <c r="D653" s="334">
        <v>2012.1948000000002</v>
      </c>
      <c r="E653" s="276">
        <v>3945.48</v>
      </c>
      <c r="F653" s="304">
        <v>1962.5014534031395</v>
      </c>
      <c r="H653" s="191"/>
      <c r="I653" s="343">
        <v>1925.8874250000003</v>
      </c>
      <c r="J653" s="343">
        <v>2142.9874620000001</v>
      </c>
      <c r="K653" s="343">
        <v>4201.9362000000001</v>
      </c>
      <c r="L653" s="344">
        <v>1706.0452534031394</v>
      </c>
    </row>
    <row r="654" spans="2:12">
      <c r="B654" s="276">
        <v>672000</v>
      </c>
      <c r="C654" s="334">
        <v>1811.0400000000002</v>
      </c>
      <c r="D654" s="334">
        <v>2015.1936000000003</v>
      </c>
      <c r="E654" s="276">
        <v>3951.3600000000006</v>
      </c>
      <c r="F654" s="304">
        <v>1965.4261947643956</v>
      </c>
      <c r="H654" s="191"/>
      <c r="I654" s="343">
        <v>1928.7576000000001</v>
      </c>
      <c r="J654" s="343">
        <v>2146.1811840000005</v>
      </c>
      <c r="K654" s="343">
        <v>4208.1984000000002</v>
      </c>
      <c r="L654" s="344">
        <v>1708.587794764396</v>
      </c>
    </row>
    <row r="655" spans="2:12">
      <c r="B655" s="276">
        <v>673000</v>
      </c>
      <c r="C655" s="334">
        <v>1813.7350000000004</v>
      </c>
      <c r="D655" s="334">
        <v>2018.1924000000001</v>
      </c>
      <c r="E655" s="276">
        <v>3957.2400000000002</v>
      </c>
      <c r="F655" s="304">
        <v>1968.3509361256527</v>
      </c>
      <c r="H655" s="191"/>
      <c r="I655" s="343">
        <v>1931.6277750000004</v>
      </c>
      <c r="J655" s="343">
        <v>2149.374906</v>
      </c>
      <c r="K655" s="343">
        <v>4214.4606000000003</v>
      </c>
      <c r="L655" s="344">
        <v>1711.1303361256525</v>
      </c>
    </row>
    <row r="656" spans="2:12">
      <c r="B656" s="276">
        <v>674000</v>
      </c>
      <c r="C656" s="334">
        <v>1816.4300000000003</v>
      </c>
      <c r="D656" s="334">
        <v>2021.1912000000002</v>
      </c>
      <c r="E656" s="276">
        <v>3963.1200000000003</v>
      </c>
      <c r="F656" s="304">
        <v>1971.2756774869092</v>
      </c>
      <c r="H656" s="191"/>
      <c r="I656" s="343">
        <v>1934.4979500000004</v>
      </c>
      <c r="J656" s="343">
        <v>2152.568628</v>
      </c>
      <c r="K656" s="343">
        <v>4220.7228000000005</v>
      </c>
      <c r="L656" s="344">
        <v>1713.6728774869091</v>
      </c>
    </row>
    <row r="657" spans="2:12">
      <c r="B657" s="276">
        <v>675000</v>
      </c>
      <c r="C657" s="334">
        <v>1819.1250000000002</v>
      </c>
      <c r="D657" s="334">
        <v>2024.1900000000003</v>
      </c>
      <c r="E657" s="276">
        <v>3969.0000000000005</v>
      </c>
      <c r="F657" s="304">
        <v>1974.2004188481658</v>
      </c>
      <c r="H657" s="191"/>
      <c r="I657" s="343">
        <v>1937.3681250000002</v>
      </c>
      <c r="J657" s="343">
        <v>2155.7623500000004</v>
      </c>
      <c r="K657" s="343">
        <v>4226.9850000000006</v>
      </c>
      <c r="L657" s="344">
        <v>1716.2154188481657</v>
      </c>
    </row>
    <row r="658" spans="2:12">
      <c r="B658" s="276">
        <v>676000</v>
      </c>
      <c r="C658" s="334">
        <v>1821.8200000000004</v>
      </c>
      <c r="D658" s="334">
        <v>2027.1888000000001</v>
      </c>
      <c r="E658" s="276">
        <v>3974.8800000000006</v>
      </c>
      <c r="F658" s="304">
        <v>1977.1251602094223</v>
      </c>
      <c r="H658" s="191"/>
      <c r="I658" s="343">
        <v>1940.2383000000004</v>
      </c>
      <c r="J658" s="343">
        <v>2158.9560719999999</v>
      </c>
      <c r="K658" s="343">
        <v>4233.2472000000007</v>
      </c>
      <c r="L658" s="344">
        <v>1718.7579602094222</v>
      </c>
    </row>
    <row r="659" spans="2:12">
      <c r="B659" s="276">
        <v>677000</v>
      </c>
      <c r="C659" s="334">
        <v>1824.5150000000001</v>
      </c>
      <c r="D659" s="334">
        <v>2030.1876000000004</v>
      </c>
      <c r="E659" s="276">
        <v>3980.76</v>
      </c>
      <c r="F659" s="304">
        <v>1980.0499015706785</v>
      </c>
      <c r="H659" s="191"/>
      <c r="I659" s="343">
        <v>1943.108475</v>
      </c>
      <c r="J659" s="343">
        <v>2162.1497940000004</v>
      </c>
      <c r="K659" s="343">
        <v>4239.5093999999999</v>
      </c>
      <c r="L659" s="344">
        <v>1721.3005015706788</v>
      </c>
    </row>
    <row r="660" spans="2:12">
      <c r="B660" s="276">
        <v>678000</v>
      </c>
      <c r="C660" s="334">
        <v>1827.21</v>
      </c>
      <c r="D660" s="334">
        <v>2033.1864000000003</v>
      </c>
      <c r="E660" s="276">
        <v>3986.6400000000008</v>
      </c>
      <c r="F660" s="304">
        <v>1982.9746429319355</v>
      </c>
      <c r="H660" s="191"/>
      <c r="I660" s="343">
        <v>1945.97865</v>
      </c>
      <c r="J660" s="343">
        <v>2165.3435160000004</v>
      </c>
      <c r="K660" s="343">
        <v>4245.7716000000009</v>
      </c>
      <c r="L660" s="344">
        <v>1723.8430429319353</v>
      </c>
    </row>
    <row r="661" spans="2:12">
      <c r="B661" s="276">
        <v>679000</v>
      </c>
      <c r="C661" s="334">
        <v>1829.905</v>
      </c>
      <c r="D661" s="334">
        <v>2036.1852000000001</v>
      </c>
      <c r="E661" s="276">
        <v>3992.5200000000004</v>
      </c>
      <c r="F661" s="304">
        <v>1985.8993842931916</v>
      </c>
      <c r="H661" s="191"/>
      <c r="I661" s="343">
        <v>1948.848825</v>
      </c>
      <c r="J661" s="343">
        <v>2168.5372380000003</v>
      </c>
      <c r="K661" s="343">
        <v>4252.0338000000002</v>
      </c>
      <c r="L661" s="344">
        <v>1726.3855842931919</v>
      </c>
    </row>
    <row r="662" spans="2:12">
      <c r="B662" s="276">
        <v>680000</v>
      </c>
      <c r="C662" s="334">
        <v>1832.6000000000001</v>
      </c>
      <c r="D662" s="334">
        <v>2039.1840000000002</v>
      </c>
      <c r="E662" s="276">
        <v>3998.4</v>
      </c>
      <c r="F662" s="304">
        <v>1988.8241256544486</v>
      </c>
      <c r="H662" s="191"/>
      <c r="I662" s="343">
        <v>1951.7190000000001</v>
      </c>
      <c r="J662" s="343">
        <v>2171.7309600000003</v>
      </c>
      <c r="K662" s="343">
        <v>4258.2960000000003</v>
      </c>
      <c r="L662" s="344">
        <v>1728.9281256544484</v>
      </c>
    </row>
    <row r="663" spans="2:12">
      <c r="B663" s="276">
        <v>681000</v>
      </c>
      <c r="C663" s="334">
        <v>1835.2950000000001</v>
      </c>
      <c r="D663" s="334">
        <v>2042.1828000000003</v>
      </c>
      <c r="E663" s="276">
        <v>4004.2800000000007</v>
      </c>
      <c r="F663" s="304">
        <v>1991.7488670157047</v>
      </c>
      <c r="H663" s="191"/>
      <c r="I663" s="343">
        <v>1954.5891750000001</v>
      </c>
      <c r="J663" s="343">
        <v>2174.9246820000003</v>
      </c>
      <c r="K663" s="343">
        <v>4264.5582000000004</v>
      </c>
      <c r="L663" s="344">
        <v>1731.470667015705</v>
      </c>
    </row>
    <row r="664" spans="2:12">
      <c r="B664" s="276">
        <v>682000</v>
      </c>
      <c r="C664" s="334">
        <v>1837.99</v>
      </c>
      <c r="D664" s="334">
        <v>2045.1816000000006</v>
      </c>
      <c r="E664" s="276">
        <v>4010.1600000000003</v>
      </c>
      <c r="F664" s="304">
        <v>1994.6736083769617</v>
      </c>
      <c r="H664" s="191"/>
      <c r="I664" s="343">
        <v>1957.4593500000001</v>
      </c>
      <c r="J664" s="343">
        <v>2178.1184040000007</v>
      </c>
      <c r="K664" s="343">
        <v>4270.8204000000005</v>
      </c>
      <c r="L664" s="344">
        <v>1734.0132083769615</v>
      </c>
    </row>
    <row r="665" spans="2:12">
      <c r="B665" s="276">
        <v>683000</v>
      </c>
      <c r="C665" s="334">
        <v>1840.6850000000002</v>
      </c>
      <c r="D665" s="334">
        <v>2048.1804000000002</v>
      </c>
      <c r="E665" s="276">
        <v>4016.0400000000004</v>
      </c>
      <c r="F665" s="304">
        <v>1997.5983497382183</v>
      </c>
      <c r="H665" s="191"/>
      <c r="I665" s="343">
        <v>1960.3295250000001</v>
      </c>
      <c r="J665" s="343">
        <v>2181.3121260000003</v>
      </c>
      <c r="K665" s="343">
        <v>4277.0826000000006</v>
      </c>
      <c r="L665" s="344">
        <v>1736.5557497382181</v>
      </c>
    </row>
    <row r="666" spans="2:12">
      <c r="B666" s="276">
        <v>684000</v>
      </c>
      <c r="C666" s="334">
        <v>1843.38</v>
      </c>
      <c r="D666" s="334">
        <v>2051.1792</v>
      </c>
      <c r="E666" s="276">
        <v>4021.9200000000005</v>
      </c>
      <c r="F666" s="304">
        <v>2000.5230910994749</v>
      </c>
      <c r="H666" s="191"/>
      <c r="I666" s="343">
        <v>1963.1997000000001</v>
      </c>
      <c r="J666" s="343">
        <v>2184.5058480000002</v>
      </c>
      <c r="K666" s="343">
        <v>4283.3448000000008</v>
      </c>
      <c r="L666" s="344">
        <v>1739.0982910994746</v>
      </c>
    </row>
    <row r="667" spans="2:12">
      <c r="B667" s="276">
        <v>685000</v>
      </c>
      <c r="C667" s="334">
        <v>1846.075</v>
      </c>
      <c r="D667" s="334">
        <v>2054.1780000000003</v>
      </c>
      <c r="E667" s="276">
        <v>4027.8000000000006</v>
      </c>
      <c r="F667" s="304">
        <v>2003.4478324607312</v>
      </c>
      <c r="H667" s="191"/>
      <c r="I667" s="343">
        <v>1966.0698750000001</v>
      </c>
      <c r="J667" s="343">
        <v>2187.6995700000002</v>
      </c>
      <c r="K667" s="343">
        <v>4289.6070000000009</v>
      </c>
      <c r="L667" s="344">
        <v>1741.640832460731</v>
      </c>
    </row>
    <row r="668" spans="2:12">
      <c r="B668" s="276">
        <v>686000</v>
      </c>
      <c r="C668" s="334">
        <v>1848.7700000000002</v>
      </c>
      <c r="D668" s="334">
        <v>2057.1768000000002</v>
      </c>
      <c r="E668" s="276">
        <v>4033.6800000000003</v>
      </c>
      <c r="F668" s="304">
        <v>2006.3725738219873</v>
      </c>
      <c r="H668" s="191"/>
      <c r="I668" s="343">
        <v>1968.9400500000002</v>
      </c>
      <c r="J668" s="343">
        <v>2190.8932920000002</v>
      </c>
      <c r="K668" s="343">
        <v>4295.8692000000001</v>
      </c>
      <c r="L668" s="344">
        <v>1744.1833738219875</v>
      </c>
    </row>
    <row r="669" spans="2:12">
      <c r="B669" s="276">
        <v>687000</v>
      </c>
      <c r="C669" s="334">
        <v>1851.4650000000001</v>
      </c>
      <c r="D669" s="334">
        <v>2060.1756</v>
      </c>
      <c r="E669" s="276">
        <v>4039.56</v>
      </c>
      <c r="F669" s="304">
        <v>2009.2973151832443</v>
      </c>
      <c r="H669" s="191"/>
      <c r="I669" s="343">
        <v>1971.8102250000002</v>
      </c>
      <c r="J669" s="343">
        <v>2194.0870140000002</v>
      </c>
      <c r="K669" s="343">
        <v>4302.1314000000002</v>
      </c>
      <c r="L669" s="344">
        <v>1746.7259151832441</v>
      </c>
    </row>
    <row r="670" spans="2:12">
      <c r="B670" s="276">
        <v>688000</v>
      </c>
      <c r="C670" s="334">
        <v>1854.16</v>
      </c>
      <c r="D670" s="334">
        <v>2063.1744000000003</v>
      </c>
      <c r="E670" s="276">
        <v>4045.4400000000005</v>
      </c>
      <c r="F670" s="304">
        <v>2012.2220565445004</v>
      </c>
      <c r="H670" s="191"/>
      <c r="I670" s="343">
        <v>1974.6804000000002</v>
      </c>
      <c r="J670" s="343">
        <v>2197.2807360000002</v>
      </c>
      <c r="K670" s="343">
        <v>4308.3936000000003</v>
      </c>
      <c r="L670" s="344">
        <v>1749.2684565445006</v>
      </c>
    </row>
    <row r="671" spans="2:12">
      <c r="B671" s="276">
        <v>689000</v>
      </c>
      <c r="C671" s="334">
        <v>1856.8550000000002</v>
      </c>
      <c r="D671" s="334">
        <v>2066.1732000000002</v>
      </c>
      <c r="E671" s="276">
        <v>4051.32</v>
      </c>
      <c r="F671" s="304">
        <v>2015.1467979057575</v>
      </c>
      <c r="H671" s="191"/>
      <c r="I671" s="343">
        <v>1977.5505750000002</v>
      </c>
      <c r="J671" s="343">
        <v>2200.4744580000001</v>
      </c>
      <c r="K671" s="343">
        <v>4314.6558000000005</v>
      </c>
      <c r="L671" s="344">
        <v>1751.8109979057572</v>
      </c>
    </row>
    <row r="672" spans="2:12">
      <c r="B672" s="276">
        <v>690000</v>
      </c>
      <c r="C672" s="334">
        <v>1859.5500000000002</v>
      </c>
      <c r="D672" s="334">
        <v>2069.172</v>
      </c>
      <c r="E672" s="276">
        <v>4057.2000000000003</v>
      </c>
      <c r="F672" s="304">
        <v>2018.071539267014</v>
      </c>
      <c r="H672" s="191"/>
      <c r="I672" s="343">
        <v>1980.4207500000002</v>
      </c>
      <c r="J672" s="343">
        <v>2203.6681800000001</v>
      </c>
      <c r="K672" s="343">
        <v>4320.9180000000006</v>
      </c>
      <c r="L672" s="344">
        <v>1754.3535392670137</v>
      </c>
    </row>
    <row r="673" spans="2:12">
      <c r="B673" s="276">
        <v>691000</v>
      </c>
      <c r="C673" s="334">
        <v>1862.2450000000001</v>
      </c>
      <c r="D673" s="334">
        <v>2072.1707999999999</v>
      </c>
      <c r="E673" s="276">
        <v>4063.0800000000004</v>
      </c>
      <c r="F673" s="304">
        <v>2020.9962806282706</v>
      </c>
      <c r="H673" s="191"/>
      <c r="I673" s="343">
        <v>1983.2909250000002</v>
      </c>
      <c r="J673" s="343">
        <v>2206.8619019999996</v>
      </c>
      <c r="K673" s="343">
        <v>4327.1802000000007</v>
      </c>
      <c r="L673" s="344">
        <v>1756.8960806282703</v>
      </c>
    </row>
    <row r="674" spans="2:12">
      <c r="B674" s="276">
        <v>692000</v>
      </c>
      <c r="C674" s="334">
        <v>1864.9400000000003</v>
      </c>
      <c r="D674" s="334">
        <v>2075.1696000000006</v>
      </c>
      <c r="E674" s="276">
        <v>4068.9600000000005</v>
      </c>
      <c r="F674" s="304">
        <v>2023.9210219895272</v>
      </c>
      <c r="H674" s="191"/>
      <c r="I674" s="343">
        <v>1986.1611000000003</v>
      </c>
      <c r="J674" s="343">
        <v>2210.0556240000005</v>
      </c>
      <c r="K674" s="343">
        <v>4333.4424000000008</v>
      </c>
      <c r="L674" s="344">
        <v>1759.4386219895268</v>
      </c>
    </row>
    <row r="675" spans="2:12">
      <c r="B675" s="276">
        <v>693000</v>
      </c>
      <c r="C675" s="334">
        <v>1867.6350000000002</v>
      </c>
      <c r="D675" s="334">
        <v>2078.1684</v>
      </c>
      <c r="E675" s="276">
        <v>4074.84</v>
      </c>
      <c r="F675" s="304">
        <v>2026.8457633507833</v>
      </c>
      <c r="H675" s="191"/>
      <c r="I675" s="343">
        <v>1989.0312750000003</v>
      </c>
      <c r="J675" s="343">
        <v>2213.2493460000001</v>
      </c>
      <c r="K675" s="343">
        <v>4339.7046</v>
      </c>
      <c r="L675" s="344">
        <v>1761.9811633507834</v>
      </c>
    </row>
    <row r="676" spans="2:12">
      <c r="B676" s="276">
        <v>694000</v>
      </c>
      <c r="C676" s="334">
        <v>1870.3300000000002</v>
      </c>
      <c r="D676" s="334">
        <v>2081.1671999999999</v>
      </c>
      <c r="E676" s="276">
        <v>4080.7200000000007</v>
      </c>
      <c r="F676" s="304">
        <v>2029.7705047120403</v>
      </c>
      <c r="H676" s="191"/>
      <c r="I676" s="343">
        <v>1991.9014500000001</v>
      </c>
      <c r="J676" s="343">
        <v>2216.443068</v>
      </c>
      <c r="K676" s="343">
        <v>4345.9668000000011</v>
      </c>
      <c r="L676" s="344">
        <v>1764.5237047120399</v>
      </c>
    </row>
    <row r="677" spans="2:12">
      <c r="B677" s="276">
        <v>695000</v>
      </c>
      <c r="C677" s="334">
        <v>1873.0250000000003</v>
      </c>
      <c r="D677" s="334">
        <v>2084.1660000000006</v>
      </c>
      <c r="E677" s="276">
        <v>4086.6000000000004</v>
      </c>
      <c r="F677" s="304">
        <v>2032.6952460732964</v>
      </c>
      <c r="H677" s="191"/>
      <c r="I677" s="343">
        <v>1994.7716250000003</v>
      </c>
      <c r="J677" s="343">
        <v>2219.6367900000005</v>
      </c>
      <c r="K677" s="343">
        <v>4352.2290000000003</v>
      </c>
      <c r="L677" s="344">
        <v>1767.0662460732965</v>
      </c>
    </row>
    <row r="678" spans="2:12">
      <c r="B678" s="276">
        <v>696000</v>
      </c>
      <c r="C678" s="334">
        <v>1875.7200000000003</v>
      </c>
      <c r="D678" s="334">
        <v>2087.1648</v>
      </c>
      <c r="E678" s="276">
        <v>4092.48</v>
      </c>
      <c r="F678" s="304">
        <v>2035.6199874345534</v>
      </c>
      <c r="H678" s="191"/>
      <c r="I678" s="343">
        <v>1997.6418000000003</v>
      </c>
      <c r="J678" s="343">
        <v>2222.830512</v>
      </c>
      <c r="K678" s="343">
        <v>4358.4912000000004</v>
      </c>
      <c r="L678" s="344">
        <v>1769.6087874345531</v>
      </c>
    </row>
    <row r="679" spans="2:12">
      <c r="B679" s="276">
        <v>697000</v>
      </c>
      <c r="C679" s="334">
        <v>1878.4150000000002</v>
      </c>
      <c r="D679" s="334">
        <v>2090.1636000000003</v>
      </c>
      <c r="E679" s="276">
        <v>4098.3600000000006</v>
      </c>
      <c r="F679" s="304">
        <v>2038.5447287958095</v>
      </c>
      <c r="H679" s="191"/>
      <c r="I679" s="343">
        <v>2000.5119750000001</v>
      </c>
      <c r="J679" s="343">
        <v>2226.0242340000004</v>
      </c>
      <c r="K679" s="343">
        <v>4364.7534000000005</v>
      </c>
      <c r="L679" s="344">
        <v>1772.1513287958096</v>
      </c>
    </row>
    <row r="680" spans="2:12">
      <c r="B680" s="276">
        <v>698000</v>
      </c>
      <c r="C680" s="334">
        <v>1881.1100000000004</v>
      </c>
      <c r="D680" s="334">
        <v>2093.1624000000006</v>
      </c>
      <c r="E680" s="276">
        <v>4104.2400000000007</v>
      </c>
      <c r="F680" s="304">
        <v>2041.4694701570661</v>
      </c>
      <c r="H680" s="191"/>
      <c r="I680" s="343">
        <v>2003.3821500000004</v>
      </c>
      <c r="J680" s="343">
        <v>2229.2179560000009</v>
      </c>
      <c r="K680" s="343">
        <v>4371.0156000000006</v>
      </c>
      <c r="L680" s="344">
        <v>1774.6938701570662</v>
      </c>
    </row>
    <row r="681" spans="2:12">
      <c r="B681" s="276">
        <v>699000</v>
      </c>
      <c r="C681" s="334">
        <v>1883.8050000000003</v>
      </c>
      <c r="D681" s="334">
        <v>2096.1612</v>
      </c>
      <c r="E681" s="276">
        <v>4110.12</v>
      </c>
      <c r="F681" s="304">
        <v>2044.3942115183227</v>
      </c>
      <c r="H681" s="191"/>
      <c r="I681" s="343">
        <v>2006.2523250000004</v>
      </c>
      <c r="J681" s="343">
        <v>2232.4116779999999</v>
      </c>
      <c r="K681" s="343">
        <v>4377.2777999999998</v>
      </c>
      <c r="L681" s="344">
        <v>1777.2364115183227</v>
      </c>
    </row>
    <row r="682" spans="2:12">
      <c r="B682" s="276">
        <v>700000</v>
      </c>
      <c r="C682" s="334">
        <v>1886.5000000000002</v>
      </c>
      <c r="D682" s="334">
        <v>2099.1600000000003</v>
      </c>
      <c r="E682" s="276">
        <v>4116.0000000000009</v>
      </c>
      <c r="F682" s="304">
        <v>2047.3189528795792</v>
      </c>
      <c r="H682" s="191"/>
      <c r="I682" s="343">
        <v>2009.1225000000002</v>
      </c>
      <c r="J682" s="343">
        <v>2235.6054000000004</v>
      </c>
      <c r="K682" s="343">
        <v>4383.5400000000009</v>
      </c>
      <c r="L682" s="344">
        <v>1779.7789528795793</v>
      </c>
    </row>
    <row r="683" spans="2:12">
      <c r="B683" s="276">
        <v>701000</v>
      </c>
      <c r="C683" s="334">
        <v>1889.1950000000004</v>
      </c>
      <c r="D683" s="334">
        <v>2102.1588000000002</v>
      </c>
      <c r="E683" s="276">
        <v>4121.88</v>
      </c>
      <c r="F683" s="304">
        <v>2050.2436942408358</v>
      </c>
      <c r="H683" s="191"/>
      <c r="I683" s="343">
        <v>2011.9926750000004</v>
      </c>
      <c r="J683" s="343">
        <v>2238.7991220000004</v>
      </c>
      <c r="K683" s="343">
        <v>4389.8022000000001</v>
      </c>
      <c r="L683" s="344">
        <v>1782.3214942408358</v>
      </c>
    </row>
    <row r="684" spans="2:12">
      <c r="B684" s="276">
        <v>702000</v>
      </c>
      <c r="C684" s="334">
        <v>1891.8900000000003</v>
      </c>
      <c r="D684" s="334">
        <v>2105.1576000000005</v>
      </c>
      <c r="E684" s="276">
        <v>4127.76</v>
      </c>
      <c r="F684" s="304">
        <v>2053.1684356020924</v>
      </c>
      <c r="H684" s="191"/>
      <c r="I684" s="343">
        <v>2014.8628500000004</v>
      </c>
      <c r="J684" s="343">
        <v>2241.9928440000003</v>
      </c>
      <c r="K684" s="343">
        <v>4396.0644000000002</v>
      </c>
      <c r="L684" s="344">
        <v>1784.8640356020924</v>
      </c>
    </row>
    <row r="685" spans="2:12">
      <c r="B685" s="276">
        <v>703000</v>
      </c>
      <c r="C685" s="334">
        <v>1894.585</v>
      </c>
      <c r="D685" s="334">
        <v>2108.1564000000003</v>
      </c>
      <c r="E685" s="276">
        <v>4133.6400000000003</v>
      </c>
      <c r="F685" s="304">
        <v>2056.0931769633489</v>
      </c>
      <c r="H685" s="191"/>
      <c r="I685" s="343">
        <v>2017.733025</v>
      </c>
      <c r="J685" s="343">
        <v>2245.1865660000003</v>
      </c>
      <c r="K685" s="343">
        <v>4402.3266000000003</v>
      </c>
      <c r="L685" s="344">
        <v>1787.4065769633489</v>
      </c>
    </row>
    <row r="686" spans="2:12">
      <c r="B686" s="276">
        <v>704000</v>
      </c>
      <c r="C686" s="334">
        <v>1897.28</v>
      </c>
      <c r="D686" s="334">
        <v>2111.1552000000001</v>
      </c>
      <c r="E686" s="276">
        <v>4139.5200000000004</v>
      </c>
      <c r="F686" s="304">
        <v>2059.0179183246055</v>
      </c>
      <c r="H686" s="191"/>
      <c r="I686" s="343">
        <v>2020.6032</v>
      </c>
      <c r="J686" s="343">
        <v>2248.3802880000003</v>
      </c>
      <c r="K686" s="343">
        <v>4408.5888000000004</v>
      </c>
      <c r="L686" s="344">
        <v>1789.9491183246055</v>
      </c>
    </row>
    <row r="687" spans="2:12">
      <c r="B687" s="276">
        <v>705000</v>
      </c>
      <c r="C687" s="334">
        <v>1899.9750000000001</v>
      </c>
      <c r="D687" s="334">
        <v>2114.1540000000005</v>
      </c>
      <c r="E687" s="276">
        <v>4145.4000000000005</v>
      </c>
      <c r="F687" s="304">
        <v>2061.9426596858621</v>
      </c>
      <c r="H687" s="191"/>
      <c r="I687" s="343">
        <v>2023.473375</v>
      </c>
      <c r="J687" s="343">
        <v>2251.5740100000003</v>
      </c>
      <c r="K687" s="343">
        <v>4414.8510000000006</v>
      </c>
      <c r="L687" s="344">
        <v>1792.491659685862</v>
      </c>
    </row>
    <row r="688" spans="2:12">
      <c r="B688" s="276">
        <v>706000</v>
      </c>
      <c r="C688" s="334">
        <v>1902.67</v>
      </c>
      <c r="D688" s="334">
        <v>2117.1528000000003</v>
      </c>
      <c r="E688" s="276">
        <v>4151.2800000000007</v>
      </c>
      <c r="F688" s="304">
        <v>2064.8674010471186</v>
      </c>
      <c r="H688" s="191"/>
      <c r="I688" s="343">
        <v>2026.3435500000001</v>
      </c>
      <c r="J688" s="343">
        <v>2254.7677320000003</v>
      </c>
      <c r="K688" s="343">
        <v>4421.1132000000007</v>
      </c>
      <c r="L688" s="344">
        <v>1795.0342010471186</v>
      </c>
    </row>
    <row r="689" spans="2:12">
      <c r="B689" s="276">
        <v>707000</v>
      </c>
      <c r="C689" s="334">
        <v>1905.365</v>
      </c>
      <c r="D689" s="334">
        <v>2120.1516000000006</v>
      </c>
      <c r="E689" s="276">
        <v>4157.1600000000008</v>
      </c>
      <c r="F689" s="304">
        <v>2067.7921424083752</v>
      </c>
      <c r="H689" s="191"/>
      <c r="I689" s="343">
        <v>2029.2137250000001</v>
      </c>
      <c r="J689" s="343">
        <v>2257.9614540000007</v>
      </c>
      <c r="K689" s="343">
        <v>4427.3754000000008</v>
      </c>
      <c r="L689" s="344">
        <v>1797.5767424083751</v>
      </c>
    </row>
    <row r="690" spans="2:12">
      <c r="B690" s="276">
        <v>708000</v>
      </c>
      <c r="C690" s="334">
        <v>1908.0600000000002</v>
      </c>
      <c r="D690" s="334">
        <v>2123.1504</v>
      </c>
      <c r="E690" s="276">
        <v>4163.04</v>
      </c>
      <c r="F690" s="304">
        <v>2070.7168837696317</v>
      </c>
      <c r="H690" s="191"/>
      <c r="I690" s="343">
        <v>2032.0839000000001</v>
      </c>
      <c r="J690" s="343">
        <v>2261.1551760000002</v>
      </c>
      <c r="K690" s="343">
        <v>4433.6376</v>
      </c>
      <c r="L690" s="344">
        <v>1800.1192837696317</v>
      </c>
    </row>
    <row r="691" spans="2:12">
      <c r="B691" s="276">
        <v>709000</v>
      </c>
      <c r="C691" s="334">
        <v>1910.7550000000001</v>
      </c>
      <c r="D691" s="334">
        <v>2126.1492000000003</v>
      </c>
      <c r="E691" s="276">
        <v>4168.920000000001</v>
      </c>
      <c r="F691" s="304">
        <v>2073.6416251308883</v>
      </c>
      <c r="H691" s="191"/>
      <c r="I691" s="343">
        <v>2034.9540750000001</v>
      </c>
      <c r="J691" s="343">
        <v>2264.3488980000002</v>
      </c>
      <c r="K691" s="343">
        <v>4439.8998000000011</v>
      </c>
      <c r="L691" s="344">
        <v>1802.6618251308882</v>
      </c>
    </row>
    <row r="692" spans="2:12">
      <c r="B692" s="276">
        <v>710000</v>
      </c>
      <c r="C692" s="334">
        <v>1913.45</v>
      </c>
      <c r="D692" s="334">
        <v>2129.1480000000001</v>
      </c>
      <c r="E692" s="276">
        <v>4174.8</v>
      </c>
      <c r="F692" s="304">
        <v>2076.5663664921449</v>
      </c>
      <c r="H692" s="191"/>
      <c r="I692" s="343">
        <v>2037.8242500000001</v>
      </c>
      <c r="J692" s="343">
        <v>2267.5426200000002</v>
      </c>
      <c r="K692" s="343">
        <v>4446.1620000000003</v>
      </c>
      <c r="L692" s="344">
        <v>1805.2043664921448</v>
      </c>
    </row>
    <row r="693" spans="2:12">
      <c r="B693" s="276">
        <v>711000</v>
      </c>
      <c r="C693" s="334">
        <v>1916.1450000000002</v>
      </c>
      <c r="D693" s="334">
        <v>2132.1468</v>
      </c>
      <c r="E693" s="276">
        <v>4180.68</v>
      </c>
      <c r="F693" s="304">
        <v>2079.4911078534014</v>
      </c>
      <c r="H693" s="191"/>
      <c r="I693" s="343">
        <v>2040.6944250000001</v>
      </c>
      <c r="J693" s="343">
        <v>2270.7363420000001</v>
      </c>
      <c r="K693" s="343">
        <v>4452.4242000000004</v>
      </c>
      <c r="L693" s="344">
        <v>1807.7469078534011</v>
      </c>
    </row>
    <row r="694" spans="2:12">
      <c r="B694" s="276">
        <v>712000</v>
      </c>
      <c r="C694" s="334">
        <v>1918.8400000000001</v>
      </c>
      <c r="D694" s="334">
        <v>2135.1456000000003</v>
      </c>
      <c r="E694" s="276">
        <v>4186.5600000000004</v>
      </c>
      <c r="F694" s="304">
        <v>2082.415849214658</v>
      </c>
      <c r="H694" s="191"/>
      <c r="I694" s="343">
        <v>2043.5646000000002</v>
      </c>
      <c r="J694" s="343">
        <v>2273.9300640000001</v>
      </c>
      <c r="K694" s="343">
        <v>4458.6864000000005</v>
      </c>
      <c r="L694" s="344">
        <v>1810.2894492146577</v>
      </c>
    </row>
    <row r="695" spans="2:12">
      <c r="B695" s="276">
        <v>713000</v>
      </c>
      <c r="C695" s="334">
        <v>1921.5350000000001</v>
      </c>
      <c r="D695" s="334">
        <v>2138.1444000000001</v>
      </c>
      <c r="E695" s="276">
        <v>4192.4400000000005</v>
      </c>
      <c r="F695" s="304">
        <v>2085.3405905759146</v>
      </c>
      <c r="H695" s="191"/>
      <c r="I695" s="343">
        <v>2046.4347750000002</v>
      </c>
      <c r="J695" s="343">
        <v>2277.1237860000001</v>
      </c>
      <c r="K695" s="343">
        <v>4464.9486000000006</v>
      </c>
      <c r="L695" s="344">
        <v>1812.8319905759142</v>
      </c>
    </row>
    <row r="696" spans="2:12">
      <c r="B696" s="276">
        <v>714000</v>
      </c>
      <c r="C696" s="334">
        <v>1924.2300000000002</v>
      </c>
      <c r="D696" s="334">
        <v>2141.1432</v>
      </c>
      <c r="E696" s="276">
        <v>4198.3200000000006</v>
      </c>
      <c r="F696" s="304">
        <v>2088.2653319371711</v>
      </c>
      <c r="H696" s="191"/>
      <c r="I696" s="343">
        <v>2049.3049500000002</v>
      </c>
      <c r="J696" s="343">
        <v>2280.3175080000001</v>
      </c>
      <c r="K696" s="343">
        <v>4471.2108000000007</v>
      </c>
      <c r="L696" s="344">
        <v>1815.3745319371708</v>
      </c>
    </row>
    <row r="697" spans="2:12">
      <c r="B697" s="276">
        <v>715000</v>
      </c>
      <c r="C697" s="334">
        <v>1926.9250000000002</v>
      </c>
      <c r="D697" s="334">
        <v>2144.1420000000003</v>
      </c>
      <c r="E697" s="276">
        <v>4204.2</v>
      </c>
      <c r="F697" s="304">
        <v>2091.1900732984277</v>
      </c>
      <c r="H697" s="191"/>
      <c r="I697" s="343">
        <v>2052.1751250000002</v>
      </c>
      <c r="J697" s="343">
        <v>2283.5112300000001</v>
      </c>
      <c r="K697" s="343">
        <v>4477.473</v>
      </c>
      <c r="L697" s="344">
        <v>1817.9170732984273</v>
      </c>
    </row>
    <row r="698" spans="2:12">
      <c r="B698" s="276">
        <v>716000</v>
      </c>
      <c r="C698" s="334">
        <v>1929.6200000000001</v>
      </c>
      <c r="D698" s="334">
        <v>2147.1408000000001</v>
      </c>
      <c r="E698" s="276">
        <v>4210.0800000000008</v>
      </c>
      <c r="F698" s="304">
        <v>2094.1148146596843</v>
      </c>
      <c r="H698" s="191"/>
      <c r="I698" s="343">
        <v>2055.0453000000002</v>
      </c>
      <c r="J698" s="343">
        <v>2286.704952</v>
      </c>
      <c r="K698" s="343">
        <v>4483.735200000001</v>
      </c>
      <c r="L698" s="344">
        <v>1820.4596146596839</v>
      </c>
    </row>
    <row r="699" spans="2:12">
      <c r="B699" s="276">
        <v>717000</v>
      </c>
      <c r="C699" s="334">
        <v>1932.3150000000003</v>
      </c>
      <c r="D699" s="334">
        <v>2150.1396000000004</v>
      </c>
      <c r="E699" s="276">
        <v>4215.96</v>
      </c>
      <c r="F699" s="304">
        <v>2097.0395560209408</v>
      </c>
      <c r="H699" s="191"/>
      <c r="I699" s="343">
        <v>2057.9154750000002</v>
      </c>
      <c r="J699" s="343">
        <v>2289.8986740000005</v>
      </c>
      <c r="K699" s="343">
        <v>4489.9974000000002</v>
      </c>
      <c r="L699" s="344">
        <v>1823.0021560209404</v>
      </c>
    </row>
    <row r="700" spans="2:12">
      <c r="B700" s="276">
        <v>718000</v>
      </c>
      <c r="C700" s="334">
        <v>1935.0100000000002</v>
      </c>
      <c r="D700" s="334">
        <v>2153.1384000000003</v>
      </c>
      <c r="E700" s="276">
        <v>4221.84</v>
      </c>
      <c r="F700" s="304">
        <v>2099.9642973821974</v>
      </c>
      <c r="H700" s="191"/>
      <c r="I700" s="343">
        <v>2060.7856500000003</v>
      </c>
      <c r="J700" s="343">
        <v>2293.0923960000005</v>
      </c>
      <c r="K700" s="343">
        <v>4496.2596000000003</v>
      </c>
      <c r="L700" s="344">
        <v>1825.544697382197</v>
      </c>
    </row>
    <row r="701" spans="2:12">
      <c r="B701" s="276">
        <v>719000</v>
      </c>
      <c r="C701" s="334">
        <v>1937.7050000000002</v>
      </c>
      <c r="D701" s="334">
        <v>2156.1372000000001</v>
      </c>
      <c r="E701" s="276">
        <v>4227.72</v>
      </c>
      <c r="F701" s="304">
        <v>2102.889038743454</v>
      </c>
      <c r="H701" s="191"/>
      <c r="I701" s="343">
        <v>2063.6558250000003</v>
      </c>
      <c r="J701" s="343">
        <v>2296.286118</v>
      </c>
      <c r="K701" s="343">
        <v>4502.5218000000004</v>
      </c>
      <c r="L701" s="344">
        <v>1828.0872387434536</v>
      </c>
    </row>
    <row r="702" spans="2:12">
      <c r="B702" s="276">
        <v>720000</v>
      </c>
      <c r="C702" s="334">
        <v>1940.4000000000003</v>
      </c>
      <c r="D702" s="334">
        <v>2159.1360000000004</v>
      </c>
      <c r="E702" s="276">
        <v>4233.6000000000004</v>
      </c>
      <c r="F702" s="304">
        <v>2105.8137801047105</v>
      </c>
      <c r="H702" s="191"/>
      <c r="I702" s="343">
        <v>2066.5260000000003</v>
      </c>
      <c r="J702" s="343">
        <v>2299.4798400000004</v>
      </c>
      <c r="K702" s="343">
        <v>4508.7840000000006</v>
      </c>
      <c r="L702" s="344">
        <v>1830.6297801047101</v>
      </c>
    </row>
    <row r="703" spans="2:12">
      <c r="B703" s="276">
        <v>721000</v>
      </c>
      <c r="C703" s="334">
        <v>1943.0950000000003</v>
      </c>
      <c r="D703" s="334">
        <v>2162.1348000000003</v>
      </c>
      <c r="E703" s="276">
        <v>4239.4800000000005</v>
      </c>
      <c r="F703" s="304">
        <v>2108.7385214659671</v>
      </c>
      <c r="H703" s="191"/>
      <c r="I703" s="343">
        <v>2069.3961750000003</v>
      </c>
      <c r="J703" s="343">
        <v>2302.6735620000004</v>
      </c>
      <c r="K703" s="343">
        <v>4515.0462000000007</v>
      </c>
      <c r="L703" s="344">
        <v>1833.1723214659667</v>
      </c>
    </row>
    <row r="704" spans="2:12">
      <c r="B704" s="276">
        <v>722000</v>
      </c>
      <c r="C704" s="334">
        <v>1945.7900000000002</v>
      </c>
      <c r="D704" s="334">
        <v>2165.1336000000001</v>
      </c>
      <c r="E704" s="276">
        <v>4245.3600000000006</v>
      </c>
      <c r="F704" s="304">
        <v>2111.6632628272237</v>
      </c>
      <c r="H704" s="191"/>
      <c r="I704" s="343">
        <v>2072.2663500000003</v>
      </c>
      <c r="J704" s="343">
        <v>2305.8672839999999</v>
      </c>
      <c r="K704" s="343">
        <v>4521.3084000000008</v>
      </c>
      <c r="L704" s="344">
        <v>1835.7148628272232</v>
      </c>
    </row>
    <row r="705" spans="2:12">
      <c r="B705" s="276">
        <v>723000</v>
      </c>
      <c r="C705" s="334">
        <v>1948.4850000000004</v>
      </c>
      <c r="D705" s="334">
        <v>2168.1324000000004</v>
      </c>
      <c r="E705" s="276">
        <v>4251.2400000000007</v>
      </c>
      <c r="F705" s="304">
        <v>2114.5880041884802</v>
      </c>
      <c r="H705" s="191"/>
      <c r="I705" s="343">
        <v>2075.1365250000003</v>
      </c>
      <c r="J705" s="343">
        <v>2309.0610060000004</v>
      </c>
      <c r="K705" s="343">
        <v>4527.5706000000009</v>
      </c>
      <c r="L705" s="344">
        <v>1838.2574041884798</v>
      </c>
    </row>
    <row r="706" spans="2:12">
      <c r="B706" s="276">
        <v>724000</v>
      </c>
      <c r="C706" s="334">
        <v>1951.1800000000003</v>
      </c>
      <c r="D706" s="334">
        <v>2171.1312000000003</v>
      </c>
      <c r="E706" s="276">
        <v>4257.12</v>
      </c>
      <c r="F706" s="304">
        <v>2117.5127455497368</v>
      </c>
      <c r="H706" s="191"/>
      <c r="I706" s="343">
        <v>2078.0067000000004</v>
      </c>
      <c r="J706" s="343">
        <v>2312.2547280000003</v>
      </c>
      <c r="K706" s="343">
        <v>4533.8328000000001</v>
      </c>
      <c r="L706" s="344">
        <v>1840.7999455497363</v>
      </c>
    </row>
    <row r="707" spans="2:12">
      <c r="B707" s="276">
        <v>725000</v>
      </c>
      <c r="C707" s="334">
        <v>1953.8750000000002</v>
      </c>
      <c r="D707" s="334">
        <v>2174.13</v>
      </c>
      <c r="E707" s="276">
        <v>4263.0000000000009</v>
      </c>
      <c r="F707" s="304">
        <v>2120.4374869109934</v>
      </c>
      <c r="H707" s="191"/>
      <c r="I707" s="343">
        <v>2080.8768750000004</v>
      </c>
      <c r="J707" s="343">
        <v>2315.4484500000003</v>
      </c>
      <c r="K707" s="343">
        <v>4540.0950000000012</v>
      </c>
      <c r="L707" s="344">
        <v>1843.3424869109929</v>
      </c>
    </row>
    <row r="708" spans="2:12">
      <c r="B708" s="276">
        <v>726000</v>
      </c>
      <c r="C708" s="334">
        <v>1956.5700000000004</v>
      </c>
      <c r="D708" s="334">
        <v>2177.1288000000004</v>
      </c>
      <c r="E708" s="276">
        <v>4268.88</v>
      </c>
      <c r="F708" s="304">
        <v>2123.3622282722499</v>
      </c>
      <c r="H708" s="191"/>
      <c r="I708" s="343">
        <v>2083.7470500000004</v>
      </c>
      <c r="J708" s="343">
        <v>2318.6421720000003</v>
      </c>
      <c r="K708" s="343">
        <v>4546.3572000000004</v>
      </c>
      <c r="L708" s="344">
        <v>1845.8850282722494</v>
      </c>
    </row>
    <row r="709" spans="2:12">
      <c r="B709" s="276">
        <v>727000</v>
      </c>
      <c r="C709" s="334">
        <v>1959.2650000000003</v>
      </c>
      <c r="D709" s="334">
        <v>2180.1276000000003</v>
      </c>
      <c r="E709" s="276">
        <v>4274.76</v>
      </c>
      <c r="F709" s="304">
        <v>2126.2869696335065</v>
      </c>
      <c r="H709" s="191"/>
      <c r="I709" s="343">
        <v>2086.6172250000004</v>
      </c>
      <c r="J709" s="343">
        <v>2321.8358940000003</v>
      </c>
      <c r="K709" s="343">
        <v>4552.6194000000005</v>
      </c>
      <c r="L709" s="344">
        <v>1848.427569633506</v>
      </c>
    </row>
    <row r="710" spans="2:12">
      <c r="B710" s="276">
        <v>728000</v>
      </c>
      <c r="C710" s="334">
        <v>1961.96</v>
      </c>
      <c r="D710" s="334">
        <v>2183.1264000000001</v>
      </c>
      <c r="E710" s="276">
        <v>4280.6400000000003</v>
      </c>
      <c r="F710" s="304">
        <v>2129.2117109947631</v>
      </c>
      <c r="H710" s="191"/>
      <c r="I710" s="343">
        <v>2089.4874</v>
      </c>
      <c r="J710" s="343">
        <v>2325.0296160000003</v>
      </c>
      <c r="K710" s="343">
        <v>4558.8816000000006</v>
      </c>
      <c r="L710" s="344">
        <v>1850.9701109947625</v>
      </c>
    </row>
    <row r="711" spans="2:12">
      <c r="B711" s="276">
        <v>729000</v>
      </c>
      <c r="C711" s="334">
        <v>1964.655</v>
      </c>
      <c r="D711" s="334">
        <v>2186.1251999999999</v>
      </c>
      <c r="E711" s="276">
        <v>4286.5200000000004</v>
      </c>
      <c r="F711" s="304">
        <v>2132.1364523560196</v>
      </c>
      <c r="H711" s="191"/>
      <c r="I711" s="343">
        <v>2092.357575</v>
      </c>
      <c r="J711" s="343">
        <v>2328.2233379999998</v>
      </c>
      <c r="K711" s="343">
        <v>4565.1438000000007</v>
      </c>
      <c r="L711" s="344">
        <v>1853.5126523560191</v>
      </c>
    </row>
    <row r="712" spans="2:12">
      <c r="B712" s="276">
        <v>730000</v>
      </c>
      <c r="C712" s="334">
        <v>1967.3500000000001</v>
      </c>
      <c r="D712" s="334">
        <v>2189.1240000000003</v>
      </c>
      <c r="E712" s="276">
        <v>4292.4000000000005</v>
      </c>
      <c r="F712" s="304">
        <v>2135.0611937172762</v>
      </c>
      <c r="H712" s="191"/>
      <c r="I712" s="343">
        <v>2095.22775</v>
      </c>
      <c r="J712" s="343">
        <v>2331.4170600000002</v>
      </c>
      <c r="K712" s="343">
        <v>4571.4060000000009</v>
      </c>
      <c r="L712" s="344">
        <v>1856.0551937172756</v>
      </c>
    </row>
    <row r="713" spans="2:12">
      <c r="B713" s="276">
        <v>731000</v>
      </c>
      <c r="C713" s="334">
        <v>1970.0450000000001</v>
      </c>
      <c r="D713" s="334">
        <v>2192.1228000000001</v>
      </c>
      <c r="E713" s="276">
        <v>4298.2800000000007</v>
      </c>
      <c r="F713" s="304">
        <v>2137.9859350785327</v>
      </c>
      <c r="H713" s="191"/>
      <c r="I713" s="343">
        <v>2098.097925</v>
      </c>
      <c r="J713" s="343">
        <v>2334.6107820000002</v>
      </c>
      <c r="K713" s="343">
        <v>4577.668200000001</v>
      </c>
      <c r="L713" s="344">
        <v>1858.5977350785322</v>
      </c>
    </row>
    <row r="714" spans="2:12">
      <c r="B714" s="276">
        <v>732000</v>
      </c>
      <c r="C714" s="334">
        <v>1972.74</v>
      </c>
      <c r="D714" s="334">
        <v>2195.1216000000004</v>
      </c>
      <c r="E714" s="276">
        <v>4304.1600000000008</v>
      </c>
      <c r="F714" s="304">
        <v>2140.9106764397893</v>
      </c>
      <c r="H714" s="191"/>
      <c r="I714" s="343">
        <v>2100.9681</v>
      </c>
      <c r="J714" s="343">
        <v>2337.8045040000006</v>
      </c>
      <c r="K714" s="343">
        <v>4583.9304000000011</v>
      </c>
      <c r="L714" s="344">
        <v>1861.1402764397887</v>
      </c>
    </row>
    <row r="715" spans="2:12">
      <c r="B715" s="276">
        <v>733000</v>
      </c>
      <c r="C715" s="334">
        <v>1975.4350000000002</v>
      </c>
      <c r="D715" s="334">
        <v>2198.1204000000002</v>
      </c>
      <c r="E715" s="276">
        <v>4310.04</v>
      </c>
      <c r="F715" s="304">
        <v>2143.8354178010459</v>
      </c>
      <c r="H715" s="191"/>
      <c r="I715" s="343">
        <v>2103.8382750000001</v>
      </c>
      <c r="J715" s="343">
        <v>2340.9982260000002</v>
      </c>
      <c r="K715" s="343">
        <v>4590.1926000000003</v>
      </c>
      <c r="L715" s="344">
        <v>1863.6828178010453</v>
      </c>
    </row>
    <row r="716" spans="2:12">
      <c r="B716" s="276">
        <v>734000</v>
      </c>
      <c r="C716" s="334">
        <v>1978.13</v>
      </c>
      <c r="D716" s="334">
        <v>2201.1192000000001</v>
      </c>
      <c r="E716" s="276">
        <v>4315.920000000001</v>
      </c>
      <c r="F716" s="304">
        <v>2146.7601591623024</v>
      </c>
      <c r="H716" s="191"/>
      <c r="I716" s="343">
        <v>2106.7084500000001</v>
      </c>
      <c r="J716" s="343">
        <v>2344.1919480000001</v>
      </c>
      <c r="K716" s="343">
        <v>4596.4548000000013</v>
      </c>
      <c r="L716" s="344">
        <v>1866.2253591623019</v>
      </c>
    </row>
    <row r="717" spans="2:12">
      <c r="B717" s="276">
        <v>735000</v>
      </c>
      <c r="C717" s="334">
        <v>1980.825</v>
      </c>
      <c r="D717" s="334">
        <v>2204.1179999999999</v>
      </c>
      <c r="E717" s="276">
        <v>4321.8</v>
      </c>
      <c r="F717" s="304">
        <v>2149.684900523559</v>
      </c>
      <c r="H717" s="191"/>
      <c r="I717" s="343">
        <v>2109.5786250000001</v>
      </c>
      <c r="J717" s="343">
        <v>2347.3856700000001</v>
      </c>
      <c r="K717" s="343">
        <v>4602.7170000000006</v>
      </c>
      <c r="L717" s="344">
        <v>1868.7679005235584</v>
      </c>
    </row>
    <row r="718" spans="2:12">
      <c r="B718" s="276">
        <v>736000</v>
      </c>
      <c r="C718" s="334">
        <v>1983.5200000000002</v>
      </c>
      <c r="D718" s="334">
        <v>2207.1168000000002</v>
      </c>
      <c r="E718" s="276">
        <v>4327.68</v>
      </c>
      <c r="F718" s="304">
        <v>2152.6096418848156</v>
      </c>
      <c r="H718" s="191"/>
      <c r="I718" s="343">
        <v>2112.4488000000001</v>
      </c>
      <c r="J718" s="343">
        <v>2350.5793920000001</v>
      </c>
      <c r="K718" s="343">
        <v>4608.9792000000007</v>
      </c>
      <c r="L718" s="344">
        <v>1871.310441884815</v>
      </c>
    </row>
    <row r="719" spans="2:12">
      <c r="B719" s="276">
        <v>737000</v>
      </c>
      <c r="C719" s="334">
        <v>1986.2150000000001</v>
      </c>
      <c r="D719" s="334">
        <v>2210.1156000000005</v>
      </c>
      <c r="E719" s="276">
        <v>4333.5600000000004</v>
      </c>
      <c r="F719" s="304">
        <v>2155.5343832460712</v>
      </c>
      <c r="H719" s="191"/>
      <c r="I719" s="343">
        <v>2115.3189750000001</v>
      </c>
      <c r="J719" s="343">
        <v>2353.7731140000005</v>
      </c>
      <c r="K719" s="343">
        <v>4615.2414000000008</v>
      </c>
      <c r="L719" s="344">
        <v>1873.8529832460711</v>
      </c>
    </row>
    <row r="720" spans="2:12">
      <c r="B720" s="276">
        <v>738000</v>
      </c>
      <c r="C720" s="334">
        <v>1988.91</v>
      </c>
      <c r="D720" s="334">
        <v>2213.1143999999999</v>
      </c>
      <c r="E720" s="276">
        <v>4339.4400000000005</v>
      </c>
      <c r="F720" s="304">
        <v>2158.4591246073278</v>
      </c>
      <c r="H720" s="191"/>
      <c r="I720" s="343">
        <v>2118.1891500000002</v>
      </c>
      <c r="J720" s="343">
        <v>2356.9668360000001</v>
      </c>
      <c r="K720" s="343">
        <v>4621.5036000000009</v>
      </c>
      <c r="L720" s="344">
        <v>1876.3955246073276</v>
      </c>
    </row>
    <row r="721" spans="2:12">
      <c r="B721" s="276">
        <v>739000</v>
      </c>
      <c r="C721" s="334">
        <v>1991.6050000000002</v>
      </c>
      <c r="D721" s="334">
        <v>2216.1132000000002</v>
      </c>
      <c r="E721" s="276">
        <v>4345.3200000000006</v>
      </c>
      <c r="F721" s="304">
        <v>2161.3838659685844</v>
      </c>
      <c r="H721" s="191"/>
      <c r="I721" s="343">
        <v>2121.0593250000002</v>
      </c>
      <c r="J721" s="343">
        <v>2360.1605580000005</v>
      </c>
      <c r="K721" s="343">
        <v>4627.765800000001</v>
      </c>
      <c r="L721" s="344">
        <v>1878.9380659685842</v>
      </c>
    </row>
    <row r="722" spans="2:12">
      <c r="B722" s="276">
        <v>740000</v>
      </c>
      <c r="C722" s="334">
        <v>1994.3000000000002</v>
      </c>
      <c r="D722" s="334">
        <v>2219.1120000000005</v>
      </c>
      <c r="E722" s="276">
        <v>4351.2</v>
      </c>
      <c r="F722" s="304">
        <v>2164.3086073298409</v>
      </c>
      <c r="H722" s="191"/>
      <c r="I722" s="343">
        <v>2123.9295000000002</v>
      </c>
      <c r="J722" s="343">
        <v>2363.3542800000005</v>
      </c>
      <c r="K722" s="343">
        <v>4634.0280000000002</v>
      </c>
      <c r="L722" s="344">
        <v>1881.4806073298407</v>
      </c>
    </row>
    <row r="723" spans="2:12">
      <c r="B723" s="276">
        <v>741000</v>
      </c>
      <c r="C723" s="334">
        <v>1996.9950000000001</v>
      </c>
      <c r="D723" s="334">
        <v>2222.1107999999999</v>
      </c>
      <c r="E723" s="276">
        <v>4357.0800000000008</v>
      </c>
      <c r="F723" s="304">
        <v>2167.2333486910975</v>
      </c>
      <c r="H723" s="191"/>
      <c r="I723" s="343">
        <v>2126.7996750000002</v>
      </c>
      <c r="J723" s="343">
        <v>2366.548002</v>
      </c>
      <c r="K723" s="343">
        <v>4640.2902000000013</v>
      </c>
      <c r="L723" s="344">
        <v>1884.0231486910973</v>
      </c>
    </row>
    <row r="724" spans="2:12">
      <c r="B724" s="276">
        <v>742000</v>
      </c>
      <c r="C724" s="334">
        <v>1999.6900000000003</v>
      </c>
      <c r="D724" s="334">
        <v>2225.1096000000002</v>
      </c>
      <c r="E724" s="276">
        <v>4362.96</v>
      </c>
      <c r="F724" s="304">
        <v>2170.1580900523541</v>
      </c>
      <c r="H724" s="191"/>
      <c r="I724" s="343">
        <v>2129.6698500000002</v>
      </c>
      <c r="J724" s="343">
        <v>2369.7417240000004</v>
      </c>
      <c r="K724" s="343">
        <v>4646.5524000000005</v>
      </c>
      <c r="L724" s="344">
        <v>1886.5656900523538</v>
      </c>
    </row>
    <row r="725" spans="2:12">
      <c r="B725" s="276">
        <v>743000</v>
      </c>
      <c r="C725" s="334">
        <v>2002.3850000000002</v>
      </c>
      <c r="D725" s="334">
        <v>2228.1084000000001</v>
      </c>
      <c r="E725" s="276">
        <v>4368.84</v>
      </c>
      <c r="F725" s="304">
        <v>2173.0828314136097</v>
      </c>
      <c r="H725" s="191"/>
      <c r="I725" s="343">
        <v>2132.5400250000002</v>
      </c>
      <c r="J725" s="343">
        <v>2372.935446</v>
      </c>
      <c r="K725" s="343">
        <v>4652.8145999999997</v>
      </c>
      <c r="L725" s="344">
        <v>1889.1082314136104</v>
      </c>
    </row>
    <row r="726" spans="2:12">
      <c r="B726" s="276">
        <v>744000</v>
      </c>
      <c r="C726" s="334">
        <v>2005.0800000000002</v>
      </c>
      <c r="D726" s="334">
        <v>2231.1071999999999</v>
      </c>
      <c r="E726" s="276">
        <v>4374.72</v>
      </c>
      <c r="F726" s="304">
        <v>2176.0075727748672</v>
      </c>
      <c r="H726" s="191"/>
      <c r="I726" s="343">
        <v>2135.4102000000003</v>
      </c>
      <c r="J726" s="343">
        <v>2376.1291679999999</v>
      </c>
      <c r="K726" s="343">
        <v>4659.0768000000007</v>
      </c>
      <c r="L726" s="344">
        <v>1891.6507727748669</v>
      </c>
    </row>
    <row r="727" spans="2:12">
      <c r="B727" s="276">
        <v>745000</v>
      </c>
      <c r="C727" s="334">
        <v>2007.7750000000003</v>
      </c>
      <c r="D727" s="334">
        <v>2234.1060000000002</v>
      </c>
      <c r="E727" s="276">
        <v>4380.6000000000004</v>
      </c>
      <c r="F727" s="304">
        <v>2178.9323141361228</v>
      </c>
      <c r="H727" s="191"/>
      <c r="I727" s="343">
        <v>2138.2803750000003</v>
      </c>
      <c r="J727" s="343">
        <v>2379.3228900000004</v>
      </c>
      <c r="K727" s="343">
        <v>4665.3389999999999</v>
      </c>
      <c r="L727" s="344">
        <v>1894.1933141361235</v>
      </c>
    </row>
    <row r="728" spans="2:12">
      <c r="B728" s="276">
        <v>746000</v>
      </c>
      <c r="C728" s="334">
        <v>2010.4700000000003</v>
      </c>
      <c r="D728" s="334">
        <v>2237.1048000000001</v>
      </c>
      <c r="E728" s="276">
        <v>4386.4800000000005</v>
      </c>
      <c r="F728" s="304">
        <v>2181.8570554973803</v>
      </c>
      <c r="H728" s="191"/>
      <c r="I728" s="343">
        <v>2141.1505500000003</v>
      </c>
      <c r="J728" s="343">
        <v>2382.5166119999999</v>
      </c>
      <c r="K728" s="343">
        <v>4671.601200000001</v>
      </c>
      <c r="L728" s="344">
        <v>1896.73585549738</v>
      </c>
    </row>
    <row r="729" spans="2:12">
      <c r="B729" s="276">
        <v>747000</v>
      </c>
      <c r="C729" s="334">
        <v>2013.1650000000002</v>
      </c>
      <c r="D729" s="334">
        <v>2240.1036000000004</v>
      </c>
      <c r="E729" s="276">
        <v>4392.3600000000006</v>
      </c>
      <c r="F729" s="304">
        <v>2184.781796858636</v>
      </c>
      <c r="H729" s="191"/>
      <c r="I729" s="343">
        <v>2144.0207250000003</v>
      </c>
      <c r="J729" s="343">
        <v>2385.7103340000003</v>
      </c>
      <c r="K729" s="343">
        <v>4677.8634000000002</v>
      </c>
      <c r="L729" s="344">
        <v>1899.2783968586366</v>
      </c>
    </row>
    <row r="730" spans="2:12">
      <c r="B730" s="276">
        <v>748000</v>
      </c>
      <c r="C730" s="334">
        <v>2015.8600000000004</v>
      </c>
      <c r="D730" s="334">
        <v>2243.1024000000002</v>
      </c>
      <c r="E730" s="276">
        <v>4398.2400000000007</v>
      </c>
      <c r="F730" s="304">
        <v>2187.7065382198934</v>
      </c>
      <c r="H730" s="191"/>
      <c r="I730" s="343">
        <v>2146.8909000000003</v>
      </c>
      <c r="J730" s="343">
        <v>2388.9040560000003</v>
      </c>
      <c r="K730" s="343">
        <v>4684.1256000000012</v>
      </c>
      <c r="L730" s="344">
        <v>1901.8209382198932</v>
      </c>
    </row>
    <row r="731" spans="2:12">
      <c r="B731" s="276">
        <v>749000</v>
      </c>
      <c r="C731" s="334">
        <v>2018.5550000000003</v>
      </c>
      <c r="D731" s="334">
        <v>2246.1012000000001</v>
      </c>
      <c r="E731" s="276">
        <v>4404.12</v>
      </c>
      <c r="F731" s="304">
        <v>2190.6312795811491</v>
      </c>
      <c r="H731" s="191"/>
      <c r="I731" s="343">
        <v>2149.7610750000003</v>
      </c>
      <c r="J731" s="343">
        <v>2392.0977780000003</v>
      </c>
      <c r="K731" s="343">
        <v>4690.3877999999995</v>
      </c>
      <c r="L731" s="344">
        <v>1904.3634795811497</v>
      </c>
    </row>
    <row r="732" spans="2:12">
      <c r="B732" s="276">
        <v>750000</v>
      </c>
      <c r="C732" s="334">
        <v>2021.2500000000002</v>
      </c>
      <c r="D732" s="334">
        <v>2249.1000000000004</v>
      </c>
      <c r="E732" s="276">
        <v>4410.0000000000009</v>
      </c>
      <c r="F732" s="304">
        <v>2193.5560209424066</v>
      </c>
      <c r="H732" s="191"/>
      <c r="I732" s="343">
        <v>2152.6312500000004</v>
      </c>
      <c r="J732" s="343">
        <v>2395.2915000000003</v>
      </c>
      <c r="K732" s="343">
        <v>4696.6500000000015</v>
      </c>
      <c r="L732" s="344">
        <v>1906.9060209424063</v>
      </c>
    </row>
    <row r="733" spans="2:12">
      <c r="B733" s="276">
        <v>751000</v>
      </c>
      <c r="C733" s="334">
        <v>2023.9450000000004</v>
      </c>
      <c r="D733" s="334">
        <v>2252.0988000000002</v>
      </c>
      <c r="E733" s="276">
        <v>4415.88</v>
      </c>
      <c r="F733" s="304">
        <v>2196.4807623036622</v>
      </c>
      <c r="H733" s="191"/>
      <c r="I733" s="343">
        <v>2155.5014250000004</v>
      </c>
      <c r="J733" s="343">
        <v>2398.4852220000002</v>
      </c>
      <c r="K733" s="343">
        <v>4702.9121999999998</v>
      </c>
      <c r="L733" s="344">
        <v>1909.4485623036628</v>
      </c>
    </row>
    <row r="734" spans="2:12">
      <c r="B734" s="276">
        <v>752000</v>
      </c>
      <c r="C734" s="334">
        <v>2026.6400000000003</v>
      </c>
      <c r="D734" s="334">
        <v>2255.0976000000005</v>
      </c>
      <c r="E734" s="276">
        <v>4421.76</v>
      </c>
      <c r="F734" s="304">
        <v>2199.4055036649188</v>
      </c>
      <c r="H734" s="191"/>
      <c r="I734" s="343">
        <v>2158.3716000000004</v>
      </c>
      <c r="J734" s="343">
        <v>2401.6789440000007</v>
      </c>
      <c r="K734" s="343">
        <v>4709.1743999999999</v>
      </c>
      <c r="L734" s="344">
        <v>1911.9911036649194</v>
      </c>
    </row>
    <row r="735" spans="2:12">
      <c r="B735" s="276">
        <v>753000</v>
      </c>
      <c r="C735" s="334">
        <v>2029.3350000000003</v>
      </c>
      <c r="D735" s="334">
        <v>2258.0963999999999</v>
      </c>
      <c r="E735" s="276">
        <v>4427.6400000000003</v>
      </c>
      <c r="F735" s="304">
        <v>2202.3302450261754</v>
      </c>
      <c r="H735" s="191"/>
      <c r="I735" s="343">
        <v>2161.2417750000004</v>
      </c>
      <c r="J735" s="343">
        <v>2404.8726659999998</v>
      </c>
      <c r="K735" s="343">
        <v>4715.4366</v>
      </c>
      <c r="L735" s="344">
        <v>1914.5336450261759</v>
      </c>
    </row>
    <row r="736" spans="2:12">
      <c r="B736" s="276">
        <v>754000</v>
      </c>
      <c r="C736" s="334">
        <v>2032.03</v>
      </c>
      <c r="D736" s="334">
        <v>2261.0952000000002</v>
      </c>
      <c r="E736" s="276">
        <v>4433.5200000000004</v>
      </c>
      <c r="F736" s="304">
        <v>2205.2549863874319</v>
      </c>
      <c r="H736" s="191"/>
      <c r="I736" s="343">
        <v>2164.11195</v>
      </c>
      <c r="J736" s="343">
        <v>2408.0663880000002</v>
      </c>
      <c r="K736" s="343">
        <v>4721.6988000000001</v>
      </c>
      <c r="L736" s="344">
        <v>1917.0761863874325</v>
      </c>
    </row>
    <row r="737" spans="2:12">
      <c r="B737" s="276">
        <v>755000</v>
      </c>
      <c r="C737" s="334">
        <v>2034.7250000000001</v>
      </c>
      <c r="D737" s="334">
        <v>2264.0940000000005</v>
      </c>
      <c r="E737" s="276">
        <v>4439.4000000000005</v>
      </c>
      <c r="F737" s="304">
        <v>2208.1797277486885</v>
      </c>
      <c r="H737" s="191"/>
      <c r="I737" s="343">
        <v>2166.982125</v>
      </c>
      <c r="J737" s="343">
        <v>2411.2601100000006</v>
      </c>
      <c r="K737" s="343">
        <v>4727.9610000000002</v>
      </c>
      <c r="L737" s="344">
        <v>1919.618727748689</v>
      </c>
    </row>
    <row r="738" spans="2:12">
      <c r="B738" s="276">
        <v>756000</v>
      </c>
      <c r="C738" s="334">
        <v>2037.42</v>
      </c>
      <c r="D738" s="334">
        <v>2267.0927999999999</v>
      </c>
      <c r="E738" s="276">
        <v>4445.2800000000007</v>
      </c>
      <c r="F738" s="304">
        <v>2211.1044691099451</v>
      </c>
      <c r="H738" s="191"/>
      <c r="I738" s="343">
        <v>2169.8523</v>
      </c>
      <c r="J738" s="343">
        <v>2414.4538319999997</v>
      </c>
      <c r="K738" s="343">
        <v>4734.2232000000004</v>
      </c>
      <c r="L738" s="344">
        <v>1922.1612691099456</v>
      </c>
    </row>
    <row r="739" spans="2:12">
      <c r="B739" s="276">
        <v>757000</v>
      </c>
      <c r="C739" s="334">
        <v>2040.115</v>
      </c>
      <c r="D739" s="334">
        <v>2270.0916000000007</v>
      </c>
      <c r="E739" s="276">
        <v>4451.1600000000008</v>
      </c>
      <c r="F739" s="304">
        <v>2214.0292104712016</v>
      </c>
      <c r="H739" s="191"/>
      <c r="I739" s="343">
        <v>2172.722475</v>
      </c>
      <c r="J739" s="343">
        <v>2417.6475540000006</v>
      </c>
      <c r="K739" s="343">
        <v>4740.4854000000005</v>
      </c>
      <c r="L739" s="344">
        <v>1924.7038104712021</v>
      </c>
    </row>
    <row r="740" spans="2:12">
      <c r="B740" s="276">
        <v>758000</v>
      </c>
      <c r="C740" s="334">
        <v>2042.8100000000002</v>
      </c>
      <c r="D740" s="334">
        <v>2273.0904000000005</v>
      </c>
      <c r="E740" s="276">
        <v>4457.04</v>
      </c>
      <c r="F740" s="304">
        <v>2216.9539518324582</v>
      </c>
      <c r="H740" s="191"/>
      <c r="I740" s="343">
        <v>2175.59265</v>
      </c>
      <c r="J740" s="343">
        <v>2420.8412760000006</v>
      </c>
      <c r="K740" s="343">
        <v>4746.7475999999997</v>
      </c>
      <c r="L740" s="344">
        <v>1927.2463518324587</v>
      </c>
    </row>
    <row r="741" spans="2:12">
      <c r="B741" s="276">
        <v>759000</v>
      </c>
      <c r="C741" s="334">
        <v>2045.5050000000001</v>
      </c>
      <c r="D741" s="334">
        <v>2276.0891999999999</v>
      </c>
      <c r="E741" s="276">
        <v>4462.920000000001</v>
      </c>
      <c r="F741" s="304">
        <v>2219.8786931937148</v>
      </c>
      <c r="H741" s="191"/>
      <c r="I741" s="343">
        <v>2178.4628250000001</v>
      </c>
      <c r="J741" s="343">
        <v>2424.0349980000001</v>
      </c>
      <c r="K741" s="343">
        <v>4753.0098000000007</v>
      </c>
      <c r="L741" s="344">
        <v>1929.7888931937152</v>
      </c>
    </row>
    <row r="742" spans="2:12">
      <c r="B742" s="276">
        <v>760000</v>
      </c>
      <c r="C742" s="334">
        <v>2048.2000000000003</v>
      </c>
      <c r="D742" s="334">
        <v>2279.0880000000002</v>
      </c>
      <c r="E742" s="276">
        <v>4468.8</v>
      </c>
      <c r="F742" s="304">
        <v>2222.8034345549713</v>
      </c>
      <c r="H742" s="191"/>
      <c r="I742" s="343">
        <v>2181.3330000000001</v>
      </c>
      <c r="J742" s="343">
        <v>2427.2287200000001</v>
      </c>
      <c r="K742" s="343">
        <v>4759.2719999999999</v>
      </c>
      <c r="L742" s="344">
        <v>1932.3314345549718</v>
      </c>
    </row>
    <row r="743" spans="2:12">
      <c r="B743" s="276">
        <v>761000</v>
      </c>
      <c r="C743" s="334">
        <v>2050.895</v>
      </c>
      <c r="D743" s="334">
        <v>2282.0868000000005</v>
      </c>
      <c r="E743" s="276">
        <v>4474.68</v>
      </c>
      <c r="F743" s="304">
        <v>2225.7281759162279</v>
      </c>
      <c r="H743" s="191"/>
      <c r="I743" s="343">
        <v>2184.2031750000001</v>
      </c>
      <c r="J743" s="343">
        <v>2430.4224420000005</v>
      </c>
      <c r="K743" s="343">
        <v>4765.5342000000001</v>
      </c>
      <c r="L743" s="344">
        <v>1934.8739759162283</v>
      </c>
    </row>
    <row r="744" spans="2:12">
      <c r="B744" s="276">
        <v>762000</v>
      </c>
      <c r="C744" s="334">
        <v>2053.59</v>
      </c>
      <c r="D744" s="334">
        <v>2285.0856000000003</v>
      </c>
      <c r="E744" s="276">
        <v>4480.5600000000004</v>
      </c>
      <c r="F744" s="304">
        <v>2228.6529172774844</v>
      </c>
      <c r="H744" s="191"/>
      <c r="I744" s="343">
        <v>2187.0733500000001</v>
      </c>
      <c r="J744" s="343">
        <v>2433.6161640000005</v>
      </c>
      <c r="K744" s="343">
        <v>4771.7964000000002</v>
      </c>
      <c r="L744" s="344">
        <v>1937.4165172774849</v>
      </c>
    </row>
    <row r="745" spans="2:12">
      <c r="B745" s="276">
        <v>763000</v>
      </c>
      <c r="C745" s="334">
        <v>2056.2850000000003</v>
      </c>
      <c r="D745" s="334">
        <v>2288.0844000000002</v>
      </c>
      <c r="E745" s="276">
        <v>4486.4400000000005</v>
      </c>
      <c r="F745" s="304">
        <v>2231.577658638741</v>
      </c>
      <c r="H745" s="191"/>
      <c r="I745" s="343">
        <v>2189.9435250000001</v>
      </c>
      <c r="J745" s="343">
        <v>2436.809886</v>
      </c>
      <c r="K745" s="343">
        <v>4778.0586000000003</v>
      </c>
      <c r="L745" s="344">
        <v>1939.9590586387412</v>
      </c>
    </row>
    <row r="746" spans="2:12">
      <c r="B746" s="276">
        <v>764000</v>
      </c>
      <c r="C746" s="334">
        <v>2058.98</v>
      </c>
      <c r="D746" s="334">
        <v>2291.0832000000005</v>
      </c>
      <c r="E746" s="276">
        <v>4492.3200000000006</v>
      </c>
      <c r="F746" s="304">
        <v>2234.5023999999976</v>
      </c>
      <c r="H746" s="191"/>
      <c r="I746" s="343">
        <v>2192.8137000000002</v>
      </c>
      <c r="J746" s="343">
        <v>2440.0036080000004</v>
      </c>
      <c r="K746" s="343">
        <v>4784.3208000000004</v>
      </c>
      <c r="L746" s="344">
        <v>1942.5015999999978</v>
      </c>
    </row>
    <row r="747" spans="2:12">
      <c r="B747" s="276">
        <v>765000</v>
      </c>
      <c r="C747" s="334">
        <v>2061.6750000000002</v>
      </c>
      <c r="D747" s="334">
        <v>2294.0820000000003</v>
      </c>
      <c r="E747" s="276">
        <v>4498.2000000000007</v>
      </c>
      <c r="F747" s="304">
        <v>2237.4271413612541</v>
      </c>
      <c r="H747" s="191"/>
      <c r="I747" s="343">
        <v>2195.6838750000002</v>
      </c>
      <c r="J747" s="343">
        <v>2443.1973300000004</v>
      </c>
      <c r="K747" s="343">
        <v>4790.5830000000005</v>
      </c>
      <c r="L747" s="344">
        <v>1945.0441413612543</v>
      </c>
    </row>
    <row r="748" spans="2:12">
      <c r="B748" s="276">
        <v>766000</v>
      </c>
      <c r="C748" s="334">
        <v>2064.3700000000003</v>
      </c>
      <c r="D748" s="334">
        <v>2297.0808000000002</v>
      </c>
      <c r="E748" s="276">
        <v>4504.0800000000008</v>
      </c>
      <c r="F748" s="304">
        <v>2240.3518827225107</v>
      </c>
      <c r="H748" s="191"/>
      <c r="I748" s="343">
        <v>2198.5540500000002</v>
      </c>
      <c r="J748" s="343">
        <v>2446.3910520000004</v>
      </c>
      <c r="K748" s="343">
        <v>4796.8452000000007</v>
      </c>
      <c r="L748" s="344">
        <v>1947.5866827225109</v>
      </c>
    </row>
    <row r="749" spans="2:12">
      <c r="B749" s="276">
        <v>767000</v>
      </c>
      <c r="C749" s="334">
        <v>2067.0650000000001</v>
      </c>
      <c r="D749" s="334">
        <v>2300.0796000000005</v>
      </c>
      <c r="E749" s="276">
        <v>4509.96</v>
      </c>
      <c r="F749" s="304">
        <v>2243.2766240837673</v>
      </c>
      <c r="H749" s="191"/>
      <c r="I749" s="343">
        <v>2201.4242250000002</v>
      </c>
      <c r="J749" s="343">
        <v>2449.5847740000004</v>
      </c>
      <c r="K749" s="343">
        <v>4803.1073999999999</v>
      </c>
      <c r="L749" s="344">
        <v>1950.1292240837674</v>
      </c>
    </row>
    <row r="750" spans="2:12">
      <c r="B750" s="276">
        <v>768000</v>
      </c>
      <c r="C750" s="334">
        <v>2069.7600000000002</v>
      </c>
      <c r="D750" s="334">
        <v>2303.0784000000003</v>
      </c>
      <c r="E750" s="276">
        <v>4515.84</v>
      </c>
      <c r="F750" s="304">
        <v>2246.2013654450238</v>
      </c>
      <c r="H750" s="191"/>
      <c r="I750" s="343">
        <v>2204.2944000000002</v>
      </c>
      <c r="J750" s="343">
        <v>2452.7784960000004</v>
      </c>
      <c r="K750" s="343">
        <v>4809.3696</v>
      </c>
      <c r="L750" s="344">
        <v>1952.671765445024</v>
      </c>
    </row>
    <row r="751" spans="2:12">
      <c r="B751" s="276">
        <v>769000</v>
      </c>
      <c r="C751" s="334">
        <v>2072.4550000000004</v>
      </c>
      <c r="D751" s="334">
        <v>2306.0772000000002</v>
      </c>
      <c r="E751" s="276">
        <v>4521.72</v>
      </c>
      <c r="F751" s="304">
        <v>2249.1261068062804</v>
      </c>
      <c r="H751" s="191"/>
      <c r="I751" s="343">
        <v>2207.1645750000002</v>
      </c>
      <c r="J751" s="343">
        <v>2455.9722180000003</v>
      </c>
      <c r="K751" s="343">
        <v>4815.6318000000001</v>
      </c>
      <c r="L751" s="344">
        <v>1955.2143068062805</v>
      </c>
    </row>
    <row r="752" spans="2:12">
      <c r="B752" s="276">
        <v>770000</v>
      </c>
      <c r="C752" s="334">
        <v>2075.15</v>
      </c>
      <c r="D752" s="334">
        <v>2309.0760000000005</v>
      </c>
      <c r="E752" s="276">
        <v>4527.6000000000004</v>
      </c>
      <c r="F752" s="304">
        <v>2252.050848167537</v>
      </c>
      <c r="H752" s="191"/>
      <c r="I752" s="343">
        <v>2210.0347500000003</v>
      </c>
      <c r="J752" s="343">
        <v>2459.1659400000003</v>
      </c>
      <c r="K752" s="343">
        <v>4821.8940000000002</v>
      </c>
      <c r="L752" s="344">
        <v>1957.7568481675371</v>
      </c>
    </row>
    <row r="753" spans="2:12">
      <c r="B753" s="276">
        <v>771000</v>
      </c>
      <c r="C753" s="334">
        <v>2077.8450000000003</v>
      </c>
      <c r="D753" s="334">
        <v>2312.0748000000003</v>
      </c>
      <c r="E753" s="276">
        <v>4533.4800000000005</v>
      </c>
      <c r="F753" s="304">
        <v>2254.9755895287935</v>
      </c>
      <c r="H753" s="191"/>
      <c r="I753" s="343">
        <v>2212.9049250000003</v>
      </c>
      <c r="J753" s="343">
        <v>2462.3596620000003</v>
      </c>
      <c r="K753" s="343">
        <v>4828.1562000000004</v>
      </c>
      <c r="L753" s="344">
        <v>1960.2993895287937</v>
      </c>
    </row>
    <row r="754" spans="2:12">
      <c r="B754" s="276">
        <v>772000</v>
      </c>
      <c r="C754" s="334">
        <v>2080.5400000000004</v>
      </c>
      <c r="D754" s="334">
        <v>2315.0736000000002</v>
      </c>
      <c r="E754" s="276">
        <v>4539.3600000000006</v>
      </c>
      <c r="F754" s="304">
        <v>2257.9003308900501</v>
      </c>
      <c r="H754" s="191"/>
      <c r="I754" s="343">
        <v>2215.7751000000003</v>
      </c>
      <c r="J754" s="343">
        <v>2465.5533840000003</v>
      </c>
      <c r="K754" s="343">
        <v>4834.4184000000005</v>
      </c>
      <c r="L754" s="344">
        <v>1962.8419308900502</v>
      </c>
    </row>
    <row r="755" spans="2:12">
      <c r="B755" s="276">
        <v>773000</v>
      </c>
      <c r="C755" s="334">
        <v>2083.2350000000001</v>
      </c>
      <c r="D755" s="334">
        <v>2318.0724000000005</v>
      </c>
      <c r="E755" s="276">
        <v>4545.2400000000007</v>
      </c>
      <c r="F755" s="304">
        <v>2260.8250722513067</v>
      </c>
      <c r="H755" s="191"/>
      <c r="I755" s="343">
        <v>2218.6452750000003</v>
      </c>
      <c r="J755" s="343">
        <v>2468.7471060000007</v>
      </c>
      <c r="K755" s="343">
        <v>4840.6806000000006</v>
      </c>
      <c r="L755" s="344">
        <v>1965.3844722513068</v>
      </c>
    </row>
    <row r="756" spans="2:12">
      <c r="B756" s="276">
        <v>774000</v>
      </c>
      <c r="C756" s="334">
        <v>2085.9300000000003</v>
      </c>
      <c r="D756" s="334">
        <v>2321.0711999999999</v>
      </c>
      <c r="E756" s="276">
        <v>4551.12</v>
      </c>
      <c r="F756" s="304">
        <v>2263.7498136125632</v>
      </c>
      <c r="H756" s="191"/>
      <c r="I756" s="343">
        <v>2221.5154500000003</v>
      </c>
      <c r="J756" s="343">
        <v>2471.9408279999998</v>
      </c>
      <c r="K756" s="343">
        <v>4846.9427999999998</v>
      </c>
      <c r="L756" s="344">
        <v>1967.9270136125633</v>
      </c>
    </row>
    <row r="757" spans="2:12">
      <c r="B757" s="276">
        <v>775000</v>
      </c>
      <c r="C757" s="334">
        <v>2088.6250000000005</v>
      </c>
      <c r="D757" s="334">
        <v>2324.0700000000002</v>
      </c>
      <c r="E757" s="276">
        <v>4557.0000000000009</v>
      </c>
      <c r="F757" s="304">
        <v>2266.6745549738198</v>
      </c>
      <c r="H757" s="191"/>
      <c r="I757" s="343">
        <v>2224.3856250000003</v>
      </c>
      <c r="J757" s="343">
        <v>2475.1345500000002</v>
      </c>
      <c r="K757" s="343">
        <v>4853.2050000000008</v>
      </c>
      <c r="L757" s="344">
        <v>1970.4695549738199</v>
      </c>
    </row>
    <row r="758" spans="2:12">
      <c r="B758" s="276">
        <v>776000</v>
      </c>
      <c r="C758" s="334">
        <v>2091.3200000000002</v>
      </c>
      <c r="D758" s="334">
        <v>2327.0688000000005</v>
      </c>
      <c r="E758" s="276">
        <v>4562.88</v>
      </c>
      <c r="F758" s="304">
        <v>2269.5992963350764</v>
      </c>
      <c r="H758" s="191"/>
      <c r="I758" s="343">
        <v>2227.2558000000004</v>
      </c>
      <c r="J758" s="343">
        <v>2478.3282720000007</v>
      </c>
      <c r="K758" s="343">
        <v>4859.4672</v>
      </c>
      <c r="L758" s="344">
        <v>1973.0120963350764</v>
      </c>
    </row>
    <row r="759" spans="2:12">
      <c r="B759" s="276">
        <v>777000</v>
      </c>
      <c r="C759" s="334">
        <v>2094.0150000000003</v>
      </c>
      <c r="D759" s="334">
        <v>2330.0676000000003</v>
      </c>
      <c r="E759" s="276">
        <v>4568.76</v>
      </c>
      <c r="F759" s="304">
        <v>2272.5240376963329</v>
      </c>
      <c r="H759" s="191"/>
      <c r="I759" s="343">
        <v>2230.1259750000004</v>
      </c>
      <c r="J759" s="343">
        <v>2481.5219940000002</v>
      </c>
      <c r="K759" s="343">
        <v>4865.7294000000002</v>
      </c>
      <c r="L759" s="344">
        <v>1975.554637696333</v>
      </c>
    </row>
    <row r="760" spans="2:12">
      <c r="B760" s="276">
        <v>778000</v>
      </c>
      <c r="C760" s="334">
        <v>2096.7100000000005</v>
      </c>
      <c r="D760" s="334">
        <v>2333.0664000000002</v>
      </c>
      <c r="E760" s="276">
        <v>4574.6400000000003</v>
      </c>
      <c r="F760" s="304">
        <v>2275.4487790575895</v>
      </c>
      <c r="H760" s="191"/>
      <c r="I760" s="343">
        <v>2232.9961500000004</v>
      </c>
      <c r="J760" s="343">
        <v>2484.7157160000002</v>
      </c>
      <c r="K760" s="343">
        <v>4871.9916000000003</v>
      </c>
      <c r="L760" s="344">
        <v>1978.0971790575895</v>
      </c>
    </row>
    <row r="761" spans="2:12">
      <c r="B761" s="276">
        <v>779000</v>
      </c>
      <c r="C761" s="334">
        <v>2099.4050000000002</v>
      </c>
      <c r="D761" s="334">
        <v>2336.0652000000005</v>
      </c>
      <c r="E761" s="276">
        <v>4580.5200000000004</v>
      </c>
      <c r="F761" s="304">
        <v>2278.3735204188461</v>
      </c>
      <c r="H761" s="191"/>
      <c r="I761" s="343">
        <v>2235.8663250000004</v>
      </c>
      <c r="J761" s="343">
        <v>2487.9094380000006</v>
      </c>
      <c r="K761" s="343">
        <v>4878.2538000000004</v>
      </c>
      <c r="L761" s="344">
        <v>1980.6397204188461</v>
      </c>
    </row>
    <row r="762" spans="2:12">
      <c r="B762" s="276">
        <v>780000</v>
      </c>
      <c r="C762" s="334">
        <v>2102.1</v>
      </c>
      <c r="D762" s="334">
        <v>2339.0640000000003</v>
      </c>
      <c r="E762" s="276">
        <v>4586.4000000000005</v>
      </c>
      <c r="F762" s="304">
        <v>2281.2982617801026</v>
      </c>
      <c r="H762" s="191"/>
      <c r="I762" s="343">
        <v>2238.7365</v>
      </c>
      <c r="J762" s="343">
        <v>2491.1031600000006</v>
      </c>
      <c r="K762" s="343">
        <v>4884.5160000000005</v>
      </c>
      <c r="L762" s="344">
        <v>1983.1822617801026</v>
      </c>
    </row>
    <row r="763" spans="2:12">
      <c r="B763" s="276">
        <v>781000</v>
      </c>
      <c r="C763" s="334">
        <v>2104.7950000000001</v>
      </c>
      <c r="D763" s="334">
        <v>2342.0628000000002</v>
      </c>
      <c r="E763" s="276">
        <v>4592.2800000000007</v>
      </c>
      <c r="F763" s="304">
        <v>2284.2230031413592</v>
      </c>
      <c r="H763" s="191"/>
      <c r="I763" s="343">
        <v>2241.606675</v>
      </c>
      <c r="J763" s="343">
        <v>2494.2968820000001</v>
      </c>
      <c r="K763" s="343">
        <v>4890.7782000000007</v>
      </c>
      <c r="L763" s="344">
        <v>1985.7248031413592</v>
      </c>
    </row>
    <row r="764" spans="2:12">
      <c r="B764" s="276">
        <v>782000</v>
      </c>
      <c r="C764" s="334">
        <v>2107.4900000000002</v>
      </c>
      <c r="D764" s="334">
        <v>2345.0616000000005</v>
      </c>
      <c r="E764" s="276">
        <v>4598.1600000000008</v>
      </c>
      <c r="F764" s="304">
        <v>2287.1477445026158</v>
      </c>
      <c r="H764" s="191"/>
      <c r="I764" s="343">
        <v>2244.4768500000005</v>
      </c>
      <c r="J764" s="343">
        <v>2497.4906040000005</v>
      </c>
      <c r="K764" s="343">
        <v>4897.0404000000008</v>
      </c>
      <c r="L764" s="344">
        <v>1988.2673445026157</v>
      </c>
    </row>
    <row r="765" spans="2:12">
      <c r="B765" s="276">
        <v>783000</v>
      </c>
      <c r="C765" s="334">
        <v>2110.1849999999999</v>
      </c>
      <c r="D765" s="334">
        <v>2348.0604000000003</v>
      </c>
      <c r="E765" s="276">
        <v>4604.04</v>
      </c>
      <c r="F765" s="304">
        <v>2290.0724858638723</v>
      </c>
      <c r="H765" s="191"/>
      <c r="I765" s="343">
        <v>2247.347025</v>
      </c>
      <c r="J765" s="343">
        <v>2500.6843260000005</v>
      </c>
      <c r="K765" s="343">
        <v>4903.3026</v>
      </c>
      <c r="L765" s="344">
        <v>1990.8098858638723</v>
      </c>
    </row>
    <row r="766" spans="2:12">
      <c r="B766" s="276">
        <v>784000</v>
      </c>
      <c r="C766" s="334">
        <v>2112.88</v>
      </c>
      <c r="D766" s="334">
        <v>2351.0592000000001</v>
      </c>
      <c r="E766" s="276">
        <v>4609.920000000001</v>
      </c>
      <c r="F766" s="304">
        <v>2292.9972272251289</v>
      </c>
      <c r="H766" s="191"/>
      <c r="I766" s="343">
        <v>2250.2172</v>
      </c>
      <c r="J766" s="343">
        <v>2503.878048</v>
      </c>
      <c r="K766" s="343">
        <v>4909.564800000001</v>
      </c>
      <c r="L766" s="344">
        <v>1993.3524272251288</v>
      </c>
    </row>
    <row r="767" spans="2:12">
      <c r="B767" s="276">
        <v>785000</v>
      </c>
      <c r="C767" s="334">
        <v>2115.5750000000003</v>
      </c>
      <c r="D767" s="334">
        <v>2354.0580000000004</v>
      </c>
      <c r="E767" s="276">
        <v>4615.8</v>
      </c>
      <c r="F767" s="304">
        <v>2295.9219685863854</v>
      </c>
      <c r="H767" s="191"/>
      <c r="I767" s="343">
        <v>2253.0873750000001</v>
      </c>
      <c r="J767" s="343">
        <v>2507.0717700000005</v>
      </c>
      <c r="K767" s="343">
        <v>4915.8270000000002</v>
      </c>
      <c r="L767" s="344">
        <v>1995.8949685863854</v>
      </c>
    </row>
    <row r="768" spans="2:12">
      <c r="B768" s="276">
        <v>786000</v>
      </c>
      <c r="C768" s="334">
        <v>2118.27</v>
      </c>
      <c r="D768" s="334">
        <v>2357.0568000000003</v>
      </c>
      <c r="E768" s="276">
        <v>4621.68</v>
      </c>
      <c r="F768" s="304">
        <v>2298.846709947642</v>
      </c>
      <c r="H768" s="191"/>
      <c r="I768" s="343">
        <v>2255.9575500000001</v>
      </c>
      <c r="J768" s="343">
        <v>2510.2654920000004</v>
      </c>
      <c r="K768" s="343">
        <v>4922.0892000000003</v>
      </c>
      <c r="L768" s="344">
        <v>1998.437509947642</v>
      </c>
    </row>
    <row r="769" spans="2:12">
      <c r="B769" s="276">
        <v>787000</v>
      </c>
      <c r="C769" s="334">
        <v>2120.9650000000001</v>
      </c>
      <c r="D769" s="334">
        <v>2360.0556000000001</v>
      </c>
      <c r="E769" s="276">
        <v>4627.5600000000004</v>
      </c>
      <c r="F769" s="304">
        <v>2301.7714513088986</v>
      </c>
      <c r="H769" s="191"/>
      <c r="I769" s="343">
        <v>2258.8277250000001</v>
      </c>
      <c r="J769" s="343">
        <v>2513.459214</v>
      </c>
      <c r="K769" s="343">
        <v>4928.3514000000005</v>
      </c>
      <c r="L769" s="344">
        <v>2000.9800513088985</v>
      </c>
    </row>
    <row r="770" spans="2:12">
      <c r="B770" s="276">
        <v>788000</v>
      </c>
      <c r="C770" s="334">
        <v>2123.6600000000003</v>
      </c>
      <c r="D770" s="334">
        <v>2363.0544</v>
      </c>
      <c r="E770" s="276">
        <v>4633.4400000000005</v>
      </c>
      <c r="F770" s="304">
        <v>2304.6961926701551</v>
      </c>
      <c r="H770" s="191"/>
      <c r="I770" s="343">
        <v>2261.6979000000001</v>
      </c>
      <c r="J770" s="343">
        <v>2516.652936</v>
      </c>
      <c r="K770" s="343">
        <v>4934.6136000000006</v>
      </c>
      <c r="L770" s="344">
        <v>2003.5225926701551</v>
      </c>
    </row>
    <row r="771" spans="2:12">
      <c r="B771" s="276">
        <v>789000</v>
      </c>
      <c r="C771" s="334">
        <v>2126.355</v>
      </c>
      <c r="D771" s="334">
        <v>2366.0532000000003</v>
      </c>
      <c r="E771" s="276">
        <v>4639.3200000000006</v>
      </c>
      <c r="F771" s="304">
        <v>2307.6209340314117</v>
      </c>
      <c r="H771" s="191"/>
      <c r="I771" s="343">
        <v>2264.5680750000001</v>
      </c>
      <c r="J771" s="343">
        <v>2519.8466580000004</v>
      </c>
      <c r="K771" s="343">
        <v>4940.8758000000007</v>
      </c>
      <c r="L771" s="344">
        <v>2006.0651340314114</v>
      </c>
    </row>
    <row r="772" spans="2:12">
      <c r="B772" s="276">
        <v>790000</v>
      </c>
      <c r="C772" s="334">
        <v>2129.0500000000002</v>
      </c>
      <c r="D772" s="334">
        <v>2369.0520000000001</v>
      </c>
      <c r="E772" s="276">
        <v>4645.2000000000007</v>
      </c>
      <c r="F772" s="304">
        <v>2310.5456753926683</v>
      </c>
      <c r="H772" s="191"/>
      <c r="I772" s="343">
        <v>2267.4382500000002</v>
      </c>
      <c r="J772" s="343">
        <v>2523.0403800000004</v>
      </c>
      <c r="K772" s="343">
        <v>4947.1380000000008</v>
      </c>
      <c r="L772" s="344">
        <v>2008.6076753926679</v>
      </c>
    </row>
    <row r="773" spans="2:12">
      <c r="B773" s="276">
        <v>791000</v>
      </c>
      <c r="C773" s="334">
        <v>2131.7450000000003</v>
      </c>
      <c r="D773" s="334">
        <v>2372.0508</v>
      </c>
      <c r="E773" s="276">
        <v>4651.0800000000008</v>
      </c>
      <c r="F773" s="304">
        <v>2313.4704167539248</v>
      </c>
      <c r="H773" s="191"/>
      <c r="I773" s="343">
        <v>2270.3084250000002</v>
      </c>
      <c r="J773" s="343">
        <v>2526.2341019999999</v>
      </c>
      <c r="K773" s="343">
        <v>4953.400200000001</v>
      </c>
      <c r="L773" s="344">
        <v>2011.1502167539245</v>
      </c>
    </row>
    <row r="774" spans="2:12">
      <c r="B774" s="276">
        <v>792000</v>
      </c>
      <c r="C774" s="334">
        <v>2134.44</v>
      </c>
      <c r="D774" s="334">
        <v>2375.0496000000007</v>
      </c>
      <c r="E774" s="276">
        <v>4656.96</v>
      </c>
      <c r="F774" s="304">
        <v>2316.3951581151814</v>
      </c>
      <c r="H774" s="191"/>
      <c r="I774" s="343">
        <v>2273.1786000000002</v>
      </c>
      <c r="J774" s="343">
        <v>2529.4278240000008</v>
      </c>
      <c r="K774" s="343">
        <v>4959.6624000000002</v>
      </c>
      <c r="L774" s="344">
        <v>2013.6927581151811</v>
      </c>
    </row>
    <row r="775" spans="2:12">
      <c r="B775" s="276">
        <v>793000</v>
      </c>
      <c r="C775" s="334">
        <v>2137.1350000000002</v>
      </c>
      <c r="D775" s="334">
        <v>2378.0484000000001</v>
      </c>
      <c r="E775" s="276">
        <v>4662.84</v>
      </c>
      <c r="F775" s="304">
        <v>2319.319899476438</v>
      </c>
      <c r="H775" s="191"/>
      <c r="I775" s="343">
        <v>2276.0487750000002</v>
      </c>
      <c r="J775" s="343">
        <v>2532.6215460000003</v>
      </c>
      <c r="K775" s="343">
        <v>4965.9246000000003</v>
      </c>
      <c r="L775" s="344">
        <v>2016.2352994764376</v>
      </c>
    </row>
    <row r="776" spans="2:12">
      <c r="B776" s="276">
        <v>794000</v>
      </c>
      <c r="C776" s="334">
        <v>2139.8300000000004</v>
      </c>
      <c r="D776" s="334">
        <v>2381.0472</v>
      </c>
      <c r="E776" s="276">
        <v>4668.72</v>
      </c>
      <c r="F776" s="304">
        <v>2322.2446408376945</v>
      </c>
      <c r="H776" s="191"/>
      <c r="I776" s="343">
        <v>2278.9189500000002</v>
      </c>
      <c r="J776" s="343">
        <v>2535.8152679999998</v>
      </c>
      <c r="K776" s="343">
        <v>4972.1868000000004</v>
      </c>
      <c r="L776" s="344">
        <v>2018.7778408376942</v>
      </c>
    </row>
    <row r="777" spans="2:12">
      <c r="B777" s="276">
        <v>795000</v>
      </c>
      <c r="C777" s="334">
        <v>2142.5250000000001</v>
      </c>
      <c r="D777" s="334">
        <v>2384.0460000000007</v>
      </c>
      <c r="E777" s="276">
        <v>4674.6000000000004</v>
      </c>
      <c r="F777" s="304">
        <v>2325.1693821989511</v>
      </c>
      <c r="H777" s="191"/>
      <c r="I777" s="343">
        <v>2281.7891250000002</v>
      </c>
      <c r="J777" s="343">
        <v>2539.0089900000007</v>
      </c>
      <c r="K777" s="343">
        <v>4978.4490000000005</v>
      </c>
      <c r="L777" s="344">
        <v>2021.3203821989507</v>
      </c>
    </row>
    <row r="778" spans="2:12">
      <c r="B778" s="276">
        <v>796000</v>
      </c>
      <c r="C778" s="334">
        <v>2145.2200000000003</v>
      </c>
      <c r="D778" s="334">
        <v>2387.0448000000001</v>
      </c>
      <c r="E778" s="276">
        <v>4680.4800000000005</v>
      </c>
      <c r="F778" s="304">
        <v>2328.0941235602077</v>
      </c>
      <c r="H778" s="191"/>
      <c r="I778" s="343">
        <v>2284.6593000000003</v>
      </c>
      <c r="J778" s="343">
        <v>2542.2027120000002</v>
      </c>
      <c r="K778" s="343">
        <v>4984.7112000000006</v>
      </c>
      <c r="L778" s="344">
        <v>2023.8629235602073</v>
      </c>
    </row>
    <row r="779" spans="2:12">
      <c r="B779" s="276">
        <v>797000</v>
      </c>
      <c r="C779" s="334">
        <v>2147.9150000000004</v>
      </c>
      <c r="D779" s="334">
        <v>2390.0436000000004</v>
      </c>
      <c r="E779" s="276">
        <v>4686.3600000000006</v>
      </c>
      <c r="F779" s="304">
        <v>2331.0188649214642</v>
      </c>
      <c r="H779" s="191"/>
      <c r="I779" s="343">
        <v>2287.5294750000003</v>
      </c>
      <c r="J779" s="343">
        <v>2545.3964340000002</v>
      </c>
      <c r="K779" s="343">
        <v>4990.9734000000008</v>
      </c>
      <c r="L779" s="344">
        <v>2026.4054649214638</v>
      </c>
    </row>
    <row r="780" spans="2:12">
      <c r="B780" s="276">
        <v>798000</v>
      </c>
      <c r="C780" s="334">
        <v>2150.61</v>
      </c>
      <c r="D780" s="334">
        <v>2393.0424000000003</v>
      </c>
      <c r="E780" s="276">
        <v>4692.2400000000007</v>
      </c>
      <c r="F780" s="304">
        <v>2333.9436062827208</v>
      </c>
      <c r="H780" s="191"/>
      <c r="I780" s="343">
        <v>2290.3996500000003</v>
      </c>
      <c r="J780" s="343">
        <v>2548.5901560000002</v>
      </c>
      <c r="K780" s="343">
        <v>4997.2356000000009</v>
      </c>
      <c r="L780" s="344">
        <v>2028.9480062827204</v>
      </c>
    </row>
    <row r="781" spans="2:12">
      <c r="B781" s="276">
        <v>799000</v>
      </c>
      <c r="C781" s="334">
        <v>2153.3050000000003</v>
      </c>
      <c r="D781" s="334">
        <v>2396.0412000000001</v>
      </c>
      <c r="E781" s="276">
        <v>4698.12</v>
      </c>
      <c r="F781" s="304">
        <v>2336.8683476439774</v>
      </c>
      <c r="H781" s="191"/>
      <c r="I781" s="343">
        <v>2293.2698250000003</v>
      </c>
      <c r="J781" s="343">
        <v>2551.7838780000002</v>
      </c>
      <c r="K781" s="343">
        <v>5003.4978000000001</v>
      </c>
      <c r="L781" s="344">
        <v>2031.4905476439769</v>
      </c>
    </row>
    <row r="782" spans="2:12">
      <c r="B782" s="276">
        <v>800000</v>
      </c>
      <c r="C782" s="334">
        <v>2156.0000000000005</v>
      </c>
      <c r="D782" s="334">
        <v>2399.0400000000004</v>
      </c>
      <c r="E782" s="276">
        <v>4704.0000000000009</v>
      </c>
      <c r="F782" s="304">
        <v>2339.7930890052339</v>
      </c>
      <c r="H782" s="191"/>
      <c r="I782" s="343">
        <v>2296.1400000000003</v>
      </c>
      <c r="J782" s="343">
        <v>2554.9776000000006</v>
      </c>
      <c r="K782" s="343">
        <v>5009.7600000000011</v>
      </c>
      <c r="L782" s="344">
        <v>2034.0330890052335</v>
      </c>
    </row>
  </sheetData>
  <autoFilter ref="B1:G782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3"/>
  <sheetViews>
    <sheetView zoomScaleNormal="100" workbookViewId="0">
      <pane ySplit="1" topLeftCell="A2" activePane="bottomLeft" state="frozen"/>
      <selection pane="bottomLeft" activeCell="L94" sqref="L94"/>
    </sheetView>
  </sheetViews>
  <sheetFormatPr baseColWidth="10" defaultRowHeight="15"/>
  <cols>
    <col min="2" max="2" width="13" bestFit="1" customWidth="1"/>
    <col min="3" max="3" width="13.7109375" bestFit="1" customWidth="1"/>
    <col min="4" max="4" width="12.42578125" bestFit="1" customWidth="1"/>
    <col min="6" max="6" width="13.42578125" customWidth="1"/>
    <col min="7" max="7" width="14.85546875" customWidth="1"/>
    <col min="8" max="8" width="20.7109375" bestFit="1" customWidth="1"/>
    <col min="9" max="9" width="18.28515625" bestFit="1" customWidth="1"/>
    <col min="10" max="10" width="22.42578125" bestFit="1" customWidth="1"/>
    <col min="11" max="11" width="24.28515625" bestFit="1" customWidth="1"/>
    <col min="12" max="12" width="22.42578125" bestFit="1" customWidth="1"/>
    <col min="13" max="13" width="24.42578125" bestFit="1" customWidth="1"/>
    <col min="14" max="14" width="22.42578125" bestFit="1" customWidth="1"/>
  </cols>
  <sheetData>
    <row r="1" spans="2:16">
      <c r="B1" s="4" t="s">
        <v>486</v>
      </c>
      <c r="C1" s="4" t="s">
        <v>494</v>
      </c>
      <c r="D1" s="4" t="s">
        <v>495</v>
      </c>
      <c r="E1" s="4" t="s">
        <v>490</v>
      </c>
      <c r="F1" s="4" t="s">
        <v>498</v>
      </c>
      <c r="G1" s="4" t="s">
        <v>497</v>
      </c>
      <c r="H1" s="4" t="s">
        <v>487</v>
      </c>
      <c r="I1" s="4" t="s">
        <v>488</v>
      </c>
      <c r="J1" s="4" t="s">
        <v>489</v>
      </c>
      <c r="K1" s="4" t="s">
        <v>502</v>
      </c>
      <c r="L1" s="4" t="s">
        <v>500</v>
      </c>
      <c r="M1" s="4" t="s">
        <v>503</v>
      </c>
      <c r="N1" s="4" t="s">
        <v>501</v>
      </c>
      <c r="O1" s="4" t="s">
        <v>496</v>
      </c>
      <c r="P1" s="192">
        <v>0.15</v>
      </c>
    </row>
    <row r="2" spans="2:16">
      <c r="B2" s="330">
        <v>1</v>
      </c>
      <c r="C2" s="300">
        <v>276.43</v>
      </c>
      <c r="D2" s="300">
        <v>225.4</v>
      </c>
      <c r="E2" s="300">
        <f>C2</f>
        <v>276.43</v>
      </c>
      <c r="F2" s="324">
        <v>362.99</v>
      </c>
      <c r="G2" s="312">
        <v>300.95999999999998</v>
      </c>
      <c r="H2" s="304">
        <v>486.64</v>
      </c>
      <c r="I2" s="304">
        <v>561.64</v>
      </c>
      <c r="J2" s="304">
        <v>711.64</v>
      </c>
      <c r="K2" s="328">
        <f>L2-(C2-D2)-10.2</f>
        <v>133.81000000000003</v>
      </c>
      <c r="L2" s="191">
        <f>(D2*$P$1)+(C2-D2)+10.2+100</f>
        <v>195.04000000000002</v>
      </c>
      <c r="M2" s="191">
        <f>N2-(F2-G2)-10.2</f>
        <v>122.80999999999999</v>
      </c>
      <c r="N2" s="191">
        <f>L2</f>
        <v>195.04000000000002</v>
      </c>
    </row>
    <row r="3" spans="2:16">
      <c r="B3" s="330">
        <v>1000</v>
      </c>
      <c r="C3" s="300">
        <v>276.43</v>
      </c>
      <c r="D3" s="300">
        <v>225.4</v>
      </c>
      <c r="E3" s="300">
        <f t="shared" ref="E3:E66" si="0">C3</f>
        <v>276.43</v>
      </c>
      <c r="F3" s="324">
        <v>362.99</v>
      </c>
      <c r="G3" s="312">
        <v>300.95999999999998</v>
      </c>
      <c r="H3" s="304">
        <v>486.64</v>
      </c>
      <c r="I3" s="304">
        <v>561.64</v>
      </c>
      <c r="J3" s="304">
        <v>711.64</v>
      </c>
      <c r="K3" s="328">
        <f t="shared" ref="K3:K66" si="1">L3-(C3-D3)-10.2</f>
        <v>133.81000000000003</v>
      </c>
      <c r="L3" s="191">
        <f t="shared" ref="L3:L10" si="2">(D3*$P$1)+(C3-D3)+10.2+100</f>
        <v>195.04000000000002</v>
      </c>
      <c r="M3" s="191">
        <f t="shared" ref="M3:M66" si="3">N3-(F3-G3)-10.2</f>
        <v>122.80999999999999</v>
      </c>
      <c r="N3" s="191">
        <f t="shared" ref="N3:N66" si="4">L3</f>
        <v>195.04000000000002</v>
      </c>
    </row>
    <row r="4" spans="2:16">
      <c r="B4" s="330">
        <v>5000</v>
      </c>
      <c r="C4" s="300">
        <v>276.43</v>
      </c>
      <c r="D4" s="300">
        <v>225.4</v>
      </c>
      <c r="E4" s="300">
        <f t="shared" si="0"/>
        <v>276.43</v>
      </c>
      <c r="F4" s="324">
        <v>362.99</v>
      </c>
      <c r="G4" s="312">
        <v>300.95999999999998</v>
      </c>
      <c r="H4" s="304">
        <v>486.64</v>
      </c>
      <c r="I4" s="304">
        <v>561.64</v>
      </c>
      <c r="J4" s="304">
        <v>711.64</v>
      </c>
      <c r="K4" s="328">
        <f t="shared" si="1"/>
        <v>133.81000000000003</v>
      </c>
      <c r="L4" s="191">
        <f t="shared" si="2"/>
        <v>195.04000000000002</v>
      </c>
      <c r="M4" s="191">
        <f t="shared" si="3"/>
        <v>122.80999999999999</v>
      </c>
      <c r="N4" s="191">
        <f t="shared" si="4"/>
        <v>195.04000000000002</v>
      </c>
    </row>
    <row r="5" spans="2:16">
      <c r="B5" s="330">
        <v>10000</v>
      </c>
      <c r="C5" s="300">
        <v>276.43</v>
      </c>
      <c r="D5" s="300">
        <v>225.4</v>
      </c>
      <c r="E5" s="300">
        <f t="shared" si="0"/>
        <v>276.43</v>
      </c>
      <c r="F5" s="324">
        <v>362.99</v>
      </c>
      <c r="G5" s="312">
        <v>300.95999999999998</v>
      </c>
      <c r="H5" s="304">
        <v>486.64</v>
      </c>
      <c r="I5" s="304">
        <v>561.64</v>
      </c>
      <c r="J5" s="304">
        <v>711.64</v>
      </c>
      <c r="K5" s="328">
        <f t="shared" si="1"/>
        <v>133.81000000000003</v>
      </c>
      <c r="L5" s="191">
        <f t="shared" si="2"/>
        <v>195.04000000000002</v>
      </c>
      <c r="M5" s="191">
        <f t="shared" si="3"/>
        <v>122.80999999999999</v>
      </c>
      <c r="N5" s="191">
        <f t="shared" si="4"/>
        <v>195.04000000000002</v>
      </c>
    </row>
    <row r="6" spans="2:16">
      <c r="B6" s="330">
        <v>15000</v>
      </c>
      <c r="C6" s="300">
        <v>276.43</v>
      </c>
      <c r="D6" s="300">
        <v>225.4</v>
      </c>
      <c r="E6" s="300">
        <f t="shared" si="0"/>
        <v>276.43</v>
      </c>
      <c r="F6" s="324">
        <v>362.99</v>
      </c>
      <c r="G6" s="312">
        <v>300.95999999999998</v>
      </c>
      <c r="H6" s="304">
        <v>486.64</v>
      </c>
      <c r="I6" s="304">
        <v>561.64</v>
      </c>
      <c r="J6" s="304">
        <v>711.64</v>
      </c>
      <c r="K6" s="328">
        <f t="shared" si="1"/>
        <v>133.81000000000003</v>
      </c>
      <c r="L6" s="191">
        <f t="shared" si="2"/>
        <v>195.04000000000002</v>
      </c>
      <c r="M6" s="191">
        <f t="shared" si="3"/>
        <v>122.80999999999999</v>
      </c>
      <c r="N6" s="191">
        <f t="shared" si="4"/>
        <v>195.04000000000002</v>
      </c>
    </row>
    <row r="7" spans="2:16">
      <c r="B7" s="330">
        <v>20000</v>
      </c>
      <c r="C7" s="300">
        <v>276.43</v>
      </c>
      <c r="D7" s="300">
        <v>225.4</v>
      </c>
      <c r="E7" s="300">
        <f t="shared" si="0"/>
        <v>276.43</v>
      </c>
      <c r="F7" s="324">
        <v>362.99</v>
      </c>
      <c r="G7" s="312">
        <v>300.95999999999998</v>
      </c>
      <c r="H7" s="304">
        <v>486.64</v>
      </c>
      <c r="I7" s="304">
        <v>561.64</v>
      </c>
      <c r="J7" s="304">
        <v>711.64</v>
      </c>
      <c r="K7" s="328">
        <f t="shared" si="1"/>
        <v>133.81000000000003</v>
      </c>
      <c r="L7" s="191">
        <f t="shared" si="2"/>
        <v>195.04000000000002</v>
      </c>
      <c r="M7" s="191">
        <f t="shared" si="3"/>
        <v>122.80999999999999</v>
      </c>
      <c r="N7" s="191">
        <f t="shared" si="4"/>
        <v>195.04000000000002</v>
      </c>
    </row>
    <row r="8" spans="2:16">
      <c r="B8" s="329">
        <v>25000</v>
      </c>
      <c r="C8" s="300">
        <v>276.43</v>
      </c>
      <c r="D8" s="300">
        <v>225.4</v>
      </c>
      <c r="E8" s="300">
        <f t="shared" si="0"/>
        <v>276.43</v>
      </c>
      <c r="F8" s="324">
        <v>362.99</v>
      </c>
      <c r="G8" s="312">
        <v>300.95999999999998</v>
      </c>
      <c r="H8" s="304">
        <v>486.64</v>
      </c>
      <c r="I8" s="304">
        <v>561.64</v>
      </c>
      <c r="J8" s="304">
        <v>711.64</v>
      </c>
      <c r="K8" s="328">
        <f t="shared" si="1"/>
        <v>133.81000000000003</v>
      </c>
      <c r="L8" s="191">
        <f t="shared" si="2"/>
        <v>195.04000000000002</v>
      </c>
      <c r="M8" s="191">
        <f t="shared" si="3"/>
        <v>122.80999999999999</v>
      </c>
      <c r="N8" s="191">
        <f t="shared" si="4"/>
        <v>195.04000000000002</v>
      </c>
    </row>
    <row r="9" spans="2:16">
      <c r="B9" s="329">
        <v>30000</v>
      </c>
      <c r="C9" s="300">
        <v>276.43</v>
      </c>
      <c r="D9" s="300">
        <v>225.4</v>
      </c>
      <c r="E9" s="300">
        <f t="shared" si="0"/>
        <v>276.43</v>
      </c>
      <c r="F9" s="324">
        <v>362.99</v>
      </c>
      <c r="G9" s="312">
        <v>300.95999999999998</v>
      </c>
      <c r="H9" s="304">
        <v>486.64</v>
      </c>
      <c r="I9" s="304">
        <v>561.64</v>
      </c>
      <c r="J9" s="304">
        <v>711.64</v>
      </c>
      <c r="K9" s="328">
        <f t="shared" si="1"/>
        <v>133.81000000000003</v>
      </c>
      <c r="L9" s="191">
        <f t="shared" si="2"/>
        <v>195.04000000000002</v>
      </c>
      <c r="M9" s="191">
        <f t="shared" si="3"/>
        <v>122.80999999999999</v>
      </c>
      <c r="N9" s="191">
        <f t="shared" si="4"/>
        <v>195.04000000000002</v>
      </c>
    </row>
    <row r="10" spans="2:16">
      <c r="B10" s="330">
        <v>35000</v>
      </c>
      <c r="C10" s="300">
        <v>276.43</v>
      </c>
      <c r="D10" s="300">
        <v>225.4</v>
      </c>
      <c r="E10" s="300">
        <f t="shared" si="0"/>
        <v>276.43</v>
      </c>
      <c r="F10" s="324">
        <v>362.99</v>
      </c>
      <c r="G10" s="312">
        <v>300.95999999999998</v>
      </c>
      <c r="H10" s="304">
        <v>486.64</v>
      </c>
      <c r="I10" s="304">
        <v>561.64</v>
      </c>
      <c r="J10" s="304">
        <v>711.64</v>
      </c>
      <c r="K10" s="328">
        <f t="shared" si="1"/>
        <v>133.81000000000003</v>
      </c>
      <c r="L10" s="191">
        <f t="shared" si="2"/>
        <v>195.04000000000002</v>
      </c>
      <c r="M10" s="191">
        <f t="shared" si="3"/>
        <v>122.80999999999999</v>
      </c>
      <c r="N10" s="191">
        <f t="shared" si="4"/>
        <v>195.04000000000002</v>
      </c>
    </row>
    <row r="11" spans="2:16">
      <c r="B11" s="329">
        <v>40000</v>
      </c>
      <c r="C11" s="300">
        <v>302.75</v>
      </c>
      <c r="D11" s="300">
        <v>225.4</v>
      </c>
      <c r="E11" s="300">
        <f t="shared" si="0"/>
        <v>302.75</v>
      </c>
      <c r="F11" s="324">
        <v>362.99</v>
      </c>
      <c r="G11" s="312">
        <v>300.95999999999998</v>
      </c>
      <c r="H11" s="304">
        <v>486.64</v>
      </c>
      <c r="I11" s="304">
        <v>561.64</v>
      </c>
      <c r="J11" s="304">
        <v>711.64</v>
      </c>
      <c r="K11" s="328">
        <f t="shared" si="1"/>
        <v>151.64000000000001</v>
      </c>
      <c r="L11" s="191">
        <f>139.19+100</f>
        <v>239.19</v>
      </c>
      <c r="M11" s="191">
        <f t="shared" si="3"/>
        <v>166.95999999999998</v>
      </c>
      <c r="N11" s="191">
        <f t="shared" si="4"/>
        <v>239.19</v>
      </c>
    </row>
    <row r="12" spans="2:16">
      <c r="B12" s="330">
        <v>45000</v>
      </c>
      <c r="C12" s="300">
        <v>320.55</v>
      </c>
      <c r="D12" s="300">
        <v>225.4</v>
      </c>
      <c r="E12" s="300">
        <f t="shared" si="0"/>
        <v>320.55</v>
      </c>
      <c r="F12" s="324">
        <v>362.99</v>
      </c>
      <c r="G12" s="312">
        <v>300.95999999999998</v>
      </c>
      <c r="H12" s="304">
        <v>510.16</v>
      </c>
      <c r="I12" s="304">
        <v>585.16</v>
      </c>
      <c r="J12" s="304">
        <v>735.16</v>
      </c>
      <c r="K12" s="328">
        <f t="shared" si="1"/>
        <v>133.84</v>
      </c>
      <c r="L12" s="191">
        <f t="shared" ref="L12:L22" si="5">139.19+100</f>
        <v>239.19</v>
      </c>
      <c r="M12" s="191">
        <f t="shared" si="3"/>
        <v>166.95999999999998</v>
      </c>
      <c r="N12" s="191">
        <f t="shared" si="4"/>
        <v>239.19</v>
      </c>
    </row>
    <row r="13" spans="2:16">
      <c r="B13" s="329">
        <v>50000</v>
      </c>
      <c r="C13" s="301">
        <v>338.35</v>
      </c>
      <c r="D13" s="301">
        <v>267.54000000000002</v>
      </c>
      <c r="E13" s="300">
        <f t="shared" si="0"/>
        <v>338.35</v>
      </c>
      <c r="F13" s="324">
        <v>362.99</v>
      </c>
      <c r="G13" s="312">
        <v>300.95999999999998</v>
      </c>
      <c r="H13" s="304">
        <v>533.67999999999995</v>
      </c>
      <c r="I13" s="304">
        <v>608.67999999999995</v>
      </c>
      <c r="J13" s="304">
        <v>758.68</v>
      </c>
      <c r="K13" s="328">
        <f t="shared" si="1"/>
        <v>158.18</v>
      </c>
      <c r="L13" s="191">
        <f t="shared" si="5"/>
        <v>239.19</v>
      </c>
      <c r="M13" s="191">
        <f t="shared" si="3"/>
        <v>166.95999999999998</v>
      </c>
      <c r="N13" s="191">
        <f t="shared" si="4"/>
        <v>239.19</v>
      </c>
    </row>
    <row r="14" spans="2:16">
      <c r="B14" s="330">
        <v>55000</v>
      </c>
      <c r="C14" s="301">
        <v>356.15</v>
      </c>
      <c r="D14" s="301">
        <v>281.06</v>
      </c>
      <c r="E14" s="300">
        <f t="shared" si="0"/>
        <v>356.15</v>
      </c>
      <c r="F14" s="324">
        <v>362.99</v>
      </c>
      <c r="G14" s="312">
        <v>300.95999999999998</v>
      </c>
      <c r="H14" s="304">
        <v>557.20000000000005</v>
      </c>
      <c r="I14" s="304">
        <v>632.20000000000005</v>
      </c>
      <c r="J14" s="304">
        <v>782.2</v>
      </c>
      <c r="K14" s="328">
        <f t="shared" si="1"/>
        <v>153.90000000000003</v>
      </c>
      <c r="L14" s="191">
        <f t="shared" si="5"/>
        <v>239.19</v>
      </c>
      <c r="M14" s="191">
        <f t="shared" si="3"/>
        <v>166.95999999999998</v>
      </c>
      <c r="N14" s="191">
        <f t="shared" si="4"/>
        <v>239.19</v>
      </c>
    </row>
    <row r="15" spans="2:16">
      <c r="B15" s="329">
        <v>60000</v>
      </c>
      <c r="C15" s="300">
        <v>373.95</v>
      </c>
      <c r="D15" s="300">
        <v>302.56</v>
      </c>
      <c r="E15" s="300">
        <f t="shared" si="0"/>
        <v>373.95</v>
      </c>
      <c r="F15" s="324">
        <v>362.99</v>
      </c>
      <c r="G15" s="312">
        <v>300.95999999999998</v>
      </c>
      <c r="H15" s="304">
        <v>580.72</v>
      </c>
      <c r="I15" s="304">
        <v>655.72</v>
      </c>
      <c r="J15" s="304">
        <v>805.72</v>
      </c>
      <c r="K15" s="328">
        <f t="shared" si="1"/>
        <v>157.60000000000002</v>
      </c>
      <c r="L15" s="191">
        <f t="shared" si="5"/>
        <v>239.19</v>
      </c>
      <c r="M15" s="191">
        <f t="shared" si="3"/>
        <v>166.95999999999998</v>
      </c>
      <c r="N15" s="191">
        <f t="shared" si="4"/>
        <v>239.19</v>
      </c>
    </row>
    <row r="16" spans="2:16">
      <c r="B16" s="329">
        <v>65000</v>
      </c>
      <c r="C16" s="301">
        <v>391.76</v>
      </c>
      <c r="D16" s="301">
        <v>316.45</v>
      </c>
      <c r="E16" s="300">
        <f t="shared" si="0"/>
        <v>391.76</v>
      </c>
      <c r="F16" s="324">
        <v>362.99</v>
      </c>
      <c r="G16" s="312">
        <v>300.95999999999998</v>
      </c>
      <c r="H16" s="304">
        <v>604.24</v>
      </c>
      <c r="I16" s="304">
        <v>679.24</v>
      </c>
      <c r="J16" s="304">
        <v>829.24</v>
      </c>
      <c r="K16" s="328">
        <f t="shared" si="1"/>
        <v>153.68</v>
      </c>
      <c r="L16" s="191">
        <f t="shared" si="5"/>
        <v>239.19</v>
      </c>
      <c r="M16" s="191">
        <f t="shared" si="3"/>
        <v>166.95999999999998</v>
      </c>
      <c r="N16" s="191">
        <f t="shared" si="4"/>
        <v>239.19</v>
      </c>
    </row>
    <row r="17" spans="2:14">
      <c r="B17" s="330">
        <v>70000</v>
      </c>
      <c r="C17" s="300">
        <v>409.56</v>
      </c>
      <c r="D17" s="300">
        <v>362.9</v>
      </c>
      <c r="E17" s="300">
        <f t="shared" si="0"/>
        <v>409.56</v>
      </c>
      <c r="F17" s="324">
        <v>362.99</v>
      </c>
      <c r="G17" s="312">
        <v>300.95999999999998</v>
      </c>
      <c r="H17" s="304">
        <v>627.76</v>
      </c>
      <c r="I17" s="304">
        <v>702.76</v>
      </c>
      <c r="J17" s="304">
        <v>852.76</v>
      </c>
      <c r="K17" s="328">
        <f t="shared" si="1"/>
        <v>182.32999999999998</v>
      </c>
      <c r="L17" s="191">
        <f t="shared" si="5"/>
        <v>239.19</v>
      </c>
      <c r="M17" s="191">
        <f t="shared" si="3"/>
        <v>166.95999999999998</v>
      </c>
      <c r="N17" s="191">
        <f t="shared" si="4"/>
        <v>239.19</v>
      </c>
    </row>
    <row r="18" spans="2:14">
      <c r="B18" s="329">
        <v>75000</v>
      </c>
      <c r="C18" s="301">
        <v>427.36</v>
      </c>
      <c r="D18" s="301">
        <v>378.16</v>
      </c>
      <c r="E18" s="300">
        <f t="shared" si="0"/>
        <v>427.36</v>
      </c>
      <c r="F18" s="324">
        <v>378.77</v>
      </c>
      <c r="G18" s="311">
        <v>313.36</v>
      </c>
      <c r="H18" s="304">
        <v>651.28</v>
      </c>
      <c r="I18" s="304">
        <v>726.28</v>
      </c>
      <c r="J18" s="304">
        <v>876.28</v>
      </c>
      <c r="K18" s="328">
        <f t="shared" si="1"/>
        <v>179.79000000000002</v>
      </c>
      <c r="L18" s="191">
        <f t="shared" si="5"/>
        <v>239.19</v>
      </c>
      <c r="M18" s="191">
        <f t="shared" si="3"/>
        <v>163.58000000000004</v>
      </c>
      <c r="N18" s="191">
        <f t="shared" si="4"/>
        <v>239.19</v>
      </c>
    </row>
    <row r="19" spans="2:14">
      <c r="B19" s="330">
        <v>80000</v>
      </c>
      <c r="C19" s="300">
        <v>445.16</v>
      </c>
      <c r="D19" s="300">
        <v>393.42</v>
      </c>
      <c r="E19" s="300">
        <f t="shared" si="0"/>
        <v>445.16</v>
      </c>
      <c r="F19" s="324">
        <v>394.55</v>
      </c>
      <c r="G19" s="311">
        <v>325.75</v>
      </c>
      <c r="H19" s="304">
        <v>674.8</v>
      </c>
      <c r="I19" s="304">
        <v>749.8</v>
      </c>
      <c r="J19" s="304">
        <v>899.8</v>
      </c>
      <c r="K19" s="328">
        <f t="shared" si="1"/>
        <v>177.25</v>
      </c>
      <c r="L19" s="191">
        <f t="shared" si="5"/>
        <v>239.19</v>
      </c>
      <c r="M19" s="191">
        <f t="shared" si="3"/>
        <v>160.19</v>
      </c>
      <c r="N19" s="191">
        <f t="shared" si="4"/>
        <v>239.19</v>
      </c>
    </row>
    <row r="20" spans="2:14">
      <c r="B20" s="329">
        <v>85000</v>
      </c>
      <c r="C20" s="301">
        <v>462.96</v>
      </c>
      <c r="D20" s="301">
        <v>408.67</v>
      </c>
      <c r="E20" s="300">
        <f t="shared" si="0"/>
        <v>462.96</v>
      </c>
      <c r="F20" s="324">
        <v>462.96</v>
      </c>
      <c r="G20" s="311">
        <v>381.53</v>
      </c>
      <c r="H20" s="304">
        <v>698.32</v>
      </c>
      <c r="I20" s="304">
        <v>773.32</v>
      </c>
      <c r="J20" s="304">
        <v>923.32</v>
      </c>
      <c r="K20" s="328">
        <f t="shared" si="1"/>
        <v>174.70000000000005</v>
      </c>
      <c r="L20" s="191">
        <f t="shared" si="5"/>
        <v>239.19</v>
      </c>
      <c r="M20" s="191">
        <f t="shared" si="3"/>
        <v>147.56</v>
      </c>
      <c r="N20" s="191">
        <f t="shared" si="4"/>
        <v>239.19</v>
      </c>
    </row>
    <row r="21" spans="2:14">
      <c r="B21" s="330">
        <v>90000</v>
      </c>
      <c r="C21" s="301">
        <v>480.77</v>
      </c>
      <c r="D21" s="301">
        <v>423.93</v>
      </c>
      <c r="E21" s="300">
        <f t="shared" si="0"/>
        <v>480.77</v>
      </c>
      <c r="F21" s="324">
        <v>480.77</v>
      </c>
      <c r="G21" s="311">
        <v>395.52</v>
      </c>
      <c r="H21" s="304">
        <v>721.84</v>
      </c>
      <c r="I21" s="304">
        <v>796.84</v>
      </c>
      <c r="J21" s="304">
        <v>946.84</v>
      </c>
      <c r="K21" s="328">
        <f t="shared" si="1"/>
        <v>172.15000000000003</v>
      </c>
      <c r="L21" s="191">
        <f t="shared" si="5"/>
        <v>239.19</v>
      </c>
      <c r="M21" s="191">
        <f t="shared" si="3"/>
        <v>143.74</v>
      </c>
      <c r="N21" s="191">
        <f t="shared" si="4"/>
        <v>239.19</v>
      </c>
    </row>
    <row r="22" spans="2:14">
      <c r="B22" s="329">
        <v>95000</v>
      </c>
      <c r="C22" s="300">
        <v>498.57</v>
      </c>
      <c r="D22" s="300">
        <v>439.19</v>
      </c>
      <c r="E22" s="300">
        <f t="shared" si="0"/>
        <v>498.57</v>
      </c>
      <c r="F22" s="324">
        <v>498.57</v>
      </c>
      <c r="G22" s="311">
        <v>409.5</v>
      </c>
      <c r="H22" s="304">
        <v>745.36</v>
      </c>
      <c r="I22" s="304">
        <v>820.36</v>
      </c>
      <c r="J22" s="304">
        <v>970.36</v>
      </c>
      <c r="K22" s="328">
        <f t="shared" si="1"/>
        <v>169.61</v>
      </c>
      <c r="L22" s="191">
        <f t="shared" si="5"/>
        <v>239.19</v>
      </c>
      <c r="M22" s="191">
        <f t="shared" si="3"/>
        <v>139.92000000000002</v>
      </c>
      <c r="N22" s="191">
        <f t="shared" si="4"/>
        <v>239.19</v>
      </c>
    </row>
    <row r="23" spans="2:14">
      <c r="B23" s="329">
        <v>100000</v>
      </c>
      <c r="C23" s="301">
        <v>516.37</v>
      </c>
      <c r="D23" s="301">
        <v>387</v>
      </c>
      <c r="E23" s="300">
        <f t="shared" si="0"/>
        <v>516.37</v>
      </c>
      <c r="F23" s="324">
        <v>387</v>
      </c>
      <c r="G23" s="311">
        <v>359.36</v>
      </c>
      <c r="H23" s="304">
        <v>768.88</v>
      </c>
      <c r="I23" s="304">
        <v>843.88</v>
      </c>
      <c r="J23" s="304">
        <v>993.88</v>
      </c>
      <c r="K23" s="328">
        <f t="shared" si="1"/>
        <v>158.05000000000001</v>
      </c>
      <c r="L23" s="191">
        <v>297.62</v>
      </c>
      <c r="M23" s="191">
        <f t="shared" si="3"/>
        <v>259.78000000000003</v>
      </c>
      <c r="N23" s="191">
        <f t="shared" si="4"/>
        <v>297.62</v>
      </c>
    </row>
    <row r="24" spans="2:14">
      <c r="B24" s="330">
        <v>105000</v>
      </c>
      <c r="C24" s="300">
        <v>485.41</v>
      </c>
      <c r="D24" s="300">
        <v>399.16</v>
      </c>
      <c r="E24" s="300">
        <f t="shared" si="0"/>
        <v>485.41</v>
      </c>
      <c r="F24" s="324">
        <v>399.16</v>
      </c>
      <c r="G24" s="311">
        <v>370.42</v>
      </c>
      <c r="H24" s="304">
        <v>792.4</v>
      </c>
      <c r="I24" s="304">
        <v>867.4</v>
      </c>
      <c r="J24" s="304">
        <v>1017.4</v>
      </c>
      <c r="K24" s="328">
        <f t="shared" si="1"/>
        <v>201.17000000000002</v>
      </c>
      <c r="L24" s="191">
        <v>297.62</v>
      </c>
      <c r="M24" s="191">
        <f t="shared" si="3"/>
        <v>258.68</v>
      </c>
      <c r="N24" s="191">
        <f t="shared" si="4"/>
        <v>297.62</v>
      </c>
    </row>
    <row r="25" spans="2:14">
      <c r="B25" s="329">
        <v>110000</v>
      </c>
      <c r="C25" s="301">
        <v>500.89</v>
      </c>
      <c r="D25" s="301">
        <v>411.33</v>
      </c>
      <c r="E25" s="300">
        <f t="shared" si="0"/>
        <v>500.89</v>
      </c>
      <c r="F25" s="324">
        <v>411.33</v>
      </c>
      <c r="G25" s="311">
        <v>381.47</v>
      </c>
      <c r="H25" s="304">
        <v>815.92</v>
      </c>
      <c r="I25" s="304">
        <v>890.92</v>
      </c>
      <c r="J25" s="304">
        <v>1040.92</v>
      </c>
      <c r="K25" s="328">
        <f t="shared" si="1"/>
        <v>197.86</v>
      </c>
      <c r="L25" s="191">
        <v>297.62</v>
      </c>
      <c r="M25" s="191">
        <f t="shared" si="3"/>
        <v>257.56000000000006</v>
      </c>
      <c r="N25" s="191">
        <f t="shared" si="4"/>
        <v>297.62</v>
      </c>
    </row>
    <row r="26" spans="2:14">
      <c r="B26" s="330">
        <v>115000</v>
      </c>
      <c r="C26" s="300">
        <v>516.37</v>
      </c>
      <c r="D26" s="300">
        <v>423.49</v>
      </c>
      <c r="E26" s="300">
        <f t="shared" si="0"/>
        <v>516.37</v>
      </c>
      <c r="F26" s="324">
        <v>423.49</v>
      </c>
      <c r="G26" s="311">
        <v>392.53</v>
      </c>
      <c r="H26" s="304">
        <v>839.44</v>
      </c>
      <c r="I26" s="304">
        <v>914.44</v>
      </c>
      <c r="J26" s="304">
        <v>1064.44</v>
      </c>
      <c r="K26" s="328">
        <f t="shared" si="1"/>
        <v>194.54000000000002</v>
      </c>
      <c r="L26" s="191">
        <v>297.62</v>
      </c>
      <c r="M26" s="191">
        <f t="shared" si="3"/>
        <v>256.45999999999998</v>
      </c>
      <c r="N26" s="191">
        <f t="shared" si="4"/>
        <v>297.62</v>
      </c>
    </row>
    <row r="27" spans="2:14">
      <c r="B27" s="330">
        <v>120000</v>
      </c>
      <c r="C27" s="301">
        <v>531.85</v>
      </c>
      <c r="D27" s="301">
        <v>435.65</v>
      </c>
      <c r="E27" s="300">
        <f t="shared" si="0"/>
        <v>531.85</v>
      </c>
      <c r="F27" s="324">
        <v>435.65</v>
      </c>
      <c r="G27" s="311">
        <v>403.59</v>
      </c>
      <c r="H27" s="304">
        <v>862.96</v>
      </c>
      <c r="I27" s="304">
        <v>937.96</v>
      </c>
      <c r="J27" s="304">
        <v>1087.96</v>
      </c>
      <c r="K27" s="328">
        <f t="shared" si="1"/>
        <v>191.21999999999997</v>
      </c>
      <c r="L27" s="191">
        <v>297.62</v>
      </c>
      <c r="M27" s="191">
        <f t="shared" si="3"/>
        <v>255.36</v>
      </c>
      <c r="N27" s="191">
        <f t="shared" si="4"/>
        <v>297.62</v>
      </c>
    </row>
    <row r="28" spans="2:14">
      <c r="B28" s="329">
        <v>125000</v>
      </c>
      <c r="C28" s="301">
        <v>547.33000000000004</v>
      </c>
      <c r="D28" s="301">
        <v>447.82</v>
      </c>
      <c r="E28" s="300">
        <f t="shared" si="0"/>
        <v>547.33000000000004</v>
      </c>
      <c r="F28" s="324">
        <v>447.82</v>
      </c>
      <c r="G28" s="311">
        <v>414.65</v>
      </c>
      <c r="H28" s="304">
        <v>886.48</v>
      </c>
      <c r="I28" s="304">
        <v>961.48</v>
      </c>
      <c r="J28" s="304">
        <v>1111.48</v>
      </c>
      <c r="K28" s="328">
        <f t="shared" si="1"/>
        <v>187.90999999999997</v>
      </c>
      <c r="L28" s="191">
        <v>297.62</v>
      </c>
      <c r="M28" s="191">
        <f t="shared" si="3"/>
        <v>254.25</v>
      </c>
      <c r="N28" s="191">
        <f t="shared" si="4"/>
        <v>297.62</v>
      </c>
    </row>
    <row r="29" spans="2:14">
      <c r="B29" s="329">
        <v>130000</v>
      </c>
      <c r="C29" s="300">
        <v>562.80999999999995</v>
      </c>
      <c r="D29" s="300">
        <v>459.98</v>
      </c>
      <c r="E29" s="300">
        <f t="shared" si="0"/>
        <v>562.80999999999995</v>
      </c>
      <c r="F29" s="324">
        <v>459.98</v>
      </c>
      <c r="G29" s="311">
        <v>425.7</v>
      </c>
      <c r="H29" s="304">
        <v>910</v>
      </c>
      <c r="I29" s="304">
        <v>985</v>
      </c>
      <c r="J29" s="304">
        <v>1135</v>
      </c>
      <c r="K29" s="328">
        <f t="shared" si="1"/>
        <v>184.59000000000009</v>
      </c>
      <c r="L29" s="191">
        <v>297.62</v>
      </c>
      <c r="M29" s="191">
        <f t="shared" si="3"/>
        <v>253.14</v>
      </c>
      <c r="N29" s="191">
        <f t="shared" si="4"/>
        <v>297.62</v>
      </c>
    </row>
    <row r="30" spans="2:14">
      <c r="B30" s="329">
        <v>135000</v>
      </c>
      <c r="C30" s="301">
        <v>578.29</v>
      </c>
      <c r="D30" s="301">
        <v>472.14</v>
      </c>
      <c r="E30" s="300">
        <f t="shared" si="0"/>
        <v>578.29</v>
      </c>
      <c r="F30" s="324">
        <v>472.14</v>
      </c>
      <c r="G30" s="311">
        <v>436.76</v>
      </c>
      <c r="H30" s="304">
        <v>933.52</v>
      </c>
      <c r="I30" s="304">
        <v>1008.52</v>
      </c>
      <c r="J30" s="304">
        <v>1158.52</v>
      </c>
      <c r="K30" s="328">
        <f t="shared" si="1"/>
        <v>181.27000000000004</v>
      </c>
      <c r="L30" s="191">
        <v>297.62</v>
      </c>
      <c r="M30" s="191">
        <f t="shared" si="3"/>
        <v>252.04000000000002</v>
      </c>
      <c r="N30" s="191">
        <f t="shared" si="4"/>
        <v>297.62</v>
      </c>
    </row>
    <row r="31" spans="2:14">
      <c r="B31" s="329">
        <v>140000</v>
      </c>
      <c r="C31" s="300">
        <v>593.77</v>
      </c>
      <c r="D31" s="300">
        <v>484.31</v>
      </c>
      <c r="E31" s="300">
        <f t="shared" si="0"/>
        <v>593.77</v>
      </c>
      <c r="F31" s="324">
        <v>484.31</v>
      </c>
      <c r="G31" s="311">
        <v>447.82</v>
      </c>
      <c r="H31" s="304">
        <v>957.04</v>
      </c>
      <c r="I31" s="304">
        <v>1032.04</v>
      </c>
      <c r="J31" s="304">
        <v>1182.04</v>
      </c>
      <c r="K31" s="328">
        <f t="shared" si="1"/>
        <v>177.96000000000004</v>
      </c>
      <c r="L31" s="191">
        <v>297.62</v>
      </c>
      <c r="M31" s="191">
        <f t="shared" si="3"/>
        <v>250.93</v>
      </c>
      <c r="N31" s="191">
        <f t="shared" si="4"/>
        <v>297.62</v>
      </c>
    </row>
    <row r="32" spans="2:14">
      <c r="B32" s="329">
        <v>145000</v>
      </c>
      <c r="C32" s="300">
        <v>571.66</v>
      </c>
      <c r="D32" s="300">
        <v>496.47</v>
      </c>
      <c r="E32" s="300">
        <f t="shared" si="0"/>
        <v>571.66</v>
      </c>
      <c r="F32" s="324">
        <v>496.47</v>
      </c>
      <c r="G32" s="311">
        <v>458.87</v>
      </c>
      <c r="H32" s="304">
        <v>980.56</v>
      </c>
      <c r="I32" s="304">
        <v>1055.56</v>
      </c>
      <c r="J32" s="304">
        <v>1205.56</v>
      </c>
      <c r="K32" s="328">
        <f t="shared" si="1"/>
        <v>212.23000000000008</v>
      </c>
      <c r="L32" s="191">
        <v>297.62</v>
      </c>
      <c r="M32" s="191">
        <f t="shared" si="3"/>
        <v>249.82</v>
      </c>
      <c r="N32" s="191">
        <f t="shared" si="4"/>
        <v>297.62</v>
      </c>
    </row>
    <row r="33" spans="2:14">
      <c r="B33" s="330">
        <v>150000</v>
      </c>
      <c r="C33" s="301">
        <v>586.03</v>
      </c>
      <c r="D33" s="301">
        <v>508.63</v>
      </c>
      <c r="E33" s="300">
        <f t="shared" si="0"/>
        <v>586.03</v>
      </c>
      <c r="F33" s="324">
        <v>508.63</v>
      </c>
      <c r="G33" s="311">
        <v>469.93</v>
      </c>
      <c r="H33" s="304">
        <v>1004.08</v>
      </c>
      <c r="I33" s="304">
        <v>1079.08</v>
      </c>
      <c r="J33" s="304">
        <v>1229.08</v>
      </c>
      <c r="K33" s="328">
        <f t="shared" si="1"/>
        <v>210.02000000000004</v>
      </c>
      <c r="L33" s="191">
        <v>297.62</v>
      </c>
      <c r="M33" s="191">
        <f t="shared" si="3"/>
        <v>248.72000000000003</v>
      </c>
      <c r="N33" s="191">
        <f t="shared" si="4"/>
        <v>297.62</v>
      </c>
    </row>
    <row r="34" spans="2:14">
      <c r="B34" s="330">
        <v>155000</v>
      </c>
      <c r="C34" s="301">
        <v>600.41</v>
      </c>
      <c r="D34" s="301">
        <v>520.79</v>
      </c>
      <c r="E34" s="300">
        <f t="shared" si="0"/>
        <v>600.41</v>
      </c>
      <c r="F34" s="324">
        <v>520.79</v>
      </c>
      <c r="G34" s="311">
        <v>480.99</v>
      </c>
      <c r="H34" s="304">
        <v>1027.5999999999999</v>
      </c>
      <c r="I34" s="304">
        <v>1102.5999999999999</v>
      </c>
      <c r="J34" s="304">
        <v>1252.5999999999999</v>
      </c>
      <c r="K34" s="328">
        <f t="shared" si="1"/>
        <v>207.8</v>
      </c>
      <c r="L34" s="191">
        <v>297.62</v>
      </c>
      <c r="M34" s="191">
        <f t="shared" si="3"/>
        <v>247.62000000000006</v>
      </c>
      <c r="N34" s="191">
        <f t="shared" si="4"/>
        <v>297.62</v>
      </c>
    </row>
    <row r="35" spans="2:14">
      <c r="B35" s="329">
        <v>160000</v>
      </c>
      <c r="C35" s="301">
        <v>614.78</v>
      </c>
      <c r="D35" s="301">
        <v>532.96</v>
      </c>
      <c r="E35" s="300">
        <f t="shared" si="0"/>
        <v>614.78</v>
      </c>
      <c r="F35" s="324">
        <v>532.96</v>
      </c>
      <c r="G35" s="311">
        <v>492.05</v>
      </c>
      <c r="H35" s="304">
        <v>1051.1199999999999</v>
      </c>
      <c r="I35" s="304">
        <v>1126.1199999999999</v>
      </c>
      <c r="J35" s="304">
        <v>1276.1199999999999</v>
      </c>
      <c r="K35" s="328">
        <f t="shared" si="1"/>
        <v>205.60000000000008</v>
      </c>
      <c r="L35" s="191">
        <v>297.62</v>
      </c>
      <c r="M35" s="191">
        <f t="shared" si="3"/>
        <v>246.51</v>
      </c>
      <c r="N35" s="191">
        <f t="shared" si="4"/>
        <v>297.62</v>
      </c>
    </row>
    <row r="36" spans="2:14">
      <c r="B36" s="329">
        <v>165000</v>
      </c>
      <c r="C36" s="301">
        <v>629.15</v>
      </c>
      <c r="D36" s="301">
        <v>545.12</v>
      </c>
      <c r="E36" s="300">
        <f t="shared" si="0"/>
        <v>629.15</v>
      </c>
      <c r="F36" s="324">
        <v>545.12</v>
      </c>
      <c r="G36" s="311">
        <v>503.1</v>
      </c>
      <c r="H36" s="304">
        <v>1074.6400000000001</v>
      </c>
      <c r="I36" s="304">
        <v>1149.6400000000001</v>
      </c>
      <c r="J36" s="304">
        <v>1299.6400000000001</v>
      </c>
      <c r="K36" s="328">
        <f t="shared" si="1"/>
        <v>203.39000000000004</v>
      </c>
      <c r="L36" s="191">
        <v>297.62</v>
      </c>
      <c r="M36" s="191">
        <f t="shared" si="3"/>
        <v>245.40000000000003</v>
      </c>
      <c r="N36" s="191">
        <f t="shared" si="4"/>
        <v>297.62</v>
      </c>
    </row>
    <row r="37" spans="2:14">
      <c r="B37" s="329">
        <v>170000</v>
      </c>
      <c r="C37" s="301">
        <v>643.53</v>
      </c>
      <c r="D37" s="301">
        <v>557.28</v>
      </c>
      <c r="E37" s="300">
        <f t="shared" si="0"/>
        <v>643.53</v>
      </c>
      <c r="F37" s="324">
        <v>557.28</v>
      </c>
      <c r="G37" s="311">
        <v>514.16</v>
      </c>
      <c r="H37" s="304">
        <v>1098.1600000000001</v>
      </c>
      <c r="I37" s="304">
        <v>1173.1600000000001</v>
      </c>
      <c r="J37" s="304">
        <v>1323.16</v>
      </c>
      <c r="K37" s="328">
        <f t="shared" si="1"/>
        <v>201.17000000000002</v>
      </c>
      <c r="L37" s="191">
        <v>297.62</v>
      </c>
      <c r="M37" s="191">
        <f t="shared" si="3"/>
        <v>244.3</v>
      </c>
      <c r="N37" s="191">
        <f t="shared" si="4"/>
        <v>297.62</v>
      </c>
    </row>
    <row r="38" spans="2:14">
      <c r="B38" s="329">
        <v>175000</v>
      </c>
      <c r="C38" s="300">
        <v>657.9</v>
      </c>
      <c r="D38" s="300">
        <v>569.45000000000005</v>
      </c>
      <c r="E38" s="300">
        <f t="shared" si="0"/>
        <v>657.9</v>
      </c>
      <c r="F38" s="324">
        <v>569.45000000000005</v>
      </c>
      <c r="G38" s="311">
        <v>525.22</v>
      </c>
      <c r="H38" s="304">
        <v>1121.68</v>
      </c>
      <c r="I38" s="304">
        <v>1196.68</v>
      </c>
      <c r="J38" s="304">
        <v>1346.68</v>
      </c>
      <c r="K38" s="328">
        <f t="shared" si="1"/>
        <v>198.97000000000008</v>
      </c>
      <c r="L38" s="191">
        <v>297.62</v>
      </c>
      <c r="M38" s="191">
        <f t="shared" si="3"/>
        <v>243.19</v>
      </c>
      <c r="N38" s="191">
        <f t="shared" si="4"/>
        <v>297.62</v>
      </c>
    </row>
    <row r="39" spans="2:14">
      <c r="B39" s="329">
        <v>180000</v>
      </c>
      <c r="C39" s="300">
        <v>672.28</v>
      </c>
      <c r="D39" s="300">
        <v>581.61</v>
      </c>
      <c r="E39" s="300">
        <f t="shared" si="0"/>
        <v>672.28</v>
      </c>
      <c r="F39" s="324">
        <v>581.61</v>
      </c>
      <c r="G39" s="311">
        <v>536.27</v>
      </c>
      <c r="H39" s="304">
        <v>1145.2</v>
      </c>
      <c r="I39" s="304">
        <v>1220.2</v>
      </c>
      <c r="J39" s="304">
        <v>1370.2</v>
      </c>
      <c r="K39" s="328">
        <f t="shared" si="1"/>
        <v>196.75000000000006</v>
      </c>
      <c r="L39" s="191">
        <v>297.62</v>
      </c>
      <c r="M39" s="191">
        <f t="shared" si="3"/>
        <v>242.07999999999998</v>
      </c>
      <c r="N39" s="191">
        <f t="shared" si="4"/>
        <v>297.62</v>
      </c>
    </row>
    <row r="40" spans="2:14">
      <c r="B40" s="329">
        <v>185000</v>
      </c>
      <c r="C40" s="301">
        <v>686.65</v>
      </c>
      <c r="D40" s="301">
        <v>593.77</v>
      </c>
      <c r="E40" s="300">
        <f t="shared" si="0"/>
        <v>686.65</v>
      </c>
      <c r="F40" s="324">
        <v>593.77</v>
      </c>
      <c r="G40" s="311">
        <v>547.33000000000004</v>
      </c>
      <c r="H40" s="304">
        <v>1168.72</v>
      </c>
      <c r="I40" s="304">
        <v>1243.72</v>
      </c>
      <c r="J40" s="304">
        <v>1393.72</v>
      </c>
      <c r="K40" s="328">
        <f t="shared" si="1"/>
        <v>194.54000000000002</v>
      </c>
      <c r="L40" s="191">
        <v>297.62</v>
      </c>
      <c r="M40" s="191">
        <f t="shared" si="3"/>
        <v>240.98000000000008</v>
      </c>
      <c r="N40" s="191">
        <f t="shared" si="4"/>
        <v>297.62</v>
      </c>
    </row>
    <row r="41" spans="2:14">
      <c r="B41" s="330">
        <v>190000</v>
      </c>
      <c r="C41" s="301">
        <v>701.03</v>
      </c>
      <c r="D41" s="301">
        <v>605.92999999999995</v>
      </c>
      <c r="E41" s="300">
        <f t="shared" si="0"/>
        <v>701.03</v>
      </c>
      <c r="F41" s="324">
        <v>605.92999999999995</v>
      </c>
      <c r="G41" s="311">
        <v>558.39</v>
      </c>
      <c r="H41" s="304">
        <v>1192.24</v>
      </c>
      <c r="I41" s="304">
        <v>1267.24</v>
      </c>
      <c r="J41" s="304">
        <v>1417.24</v>
      </c>
      <c r="K41" s="328">
        <f t="shared" si="1"/>
        <v>192.32</v>
      </c>
      <c r="L41" s="191">
        <v>297.62</v>
      </c>
      <c r="M41" s="191">
        <f t="shared" si="3"/>
        <v>239.88000000000005</v>
      </c>
      <c r="N41" s="191">
        <f t="shared" si="4"/>
        <v>297.62</v>
      </c>
    </row>
    <row r="42" spans="2:14">
      <c r="B42" s="329">
        <v>195000</v>
      </c>
      <c r="C42" s="301">
        <v>715.4</v>
      </c>
      <c r="D42" s="301">
        <v>618.1</v>
      </c>
      <c r="E42" s="300">
        <f t="shared" si="0"/>
        <v>715.4</v>
      </c>
      <c r="F42" s="324">
        <v>618.1</v>
      </c>
      <c r="G42" s="311">
        <v>569.45000000000005</v>
      </c>
      <c r="H42" s="304">
        <v>1215.76</v>
      </c>
      <c r="I42" s="304">
        <v>1290.76</v>
      </c>
      <c r="J42" s="304">
        <v>1440.76</v>
      </c>
      <c r="K42" s="328">
        <f t="shared" si="1"/>
        <v>192.71499999999997</v>
      </c>
      <c r="L42" s="191">
        <f>(D42*$P$1)+(C42-D42)+10.2+100</f>
        <v>300.21499999999992</v>
      </c>
      <c r="M42" s="191">
        <f t="shared" si="3"/>
        <v>241.36499999999995</v>
      </c>
      <c r="N42" s="191">
        <f t="shared" si="4"/>
        <v>300.21499999999992</v>
      </c>
    </row>
    <row r="43" spans="2:14">
      <c r="B43" s="329">
        <v>200000</v>
      </c>
      <c r="C43" s="301">
        <v>729.78</v>
      </c>
      <c r="D43" s="301">
        <v>630.26</v>
      </c>
      <c r="E43" s="300">
        <f t="shared" si="0"/>
        <v>729.78</v>
      </c>
      <c r="F43" s="324">
        <v>630.26</v>
      </c>
      <c r="G43" s="311">
        <v>580.5</v>
      </c>
      <c r="H43" s="304">
        <v>1239.28</v>
      </c>
      <c r="I43" s="304">
        <v>1314.28</v>
      </c>
      <c r="J43" s="304">
        <v>1464.28</v>
      </c>
      <c r="K43" s="328">
        <f t="shared" si="1"/>
        <v>194.53899999999999</v>
      </c>
      <c r="L43" s="191">
        <f t="shared" ref="L43:L103" si="6">(D43*$P$1)+(C43-D43)+10.2+100</f>
        <v>304.25899999999996</v>
      </c>
      <c r="M43" s="191">
        <f t="shared" si="3"/>
        <v>244.29899999999998</v>
      </c>
      <c r="N43" s="191">
        <f t="shared" si="4"/>
        <v>304.25899999999996</v>
      </c>
    </row>
    <row r="44" spans="2:14">
      <c r="B44" s="329">
        <v>205000</v>
      </c>
      <c r="C44" s="301">
        <v>744.15</v>
      </c>
      <c r="D44" s="301">
        <v>642.41999999999996</v>
      </c>
      <c r="E44" s="300">
        <f t="shared" si="0"/>
        <v>744.15</v>
      </c>
      <c r="F44" s="324">
        <v>642.41999999999996</v>
      </c>
      <c r="G44" s="311">
        <v>591.55999999999995</v>
      </c>
      <c r="H44" s="304">
        <v>1262.8</v>
      </c>
      <c r="I44" s="304">
        <v>1337.8</v>
      </c>
      <c r="J44" s="304">
        <v>1487.8</v>
      </c>
      <c r="K44" s="328">
        <f t="shared" si="1"/>
        <v>196.363</v>
      </c>
      <c r="L44" s="191">
        <f t="shared" si="6"/>
        <v>308.29300000000001</v>
      </c>
      <c r="M44" s="191">
        <f t="shared" si="3"/>
        <v>247.233</v>
      </c>
      <c r="N44" s="191">
        <f t="shared" si="4"/>
        <v>308.29300000000001</v>
      </c>
    </row>
    <row r="45" spans="2:14">
      <c r="B45" s="329">
        <v>210000</v>
      </c>
      <c r="C45" s="301">
        <v>758.52</v>
      </c>
      <c r="D45" s="301">
        <v>654.59</v>
      </c>
      <c r="E45" s="300">
        <f t="shared" si="0"/>
        <v>758.52</v>
      </c>
      <c r="F45" s="324">
        <v>654.59</v>
      </c>
      <c r="G45" s="311">
        <v>602.62</v>
      </c>
      <c r="H45" s="304">
        <v>1286.32</v>
      </c>
      <c r="I45" s="304">
        <v>1361.32</v>
      </c>
      <c r="J45" s="304">
        <v>1511.32</v>
      </c>
      <c r="K45" s="328">
        <f t="shared" si="1"/>
        <v>198.18850000000003</v>
      </c>
      <c r="L45" s="191">
        <f t="shared" si="6"/>
        <v>312.31849999999997</v>
      </c>
      <c r="M45" s="191">
        <f t="shared" si="3"/>
        <v>250.14849999999996</v>
      </c>
      <c r="N45" s="191">
        <f t="shared" si="4"/>
        <v>312.31849999999997</v>
      </c>
    </row>
    <row r="46" spans="2:14">
      <c r="B46" s="329">
        <v>215000</v>
      </c>
      <c r="C46" s="300">
        <v>772.9</v>
      </c>
      <c r="D46" s="300">
        <v>666.75</v>
      </c>
      <c r="E46" s="300">
        <f t="shared" si="0"/>
        <v>772.9</v>
      </c>
      <c r="F46" s="324">
        <v>666.75</v>
      </c>
      <c r="G46" s="311">
        <v>613.66999999999996</v>
      </c>
      <c r="H46" s="304">
        <v>1309.8399999999999</v>
      </c>
      <c r="I46" s="304">
        <v>1384.84</v>
      </c>
      <c r="J46" s="304">
        <v>1534.84</v>
      </c>
      <c r="K46" s="328">
        <f t="shared" si="1"/>
        <v>200.01249999999999</v>
      </c>
      <c r="L46" s="191">
        <f t="shared" si="6"/>
        <v>316.36249999999995</v>
      </c>
      <c r="M46" s="191">
        <f t="shared" si="3"/>
        <v>253.08249999999992</v>
      </c>
      <c r="N46" s="191">
        <f t="shared" si="4"/>
        <v>316.36249999999995</v>
      </c>
    </row>
    <row r="47" spans="2:14">
      <c r="B47" s="329">
        <v>220000</v>
      </c>
      <c r="C47" s="301">
        <v>787.27</v>
      </c>
      <c r="D47" s="301">
        <v>678.91</v>
      </c>
      <c r="E47" s="300">
        <f t="shared" si="0"/>
        <v>787.27</v>
      </c>
      <c r="F47" s="324">
        <v>678.91</v>
      </c>
      <c r="G47" s="311">
        <v>624.73</v>
      </c>
      <c r="H47" s="304">
        <v>1333.36</v>
      </c>
      <c r="I47" s="304">
        <v>1408.36</v>
      </c>
      <c r="J47" s="304">
        <v>1558.36</v>
      </c>
      <c r="K47" s="328">
        <f t="shared" si="1"/>
        <v>201.8365</v>
      </c>
      <c r="L47" s="191">
        <f t="shared" si="6"/>
        <v>320.3965</v>
      </c>
      <c r="M47" s="191">
        <f t="shared" si="3"/>
        <v>256.01650000000006</v>
      </c>
      <c r="N47" s="191">
        <f t="shared" si="4"/>
        <v>320.3965</v>
      </c>
    </row>
    <row r="48" spans="2:14">
      <c r="B48" s="330">
        <v>225000</v>
      </c>
      <c r="C48" s="301">
        <v>801.65</v>
      </c>
      <c r="D48" s="301">
        <v>691.08</v>
      </c>
      <c r="E48" s="300">
        <f t="shared" si="0"/>
        <v>801.65</v>
      </c>
      <c r="F48" s="324">
        <v>691.08</v>
      </c>
      <c r="G48" s="311">
        <v>635.79</v>
      </c>
      <c r="H48" s="304">
        <v>1356.88</v>
      </c>
      <c r="I48" s="304">
        <v>1431.88</v>
      </c>
      <c r="J48" s="304">
        <v>1581.88</v>
      </c>
      <c r="K48" s="328">
        <f t="shared" si="1"/>
        <v>203.66199999999998</v>
      </c>
      <c r="L48" s="191">
        <f t="shared" si="6"/>
        <v>324.4319999999999</v>
      </c>
      <c r="M48" s="191">
        <f t="shared" si="3"/>
        <v>258.94199999999984</v>
      </c>
      <c r="N48" s="191">
        <f t="shared" si="4"/>
        <v>324.4319999999999</v>
      </c>
    </row>
    <row r="49" spans="2:14">
      <c r="B49" s="329">
        <v>230000</v>
      </c>
      <c r="C49" s="301">
        <v>816.02</v>
      </c>
      <c r="D49" s="301">
        <v>703.24</v>
      </c>
      <c r="E49" s="300">
        <f t="shared" si="0"/>
        <v>816.02</v>
      </c>
      <c r="F49" s="324">
        <v>703.24</v>
      </c>
      <c r="G49" s="311">
        <v>646.85</v>
      </c>
      <c r="H49" s="304">
        <v>1380.4</v>
      </c>
      <c r="I49" s="304">
        <v>1455.4</v>
      </c>
      <c r="J49" s="304">
        <v>1605.4</v>
      </c>
      <c r="K49" s="328">
        <f t="shared" si="1"/>
        <v>205.48599999999999</v>
      </c>
      <c r="L49" s="191">
        <f t="shared" si="6"/>
        <v>328.46599999999995</v>
      </c>
      <c r="M49" s="191">
        <f t="shared" si="3"/>
        <v>261.87599999999998</v>
      </c>
      <c r="N49" s="191">
        <f t="shared" si="4"/>
        <v>328.46599999999995</v>
      </c>
    </row>
    <row r="50" spans="2:14">
      <c r="B50" s="330">
        <v>235000</v>
      </c>
      <c r="C50" s="301">
        <v>830.4</v>
      </c>
      <c r="D50" s="301">
        <v>715.4</v>
      </c>
      <c r="E50" s="300">
        <f t="shared" si="0"/>
        <v>830.4</v>
      </c>
      <c r="F50" s="324">
        <v>715.4</v>
      </c>
      <c r="G50" s="311">
        <v>657.9</v>
      </c>
      <c r="H50" s="304">
        <v>1403.92</v>
      </c>
      <c r="I50" s="304">
        <v>1478.92</v>
      </c>
      <c r="J50" s="304">
        <v>1628.92</v>
      </c>
      <c r="K50" s="328">
        <f t="shared" si="1"/>
        <v>207.31</v>
      </c>
      <c r="L50" s="191">
        <f t="shared" si="6"/>
        <v>332.51</v>
      </c>
      <c r="M50" s="191">
        <f t="shared" si="3"/>
        <v>264.81</v>
      </c>
      <c r="N50" s="191">
        <f t="shared" si="4"/>
        <v>332.51</v>
      </c>
    </row>
    <row r="51" spans="2:14">
      <c r="B51" s="329">
        <v>240000</v>
      </c>
      <c r="C51" s="301">
        <v>844.77</v>
      </c>
      <c r="D51" s="301">
        <v>727.56</v>
      </c>
      <c r="E51" s="300">
        <f t="shared" si="0"/>
        <v>844.77</v>
      </c>
      <c r="F51" s="324">
        <v>727.56</v>
      </c>
      <c r="G51" s="311">
        <v>668.96</v>
      </c>
      <c r="H51" s="304">
        <v>1427.44</v>
      </c>
      <c r="I51" s="304">
        <v>1502.44</v>
      </c>
      <c r="J51" s="304">
        <v>1652.44</v>
      </c>
      <c r="K51" s="328">
        <f t="shared" si="1"/>
        <v>209.13399999999996</v>
      </c>
      <c r="L51" s="191">
        <f t="shared" si="6"/>
        <v>336.54399999999998</v>
      </c>
      <c r="M51" s="191">
        <f t="shared" si="3"/>
        <v>267.74400000000009</v>
      </c>
      <c r="N51" s="191">
        <f t="shared" si="4"/>
        <v>336.54399999999998</v>
      </c>
    </row>
    <row r="52" spans="2:14">
      <c r="B52" s="329">
        <v>245000</v>
      </c>
      <c r="C52" s="301">
        <v>859.14</v>
      </c>
      <c r="D52" s="301">
        <v>739.73</v>
      </c>
      <c r="E52" s="300">
        <f t="shared" si="0"/>
        <v>859.14</v>
      </c>
      <c r="F52" s="324">
        <v>739.73</v>
      </c>
      <c r="G52" s="311">
        <v>680.02</v>
      </c>
      <c r="H52" s="304">
        <v>1450.96</v>
      </c>
      <c r="I52" s="304">
        <v>1525.96</v>
      </c>
      <c r="J52" s="304">
        <v>1675.96</v>
      </c>
      <c r="K52" s="328">
        <f t="shared" si="1"/>
        <v>210.95949999999999</v>
      </c>
      <c r="L52" s="191">
        <f t="shared" si="6"/>
        <v>340.56949999999995</v>
      </c>
      <c r="M52" s="191">
        <f t="shared" si="3"/>
        <v>270.65949999999992</v>
      </c>
      <c r="N52" s="191">
        <f t="shared" si="4"/>
        <v>340.56949999999995</v>
      </c>
    </row>
    <row r="53" spans="2:14">
      <c r="B53" s="330">
        <v>250000</v>
      </c>
      <c r="C53" s="300">
        <v>873.52</v>
      </c>
      <c r="D53" s="300">
        <v>751.89</v>
      </c>
      <c r="E53" s="300">
        <f t="shared" si="0"/>
        <v>873.52</v>
      </c>
      <c r="F53" s="324">
        <v>751.89</v>
      </c>
      <c r="G53" s="311">
        <v>691.08</v>
      </c>
      <c r="H53" s="304">
        <v>1474.48</v>
      </c>
      <c r="I53" s="304">
        <v>1549.48</v>
      </c>
      <c r="J53" s="304">
        <v>1699.48</v>
      </c>
      <c r="K53" s="328">
        <f t="shared" si="1"/>
        <v>212.7835</v>
      </c>
      <c r="L53" s="191">
        <f t="shared" si="6"/>
        <v>344.61349999999999</v>
      </c>
      <c r="M53" s="191">
        <f t="shared" si="3"/>
        <v>273.60350000000005</v>
      </c>
      <c r="N53" s="191">
        <f t="shared" si="4"/>
        <v>344.61349999999999</v>
      </c>
    </row>
    <row r="54" spans="2:14">
      <c r="B54" s="329">
        <v>255000</v>
      </c>
      <c r="C54" s="301">
        <v>887.89</v>
      </c>
      <c r="D54" s="301">
        <v>764.05</v>
      </c>
      <c r="E54" s="300">
        <f t="shared" si="0"/>
        <v>887.89</v>
      </c>
      <c r="F54" s="324">
        <v>764.05</v>
      </c>
      <c r="G54" s="311">
        <v>702.13</v>
      </c>
      <c r="H54" s="304">
        <v>1498</v>
      </c>
      <c r="I54" s="304">
        <v>1573</v>
      </c>
      <c r="J54" s="304">
        <v>1723</v>
      </c>
      <c r="K54" s="328">
        <f t="shared" si="1"/>
        <v>214.60750000000002</v>
      </c>
      <c r="L54" s="191">
        <f t="shared" si="6"/>
        <v>348.64750000000004</v>
      </c>
      <c r="M54" s="191">
        <f t="shared" si="3"/>
        <v>276.52750000000009</v>
      </c>
      <c r="N54" s="191">
        <f t="shared" si="4"/>
        <v>348.64750000000004</v>
      </c>
    </row>
    <row r="55" spans="2:14">
      <c r="B55" s="330">
        <v>260000</v>
      </c>
      <c r="C55" s="300">
        <v>902.27</v>
      </c>
      <c r="D55" s="300">
        <v>776.22</v>
      </c>
      <c r="E55" s="300">
        <f t="shared" si="0"/>
        <v>902.27</v>
      </c>
      <c r="F55" s="324">
        <v>776.22</v>
      </c>
      <c r="G55" s="311">
        <v>713.19</v>
      </c>
      <c r="H55" s="304">
        <v>1521.52</v>
      </c>
      <c r="I55" s="304">
        <v>1596.52</v>
      </c>
      <c r="J55" s="304">
        <v>1746.52</v>
      </c>
      <c r="K55" s="328">
        <f t="shared" si="1"/>
        <v>216.43299999999999</v>
      </c>
      <c r="L55" s="191">
        <f t="shared" si="6"/>
        <v>352.68299999999994</v>
      </c>
      <c r="M55" s="191">
        <f t="shared" si="3"/>
        <v>279.45299999999997</v>
      </c>
      <c r="N55" s="191">
        <f t="shared" si="4"/>
        <v>352.68299999999994</v>
      </c>
    </row>
    <row r="56" spans="2:14">
      <c r="B56" s="329">
        <v>265000</v>
      </c>
      <c r="C56" s="301">
        <v>916.64</v>
      </c>
      <c r="D56" s="301">
        <v>788.38</v>
      </c>
      <c r="E56" s="300">
        <f t="shared" si="0"/>
        <v>916.64</v>
      </c>
      <c r="F56" s="324">
        <v>788.38</v>
      </c>
      <c r="G56" s="311">
        <v>724.25</v>
      </c>
      <c r="H56" s="304">
        <v>1545.04</v>
      </c>
      <c r="I56" s="304">
        <v>1620.04</v>
      </c>
      <c r="J56" s="304">
        <v>1770.04</v>
      </c>
      <c r="K56" s="328">
        <f t="shared" si="1"/>
        <v>218.25700000000001</v>
      </c>
      <c r="L56" s="191">
        <f t="shared" si="6"/>
        <v>356.71699999999998</v>
      </c>
      <c r="M56" s="191">
        <f t="shared" si="3"/>
        <v>282.387</v>
      </c>
      <c r="N56" s="191">
        <f t="shared" si="4"/>
        <v>356.71699999999998</v>
      </c>
    </row>
    <row r="57" spans="2:14">
      <c r="B57" s="330">
        <v>270000</v>
      </c>
      <c r="C57" s="301">
        <v>931.02</v>
      </c>
      <c r="D57" s="301">
        <v>800.54</v>
      </c>
      <c r="E57" s="300">
        <f t="shared" si="0"/>
        <v>931.02</v>
      </c>
      <c r="F57" s="324">
        <v>800.54</v>
      </c>
      <c r="G57" s="311">
        <v>735.3</v>
      </c>
      <c r="H57" s="304">
        <v>1568.56</v>
      </c>
      <c r="I57" s="304">
        <v>1643.56</v>
      </c>
      <c r="J57" s="304">
        <v>1793.56</v>
      </c>
      <c r="K57" s="328">
        <f t="shared" si="1"/>
        <v>220.08100000000002</v>
      </c>
      <c r="L57" s="191">
        <f t="shared" si="6"/>
        <v>360.76100000000002</v>
      </c>
      <c r="M57" s="191">
        <f t="shared" si="3"/>
        <v>285.32100000000003</v>
      </c>
      <c r="N57" s="191">
        <f t="shared" si="4"/>
        <v>360.76100000000002</v>
      </c>
    </row>
    <row r="58" spans="2:14">
      <c r="B58" s="329">
        <v>275000</v>
      </c>
      <c r="C58" s="300">
        <v>945.39</v>
      </c>
      <c r="D58" s="300">
        <v>812.7</v>
      </c>
      <c r="E58" s="300">
        <f t="shared" si="0"/>
        <v>945.39</v>
      </c>
      <c r="F58" s="324">
        <v>812.7</v>
      </c>
      <c r="G58" s="311">
        <v>746.36</v>
      </c>
      <c r="H58" s="304">
        <v>1592.08</v>
      </c>
      <c r="I58" s="304">
        <v>1667.08</v>
      </c>
      <c r="J58" s="304">
        <v>1817.08</v>
      </c>
      <c r="K58" s="328">
        <f t="shared" si="1"/>
        <v>221.90500000000003</v>
      </c>
      <c r="L58" s="191">
        <f t="shared" si="6"/>
        <v>364.79499999999996</v>
      </c>
      <c r="M58" s="191">
        <f t="shared" si="3"/>
        <v>288.25499999999994</v>
      </c>
      <c r="N58" s="191">
        <f t="shared" si="4"/>
        <v>364.79499999999996</v>
      </c>
    </row>
    <row r="59" spans="2:14">
      <c r="B59" s="329">
        <v>280000</v>
      </c>
      <c r="C59" s="301">
        <v>959.76</v>
      </c>
      <c r="D59" s="301">
        <v>824.87</v>
      </c>
      <c r="E59" s="300">
        <f t="shared" si="0"/>
        <v>959.76</v>
      </c>
      <c r="F59" s="324">
        <v>824.87</v>
      </c>
      <c r="G59" s="311">
        <v>757.42</v>
      </c>
      <c r="H59" s="304">
        <v>1615.6</v>
      </c>
      <c r="I59" s="304">
        <v>1690.6</v>
      </c>
      <c r="J59" s="304">
        <v>1840.6</v>
      </c>
      <c r="K59" s="328">
        <f t="shared" si="1"/>
        <v>223.73050000000001</v>
      </c>
      <c r="L59" s="191">
        <f t="shared" si="6"/>
        <v>368.82049999999998</v>
      </c>
      <c r="M59" s="191">
        <f t="shared" si="3"/>
        <v>291.17049999999995</v>
      </c>
      <c r="N59" s="191">
        <f t="shared" si="4"/>
        <v>368.82049999999998</v>
      </c>
    </row>
    <row r="60" spans="2:14">
      <c r="B60" s="330">
        <v>285000</v>
      </c>
      <c r="C60" s="300">
        <v>974.14</v>
      </c>
      <c r="D60" s="300">
        <v>837.03</v>
      </c>
      <c r="E60" s="300">
        <f t="shared" si="0"/>
        <v>974.14</v>
      </c>
      <c r="F60" s="324">
        <v>837.03</v>
      </c>
      <c r="G60" s="311">
        <v>768.48</v>
      </c>
      <c r="H60" s="304">
        <v>1639.12</v>
      </c>
      <c r="I60" s="304">
        <v>1714.12</v>
      </c>
      <c r="J60" s="304">
        <v>1864.12</v>
      </c>
      <c r="K60" s="328">
        <f t="shared" si="1"/>
        <v>225.55449999999996</v>
      </c>
      <c r="L60" s="191">
        <f t="shared" si="6"/>
        <v>372.86449999999996</v>
      </c>
      <c r="M60" s="191">
        <f t="shared" si="3"/>
        <v>294.11450000000002</v>
      </c>
      <c r="N60" s="191">
        <f t="shared" si="4"/>
        <v>372.86449999999996</v>
      </c>
    </row>
    <row r="61" spans="2:14">
      <c r="B61" s="329">
        <v>290000</v>
      </c>
      <c r="C61" s="301">
        <v>988.51</v>
      </c>
      <c r="D61" s="301">
        <v>849.19</v>
      </c>
      <c r="E61" s="300">
        <f t="shared" si="0"/>
        <v>988.51</v>
      </c>
      <c r="F61" s="324">
        <v>849.19</v>
      </c>
      <c r="G61" s="311">
        <v>779.53</v>
      </c>
      <c r="H61" s="304">
        <v>1662.64</v>
      </c>
      <c r="I61" s="304">
        <v>1737.64</v>
      </c>
      <c r="J61" s="304">
        <v>1887.64</v>
      </c>
      <c r="K61" s="328">
        <f t="shared" si="1"/>
        <v>227.37850000000003</v>
      </c>
      <c r="L61" s="191">
        <f t="shared" si="6"/>
        <v>376.89849999999996</v>
      </c>
      <c r="M61" s="191">
        <f t="shared" si="3"/>
        <v>297.03849999999989</v>
      </c>
      <c r="N61" s="191">
        <f t="shared" si="4"/>
        <v>376.89849999999996</v>
      </c>
    </row>
    <row r="62" spans="2:14">
      <c r="B62" s="330">
        <v>295000</v>
      </c>
      <c r="C62" s="300">
        <v>1002.89</v>
      </c>
      <c r="D62" s="300">
        <v>861.36</v>
      </c>
      <c r="E62" s="300">
        <f t="shared" si="0"/>
        <v>1002.89</v>
      </c>
      <c r="F62" s="324">
        <v>861.36</v>
      </c>
      <c r="G62" s="311">
        <v>790.59</v>
      </c>
      <c r="H62" s="304">
        <v>1686.16</v>
      </c>
      <c r="I62" s="304">
        <v>1761.16</v>
      </c>
      <c r="J62" s="304">
        <v>1911.16</v>
      </c>
      <c r="K62" s="328">
        <f t="shared" si="1"/>
        <v>229.20400000000001</v>
      </c>
      <c r="L62" s="191">
        <f t="shared" si="6"/>
        <v>380.93399999999997</v>
      </c>
      <c r="M62" s="191">
        <f t="shared" si="3"/>
        <v>299.964</v>
      </c>
      <c r="N62" s="191">
        <f t="shared" si="4"/>
        <v>380.93399999999997</v>
      </c>
    </row>
    <row r="63" spans="2:14">
      <c r="B63" s="331">
        <v>300000</v>
      </c>
      <c r="C63" s="301">
        <v>1017.26</v>
      </c>
      <c r="D63" s="301">
        <v>873.52</v>
      </c>
      <c r="E63" s="300">
        <f t="shared" si="0"/>
        <v>1017.26</v>
      </c>
      <c r="F63" s="324">
        <v>873.52</v>
      </c>
      <c r="G63" s="311">
        <v>801.65</v>
      </c>
      <c r="H63" s="304">
        <v>1709.68</v>
      </c>
      <c r="I63" s="304">
        <v>1784.68</v>
      </c>
      <c r="J63" s="304">
        <v>1934.68</v>
      </c>
      <c r="K63" s="328">
        <f t="shared" si="1"/>
        <v>231.02800000000002</v>
      </c>
      <c r="L63" s="191">
        <f t="shared" si="6"/>
        <v>384.96800000000002</v>
      </c>
      <c r="M63" s="191">
        <f t="shared" si="3"/>
        <v>302.89800000000002</v>
      </c>
      <c r="N63" s="191">
        <f t="shared" si="4"/>
        <v>384.96800000000002</v>
      </c>
    </row>
    <row r="64" spans="2:14">
      <c r="B64" s="331">
        <v>305000</v>
      </c>
      <c r="C64" s="301">
        <v>1031.6400000000001</v>
      </c>
      <c r="D64" s="301">
        <v>885.68</v>
      </c>
      <c r="E64" s="300">
        <f t="shared" si="0"/>
        <v>1031.6400000000001</v>
      </c>
      <c r="F64" s="324">
        <v>885.68</v>
      </c>
      <c r="G64" s="311">
        <v>812.7</v>
      </c>
      <c r="K64" s="328">
        <f t="shared" si="1"/>
        <v>232.85199999999998</v>
      </c>
      <c r="L64" s="191">
        <f t="shared" si="6"/>
        <v>389.01200000000011</v>
      </c>
      <c r="M64" s="191">
        <f t="shared" si="3"/>
        <v>305.83200000000022</v>
      </c>
      <c r="N64" s="191">
        <f t="shared" si="4"/>
        <v>389.01200000000011</v>
      </c>
    </row>
    <row r="65" spans="2:14">
      <c r="B65" s="330">
        <v>310000</v>
      </c>
      <c r="C65" s="300">
        <v>1046.01</v>
      </c>
      <c r="D65" s="300">
        <v>897.84</v>
      </c>
      <c r="E65" s="300">
        <f t="shared" si="0"/>
        <v>1046.01</v>
      </c>
      <c r="F65" s="324">
        <v>897.84</v>
      </c>
      <c r="G65" s="311">
        <v>823.76</v>
      </c>
      <c r="K65" s="328">
        <f t="shared" si="1"/>
        <v>234.67599999999999</v>
      </c>
      <c r="L65" s="191">
        <f t="shared" si="6"/>
        <v>393.04599999999994</v>
      </c>
      <c r="M65" s="191">
        <f t="shared" si="3"/>
        <v>308.76599999999991</v>
      </c>
      <c r="N65" s="191">
        <f t="shared" si="4"/>
        <v>393.04599999999994</v>
      </c>
    </row>
    <row r="66" spans="2:14">
      <c r="B66" s="329">
        <v>315000</v>
      </c>
      <c r="C66" s="301">
        <v>1060.3900000000001</v>
      </c>
      <c r="D66" s="301">
        <v>910.01</v>
      </c>
      <c r="E66" s="300">
        <f t="shared" si="0"/>
        <v>1060.3900000000001</v>
      </c>
      <c r="F66" s="324">
        <v>910.01</v>
      </c>
      <c r="G66" s="311">
        <v>834.82</v>
      </c>
      <c r="K66" s="328">
        <f t="shared" si="1"/>
        <v>236.50149999999996</v>
      </c>
      <c r="L66" s="191">
        <f t="shared" si="6"/>
        <v>397.08150000000006</v>
      </c>
      <c r="M66" s="191">
        <f t="shared" si="3"/>
        <v>311.69150000000013</v>
      </c>
      <c r="N66" s="191">
        <f t="shared" si="4"/>
        <v>397.08150000000006</v>
      </c>
    </row>
    <row r="67" spans="2:14">
      <c r="B67" s="330">
        <v>320000</v>
      </c>
      <c r="C67" s="300">
        <v>1074.76</v>
      </c>
      <c r="D67" s="300">
        <v>922.17</v>
      </c>
      <c r="E67" s="300">
        <f t="shared" ref="E67:E103" si="7">C67</f>
        <v>1074.76</v>
      </c>
      <c r="F67" s="324">
        <v>922.17</v>
      </c>
      <c r="G67" s="311">
        <v>845.88</v>
      </c>
      <c r="K67" s="328">
        <f t="shared" ref="K67:K103" si="8">L67-(C67-D67)-10.2</f>
        <v>238.32549999999998</v>
      </c>
      <c r="L67" s="191">
        <f t="shared" si="6"/>
        <v>401.1155</v>
      </c>
      <c r="M67" s="191">
        <f t="shared" ref="M67:M103" si="9">N67-(F67-G67)-10.2</f>
        <v>314.62550000000005</v>
      </c>
      <c r="N67" s="191">
        <f t="shared" ref="N67:N103" si="10">L67</f>
        <v>401.1155</v>
      </c>
    </row>
    <row r="68" spans="2:14">
      <c r="B68" s="329">
        <v>325000</v>
      </c>
      <c r="C68" s="304">
        <v>1089.1300000000001</v>
      </c>
      <c r="D68" s="304">
        <v>934.33</v>
      </c>
      <c r="E68" s="300">
        <f t="shared" si="7"/>
        <v>1089.1300000000001</v>
      </c>
      <c r="F68" s="324">
        <v>934.33</v>
      </c>
      <c r="G68" s="311">
        <v>856.93</v>
      </c>
      <c r="K68" s="328">
        <f t="shared" si="8"/>
        <v>240.14949999999999</v>
      </c>
      <c r="L68" s="191">
        <f t="shared" si="6"/>
        <v>405.14950000000005</v>
      </c>
      <c r="M68" s="191">
        <f t="shared" si="9"/>
        <v>317.54949999999997</v>
      </c>
      <c r="N68" s="191">
        <f t="shared" si="10"/>
        <v>405.14950000000005</v>
      </c>
    </row>
    <row r="69" spans="2:14">
      <c r="B69" s="329">
        <v>330000</v>
      </c>
      <c r="C69" s="304">
        <v>1103.51</v>
      </c>
      <c r="D69" s="309">
        <v>946.5</v>
      </c>
      <c r="E69" s="300">
        <f t="shared" si="7"/>
        <v>1103.51</v>
      </c>
      <c r="F69" s="324">
        <v>946.5</v>
      </c>
      <c r="G69" s="311">
        <v>867.99</v>
      </c>
      <c r="K69" s="328">
        <f t="shared" si="8"/>
        <v>241.97500000000002</v>
      </c>
      <c r="L69" s="191">
        <f t="shared" si="6"/>
        <v>409.185</v>
      </c>
      <c r="M69" s="191">
        <f t="shared" si="9"/>
        <v>320.47500000000002</v>
      </c>
      <c r="N69" s="191">
        <f t="shared" si="10"/>
        <v>409.185</v>
      </c>
    </row>
    <row r="70" spans="2:14">
      <c r="B70" s="330">
        <v>335000</v>
      </c>
      <c r="C70" s="300">
        <v>1117.8800000000001</v>
      </c>
      <c r="D70" s="310">
        <v>958.66</v>
      </c>
      <c r="E70" s="300">
        <f t="shared" si="7"/>
        <v>1117.8800000000001</v>
      </c>
      <c r="F70" s="324">
        <v>958.66</v>
      </c>
      <c r="G70" s="311">
        <v>879.05</v>
      </c>
      <c r="K70" s="328">
        <f t="shared" si="8"/>
        <v>243.79899999999998</v>
      </c>
      <c r="L70" s="191">
        <f t="shared" si="6"/>
        <v>413.21900000000011</v>
      </c>
      <c r="M70" s="191">
        <f t="shared" si="9"/>
        <v>323.40900000000011</v>
      </c>
      <c r="N70" s="191">
        <f t="shared" si="10"/>
        <v>413.21900000000011</v>
      </c>
    </row>
    <row r="71" spans="2:14">
      <c r="B71" s="329">
        <v>340000</v>
      </c>
      <c r="C71" s="301">
        <v>1132.26</v>
      </c>
      <c r="D71" s="310">
        <v>970.82</v>
      </c>
      <c r="E71" s="300">
        <f t="shared" si="7"/>
        <v>1132.26</v>
      </c>
      <c r="F71" s="324">
        <v>970.82</v>
      </c>
      <c r="G71" s="311">
        <v>890.1</v>
      </c>
      <c r="K71" s="328">
        <f t="shared" si="8"/>
        <v>245.62299999999999</v>
      </c>
      <c r="L71" s="191">
        <f t="shared" si="6"/>
        <v>417.26299999999992</v>
      </c>
      <c r="M71" s="191">
        <f t="shared" si="9"/>
        <v>326.3429999999999</v>
      </c>
      <c r="N71" s="191">
        <f t="shared" si="10"/>
        <v>417.26299999999992</v>
      </c>
    </row>
    <row r="72" spans="2:14">
      <c r="B72" s="330">
        <v>345000</v>
      </c>
      <c r="C72" s="300">
        <v>1146.6300000000001</v>
      </c>
      <c r="D72" s="310">
        <v>982.99</v>
      </c>
      <c r="E72" s="300">
        <f t="shared" si="7"/>
        <v>1146.6300000000001</v>
      </c>
      <c r="F72" s="324">
        <v>982.99</v>
      </c>
      <c r="G72" s="311">
        <v>901.16</v>
      </c>
      <c r="K72" s="328">
        <f t="shared" si="8"/>
        <v>247.44849999999997</v>
      </c>
      <c r="L72" s="191">
        <f t="shared" si="6"/>
        <v>421.28850000000006</v>
      </c>
      <c r="M72" s="191">
        <f t="shared" si="9"/>
        <v>329.25850000000003</v>
      </c>
      <c r="N72" s="191">
        <f t="shared" si="10"/>
        <v>421.28850000000006</v>
      </c>
    </row>
    <row r="73" spans="2:14">
      <c r="B73" s="329">
        <v>350000</v>
      </c>
      <c r="C73" s="301">
        <v>1161.01</v>
      </c>
      <c r="D73" s="310">
        <v>995.15</v>
      </c>
      <c r="E73" s="300">
        <f t="shared" si="7"/>
        <v>1161.01</v>
      </c>
      <c r="F73" s="324">
        <v>995.15</v>
      </c>
      <c r="G73" s="311">
        <v>912.22</v>
      </c>
      <c r="K73" s="328">
        <f t="shared" si="8"/>
        <v>249.27249999999998</v>
      </c>
      <c r="L73" s="191">
        <f t="shared" si="6"/>
        <v>425.33249999999998</v>
      </c>
      <c r="M73" s="191">
        <f t="shared" si="9"/>
        <v>332.20250000000004</v>
      </c>
      <c r="N73" s="191">
        <f t="shared" si="10"/>
        <v>425.33249999999998</v>
      </c>
    </row>
    <row r="74" spans="2:14">
      <c r="B74" s="329">
        <v>355000</v>
      </c>
      <c r="C74" s="301">
        <v>1175.3800000000001</v>
      </c>
      <c r="D74" s="310">
        <v>1007.31</v>
      </c>
      <c r="E74" s="300">
        <f t="shared" si="7"/>
        <v>1175.3800000000001</v>
      </c>
      <c r="F74" s="324">
        <v>1007.31</v>
      </c>
      <c r="G74" s="311">
        <v>923.28</v>
      </c>
      <c r="K74" s="328">
        <f t="shared" si="8"/>
        <v>251.09649999999999</v>
      </c>
      <c r="L74" s="191">
        <f t="shared" si="6"/>
        <v>429.36650000000014</v>
      </c>
      <c r="M74" s="191">
        <f t="shared" si="9"/>
        <v>335.13650000000018</v>
      </c>
      <c r="N74" s="191">
        <f t="shared" si="10"/>
        <v>429.36650000000014</v>
      </c>
    </row>
    <row r="75" spans="2:14">
      <c r="B75" s="329">
        <v>360000</v>
      </c>
      <c r="C75" s="300">
        <v>1189.75</v>
      </c>
      <c r="D75" s="310">
        <v>1019.47</v>
      </c>
      <c r="E75" s="300">
        <f t="shared" si="7"/>
        <v>1189.75</v>
      </c>
      <c r="F75" s="324">
        <v>1019.47</v>
      </c>
      <c r="G75" s="311">
        <v>934.33</v>
      </c>
      <c r="K75" s="328">
        <f t="shared" si="8"/>
        <v>252.9205</v>
      </c>
      <c r="L75" s="191">
        <f t="shared" si="6"/>
        <v>433.40049999999997</v>
      </c>
      <c r="M75" s="191">
        <f t="shared" si="9"/>
        <v>338.06049999999999</v>
      </c>
      <c r="N75" s="191">
        <f t="shared" si="10"/>
        <v>433.40049999999997</v>
      </c>
    </row>
    <row r="76" spans="2:14">
      <c r="B76" s="330">
        <v>365000</v>
      </c>
      <c r="C76" s="301">
        <v>1204.1300000000001</v>
      </c>
      <c r="D76" s="310">
        <v>1031.6400000000001</v>
      </c>
      <c r="E76" s="300">
        <f t="shared" si="7"/>
        <v>1204.1300000000001</v>
      </c>
      <c r="F76" s="324">
        <v>1031.6400000000001</v>
      </c>
      <c r="G76" s="311">
        <v>945.39</v>
      </c>
      <c r="K76" s="328">
        <f t="shared" si="8"/>
        <v>254.74599999999998</v>
      </c>
      <c r="L76" s="191">
        <f t="shared" si="6"/>
        <v>437.43599999999998</v>
      </c>
      <c r="M76" s="191">
        <f t="shared" si="9"/>
        <v>340.98599999999988</v>
      </c>
      <c r="N76" s="191">
        <f t="shared" si="10"/>
        <v>437.43599999999998</v>
      </c>
    </row>
    <row r="77" spans="2:14">
      <c r="B77" s="329">
        <v>370000</v>
      </c>
      <c r="C77" s="300">
        <v>1218.5</v>
      </c>
      <c r="D77" s="310">
        <v>1043.8</v>
      </c>
      <c r="E77" s="300">
        <f t="shared" si="7"/>
        <v>1218.5</v>
      </c>
      <c r="F77" s="324">
        <v>1043.8</v>
      </c>
      <c r="G77" s="311">
        <v>956.45</v>
      </c>
      <c r="K77" s="328">
        <f t="shared" si="8"/>
        <v>256.57</v>
      </c>
      <c r="L77" s="191">
        <f t="shared" si="6"/>
        <v>441.47</v>
      </c>
      <c r="M77" s="191">
        <f t="shared" si="9"/>
        <v>343.92000000000013</v>
      </c>
      <c r="N77" s="191">
        <f t="shared" si="10"/>
        <v>441.47</v>
      </c>
    </row>
    <row r="78" spans="2:14">
      <c r="B78" s="330">
        <v>375000</v>
      </c>
      <c r="C78" s="301">
        <v>1232.8800000000001</v>
      </c>
      <c r="D78" s="310">
        <v>1055.96</v>
      </c>
      <c r="E78" s="300">
        <f t="shared" si="7"/>
        <v>1232.8800000000001</v>
      </c>
      <c r="F78" s="324">
        <v>1055.96</v>
      </c>
      <c r="G78" s="311">
        <v>967.51</v>
      </c>
      <c r="K78" s="328">
        <f t="shared" si="8"/>
        <v>258.39400000000001</v>
      </c>
      <c r="L78" s="191">
        <f t="shared" si="6"/>
        <v>445.51400000000007</v>
      </c>
      <c r="M78" s="191">
        <f t="shared" si="9"/>
        <v>346.86400000000003</v>
      </c>
      <c r="N78" s="191">
        <f t="shared" si="10"/>
        <v>445.51400000000007</v>
      </c>
    </row>
    <row r="79" spans="2:14">
      <c r="B79" s="330">
        <v>380000</v>
      </c>
      <c r="C79" s="301">
        <v>1247.25</v>
      </c>
      <c r="D79" s="310">
        <v>1068.1300000000001</v>
      </c>
      <c r="E79" s="300">
        <f t="shared" si="7"/>
        <v>1247.25</v>
      </c>
      <c r="F79" s="324">
        <v>1068.1300000000001</v>
      </c>
      <c r="G79" s="311">
        <v>978.56</v>
      </c>
      <c r="K79" s="328">
        <f t="shared" si="8"/>
        <v>260.21950000000004</v>
      </c>
      <c r="L79" s="191">
        <f t="shared" si="6"/>
        <v>449.53949999999992</v>
      </c>
      <c r="M79" s="191">
        <f t="shared" si="9"/>
        <v>349.76949999999977</v>
      </c>
      <c r="N79" s="191">
        <f t="shared" si="10"/>
        <v>449.53949999999992</v>
      </c>
    </row>
    <row r="80" spans="2:14">
      <c r="B80" s="329">
        <v>385000</v>
      </c>
      <c r="C80" s="301">
        <v>1261.6300000000001</v>
      </c>
      <c r="D80" s="310">
        <v>1080.29</v>
      </c>
      <c r="E80" s="300">
        <f t="shared" si="7"/>
        <v>1261.6300000000001</v>
      </c>
      <c r="F80" s="324">
        <v>1080.29</v>
      </c>
      <c r="G80" s="311">
        <v>989.62</v>
      </c>
      <c r="K80" s="328">
        <f t="shared" si="8"/>
        <v>262.04349999999999</v>
      </c>
      <c r="L80" s="191">
        <f t="shared" si="6"/>
        <v>453.58350000000013</v>
      </c>
      <c r="M80" s="191">
        <f t="shared" si="9"/>
        <v>352.71350000000018</v>
      </c>
      <c r="N80" s="191">
        <f t="shared" si="10"/>
        <v>453.58350000000013</v>
      </c>
    </row>
    <row r="81" spans="2:14">
      <c r="B81" s="329">
        <v>390000</v>
      </c>
      <c r="C81" s="300">
        <v>1276</v>
      </c>
      <c r="D81" s="310">
        <v>1092.45</v>
      </c>
      <c r="E81" s="300">
        <f t="shared" si="7"/>
        <v>1276</v>
      </c>
      <c r="F81" s="324">
        <v>1092.45</v>
      </c>
      <c r="G81" s="311">
        <v>1000.68</v>
      </c>
      <c r="K81" s="328">
        <f t="shared" si="8"/>
        <v>263.86750000000001</v>
      </c>
      <c r="L81" s="191">
        <f t="shared" si="6"/>
        <v>457.61749999999995</v>
      </c>
      <c r="M81" s="191">
        <f t="shared" si="9"/>
        <v>355.64749999999987</v>
      </c>
      <c r="N81" s="191">
        <f t="shared" si="10"/>
        <v>457.61749999999995</v>
      </c>
    </row>
    <row r="82" spans="2:14">
      <c r="B82" s="329">
        <v>395000</v>
      </c>
      <c r="C82" s="301">
        <v>1290.3800000000001</v>
      </c>
      <c r="D82" s="310">
        <v>1104.6099999999999</v>
      </c>
      <c r="E82" s="300">
        <f t="shared" si="7"/>
        <v>1290.3800000000001</v>
      </c>
      <c r="F82" s="324">
        <v>1104.6099999999999</v>
      </c>
      <c r="G82" s="311">
        <v>1011.73</v>
      </c>
      <c r="K82" s="328">
        <f t="shared" si="8"/>
        <v>265.69150000000002</v>
      </c>
      <c r="L82" s="191">
        <f t="shared" si="6"/>
        <v>461.66150000000022</v>
      </c>
      <c r="M82" s="191">
        <f t="shared" si="9"/>
        <v>358.58150000000035</v>
      </c>
      <c r="N82" s="191">
        <f t="shared" si="10"/>
        <v>461.66150000000022</v>
      </c>
    </row>
    <row r="83" spans="2:14">
      <c r="B83" s="329">
        <v>400000</v>
      </c>
      <c r="C83" s="300">
        <v>1304.75</v>
      </c>
      <c r="D83" s="310">
        <v>1116.78</v>
      </c>
      <c r="E83" s="300">
        <f t="shared" si="7"/>
        <v>1304.75</v>
      </c>
      <c r="F83" s="324">
        <v>1116.78</v>
      </c>
      <c r="G83" s="311">
        <v>1022.79</v>
      </c>
      <c r="K83" s="328">
        <f t="shared" si="8"/>
        <v>267.517</v>
      </c>
      <c r="L83" s="191">
        <f t="shared" si="6"/>
        <v>465.68700000000001</v>
      </c>
      <c r="M83" s="191">
        <f t="shared" si="9"/>
        <v>361.49700000000001</v>
      </c>
      <c r="N83" s="191">
        <f t="shared" si="10"/>
        <v>465.68700000000001</v>
      </c>
    </row>
    <row r="84" spans="2:14">
      <c r="B84" s="329">
        <v>405000</v>
      </c>
      <c r="C84" s="300">
        <v>1319.12</v>
      </c>
      <c r="D84" s="310">
        <v>1128.94</v>
      </c>
      <c r="E84" s="300">
        <f t="shared" si="7"/>
        <v>1319.12</v>
      </c>
      <c r="F84" s="324">
        <v>1128.94</v>
      </c>
      <c r="G84" s="311">
        <v>1033.8499999999999</v>
      </c>
      <c r="K84" s="328">
        <f t="shared" si="8"/>
        <v>269.34100000000001</v>
      </c>
      <c r="L84" s="191">
        <f t="shared" si="6"/>
        <v>469.72099999999983</v>
      </c>
      <c r="M84" s="191">
        <f t="shared" si="9"/>
        <v>364.4309999999997</v>
      </c>
      <c r="N84" s="191">
        <f t="shared" si="10"/>
        <v>469.72099999999983</v>
      </c>
    </row>
    <row r="85" spans="2:14">
      <c r="B85" s="330">
        <v>410000</v>
      </c>
      <c r="C85" s="301">
        <v>1333.5</v>
      </c>
      <c r="D85" s="310">
        <v>1141.0999999999999</v>
      </c>
      <c r="E85" s="300">
        <f t="shared" si="7"/>
        <v>1333.5</v>
      </c>
      <c r="F85" s="324">
        <v>1141.0999999999999</v>
      </c>
      <c r="G85" s="311">
        <v>1044.9100000000001</v>
      </c>
      <c r="K85" s="328">
        <f t="shared" si="8"/>
        <v>271.16499999999996</v>
      </c>
      <c r="L85" s="191">
        <f t="shared" si="6"/>
        <v>473.76500000000004</v>
      </c>
      <c r="M85" s="191">
        <f t="shared" si="9"/>
        <v>367.37500000000023</v>
      </c>
      <c r="N85" s="191">
        <f t="shared" si="10"/>
        <v>473.76500000000004</v>
      </c>
    </row>
    <row r="86" spans="2:14">
      <c r="B86" s="330">
        <v>415000</v>
      </c>
      <c r="C86" s="301">
        <v>1347.87</v>
      </c>
      <c r="D86" s="310">
        <v>1153.27</v>
      </c>
      <c r="E86" s="300">
        <f t="shared" si="7"/>
        <v>1347.87</v>
      </c>
      <c r="F86" s="324">
        <v>1153.27</v>
      </c>
      <c r="G86" s="311">
        <v>1055.96</v>
      </c>
      <c r="K86" s="328">
        <f t="shared" si="8"/>
        <v>272.9905</v>
      </c>
      <c r="L86" s="191">
        <f t="shared" si="6"/>
        <v>477.79049999999989</v>
      </c>
      <c r="M86" s="191">
        <f t="shared" si="9"/>
        <v>370.28049999999996</v>
      </c>
      <c r="N86" s="191">
        <f t="shared" si="10"/>
        <v>477.79049999999989</v>
      </c>
    </row>
    <row r="87" spans="2:14">
      <c r="B87" s="329">
        <v>420000</v>
      </c>
      <c r="C87" s="301">
        <v>1362.25</v>
      </c>
      <c r="D87" s="310">
        <v>1165.43</v>
      </c>
      <c r="E87" s="300">
        <f t="shared" si="7"/>
        <v>1362.25</v>
      </c>
      <c r="F87" s="324">
        <v>1165.43</v>
      </c>
      <c r="G87" s="311">
        <v>1067.02</v>
      </c>
      <c r="K87" s="328">
        <f t="shared" si="8"/>
        <v>274.81450000000001</v>
      </c>
      <c r="L87" s="191">
        <f t="shared" si="6"/>
        <v>481.83449999999993</v>
      </c>
      <c r="M87" s="191">
        <f t="shared" si="9"/>
        <v>373.22449999999986</v>
      </c>
      <c r="N87" s="191">
        <f t="shared" si="10"/>
        <v>481.83449999999993</v>
      </c>
    </row>
    <row r="88" spans="2:14">
      <c r="B88" s="329">
        <v>425000</v>
      </c>
      <c r="C88" s="301">
        <v>1376.62</v>
      </c>
      <c r="D88" s="310">
        <v>1177.5899999999999</v>
      </c>
      <c r="E88" s="300">
        <f t="shared" si="7"/>
        <v>1376.62</v>
      </c>
      <c r="F88" s="324">
        <v>1177.5899999999999</v>
      </c>
      <c r="G88" s="311">
        <v>1078.08</v>
      </c>
      <c r="K88" s="328">
        <f t="shared" si="8"/>
        <v>276.63850000000002</v>
      </c>
      <c r="L88" s="191">
        <f t="shared" si="6"/>
        <v>485.86849999999998</v>
      </c>
      <c r="M88" s="191">
        <f t="shared" si="9"/>
        <v>376.1585</v>
      </c>
      <c r="N88" s="191">
        <f t="shared" si="10"/>
        <v>485.86849999999998</v>
      </c>
    </row>
    <row r="89" spans="2:14">
      <c r="B89" s="329">
        <v>430000</v>
      </c>
      <c r="C89" s="301">
        <v>1391</v>
      </c>
      <c r="D89" s="310">
        <v>1189.75</v>
      </c>
      <c r="E89" s="300">
        <f t="shared" si="7"/>
        <v>1391</v>
      </c>
      <c r="F89" s="324">
        <v>1189.75</v>
      </c>
      <c r="G89" s="311">
        <v>1089.1300000000001</v>
      </c>
      <c r="K89" s="328">
        <f t="shared" si="8"/>
        <v>278.46249999999998</v>
      </c>
      <c r="L89" s="191">
        <f t="shared" si="6"/>
        <v>489.91249999999997</v>
      </c>
      <c r="M89" s="191">
        <f t="shared" si="9"/>
        <v>379.09250000000009</v>
      </c>
      <c r="N89" s="191">
        <f t="shared" si="10"/>
        <v>489.91249999999997</v>
      </c>
    </row>
    <row r="90" spans="2:14">
      <c r="B90" s="329">
        <v>435000</v>
      </c>
      <c r="C90" s="300">
        <v>1405.37</v>
      </c>
      <c r="D90" s="310">
        <v>1201.92</v>
      </c>
      <c r="E90" s="300">
        <f t="shared" si="7"/>
        <v>1405.37</v>
      </c>
      <c r="F90" s="324">
        <v>1201.92</v>
      </c>
      <c r="G90" s="311">
        <v>1100.19</v>
      </c>
      <c r="K90" s="328">
        <f t="shared" si="8"/>
        <v>280.28800000000001</v>
      </c>
      <c r="L90" s="191">
        <f t="shared" si="6"/>
        <v>493.93799999999982</v>
      </c>
      <c r="M90" s="191">
        <f t="shared" si="9"/>
        <v>382.00799999999981</v>
      </c>
      <c r="N90" s="191">
        <f t="shared" si="10"/>
        <v>493.93799999999982</v>
      </c>
    </row>
    <row r="91" spans="2:14">
      <c r="B91" s="329">
        <v>440000</v>
      </c>
      <c r="C91" s="300">
        <v>1419.74</v>
      </c>
      <c r="D91" s="310">
        <v>1214.08</v>
      </c>
      <c r="E91" s="300">
        <f t="shared" si="7"/>
        <v>1419.74</v>
      </c>
      <c r="F91" s="324">
        <v>1214.08</v>
      </c>
      <c r="G91" s="311">
        <v>1111.25</v>
      </c>
      <c r="K91" s="328">
        <f t="shared" si="8"/>
        <v>282.11199999999997</v>
      </c>
      <c r="L91" s="191">
        <f t="shared" si="6"/>
        <v>497.97200000000004</v>
      </c>
      <c r="M91" s="191">
        <f t="shared" si="9"/>
        <v>384.94200000000012</v>
      </c>
      <c r="N91" s="191">
        <f t="shared" si="10"/>
        <v>497.97200000000004</v>
      </c>
    </row>
    <row r="92" spans="2:14">
      <c r="B92" s="329">
        <v>445000</v>
      </c>
      <c r="C92" s="301">
        <v>1434.12</v>
      </c>
      <c r="D92" s="310">
        <v>1226.24</v>
      </c>
      <c r="E92" s="300">
        <f t="shared" si="7"/>
        <v>1434.12</v>
      </c>
      <c r="F92" s="324">
        <v>1226.24</v>
      </c>
      <c r="G92" s="311">
        <v>1122.31</v>
      </c>
      <c r="K92" s="328">
        <f t="shared" si="8"/>
        <v>283.93600000000004</v>
      </c>
      <c r="L92" s="191">
        <f t="shared" si="6"/>
        <v>502.01599999999991</v>
      </c>
      <c r="M92" s="191">
        <f t="shared" si="9"/>
        <v>387.88599999999985</v>
      </c>
      <c r="N92" s="191">
        <f t="shared" si="10"/>
        <v>502.01599999999991</v>
      </c>
    </row>
    <row r="93" spans="2:14">
      <c r="B93" s="329">
        <v>450000</v>
      </c>
      <c r="C93" s="301">
        <v>1448.49</v>
      </c>
      <c r="D93" s="310">
        <v>1238.4100000000001</v>
      </c>
      <c r="E93" s="300">
        <f t="shared" si="7"/>
        <v>1448.49</v>
      </c>
      <c r="F93" s="324">
        <v>1238.4100000000001</v>
      </c>
      <c r="G93" s="311">
        <v>1133.3599999999999</v>
      </c>
      <c r="K93" s="328">
        <f t="shared" si="8"/>
        <v>285.76150000000001</v>
      </c>
      <c r="L93" s="191">
        <f t="shared" si="6"/>
        <v>506.04149999999993</v>
      </c>
      <c r="M93" s="191">
        <f t="shared" si="9"/>
        <v>390.79149999999976</v>
      </c>
      <c r="N93" s="191">
        <f t="shared" si="10"/>
        <v>506.04149999999993</v>
      </c>
    </row>
    <row r="94" spans="2:14">
      <c r="B94" s="329">
        <v>455000</v>
      </c>
      <c r="C94" s="301">
        <v>1462.87</v>
      </c>
      <c r="D94" s="310">
        <v>1250.57</v>
      </c>
      <c r="E94" s="300">
        <f t="shared" si="7"/>
        <v>1462.87</v>
      </c>
      <c r="F94" s="324">
        <v>1250.57</v>
      </c>
      <c r="G94" s="311">
        <v>1144.42</v>
      </c>
      <c r="K94" s="328">
        <f t="shared" si="8"/>
        <v>287.58550000000002</v>
      </c>
      <c r="L94" s="191">
        <f t="shared" si="6"/>
        <v>510.08549999999997</v>
      </c>
      <c r="M94" s="191">
        <f t="shared" si="9"/>
        <v>393.73550000000012</v>
      </c>
      <c r="N94" s="191">
        <f t="shared" si="10"/>
        <v>510.08549999999997</v>
      </c>
    </row>
    <row r="95" spans="2:14">
      <c r="B95" s="329">
        <v>460000</v>
      </c>
      <c r="C95" s="301">
        <v>1477.24</v>
      </c>
      <c r="D95" s="310">
        <v>1262.73</v>
      </c>
      <c r="E95" s="300">
        <f t="shared" si="7"/>
        <v>1477.24</v>
      </c>
      <c r="F95" s="324">
        <v>1262.73</v>
      </c>
      <c r="G95" s="311">
        <v>1155.48</v>
      </c>
      <c r="K95" s="328">
        <f t="shared" si="8"/>
        <v>289.40950000000004</v>
      </c>
      <c r="L95" s="191">
        <f t="shared" si="6"/>
        <v>514.11950000000002</v>
      </c>
      <c r="M95" s="191">
        <f t="shared" si="9"/>
        <v>396.66950000000003</v>
      </c>
      <c r="N95" s="191">
        <f t="shared" si="10"/>
        <v>514.11950000000002</v>
      </c>
    </row>
    <row r="96" spans="2:14">
      <c r="B96" s="329">
        <v>465000</v>
      </c>
      <c r="C96" s="301">
        <v>1491.62</v>
      </c>
      <c r="D96" s="310">
        <v>1274.9000000000001</v>
      </c>
      <c r="E96" s="300">
        <f t="shared" si="7"/>
        <v>1491.62</v>
      </c>
      <c r="F96" s="324">
        <v>1274.9000000000001</v>
      </c>
      <c r="G96" s="311">
        <v>1166.53</v>
      </c>
      <c r="K96" s="328">
        <f t="shared" si="8"/>
        <v>291.23499999999996</v>
      </c>
      <c r="L96" s="191">
        <f t="shared" si="6"/>
        <v>518.15499999999975</v>
      </c>
      <c r="M96" s="191">
        <f t="shared" si="9"/>
        <v>399.58499999999964</v>
      </c>
      <c r="N96" s="191">
        <f t="shared" si="10"/>
        <v>518.15499999999975</v>
      </c>
    </row>
    <row r="97" spans="2:14">
      <c r="B97" s="329">
        <v>470000</v>
      </c>
      <c r="C97" s="301">
        <v>1505.99</v>
      </c>
      <c r="D97" s="310">
        <v>1287.06</v>
      </c>
      <c r="E97" s="300">
        <f t="shared" si="7"/>
        <v>1505.99</v>
      </c>
      <c r="F97" s="324">
        <v>1287.06</v>
      </c>
      <c r="G97" s="311">
        <v>1177.5899999999999</v>
      </c>
      <c r="K97" s="328">
        <f t="shared" si="8"/>
        <v>293.05900000000003</v>
      </c>
      <c r="L97" s="191">
        <f t="shared" si="6"/>
        <v>522.18900000000008</v>
      </c>
      <c r="M97" s="191">
        <f t="shared" si="9"/>
        <v>402.51900000000006</v>
      </c>
      <c r="N97" s="191">
        <f t="shared" si="10"/>
        <v>522.18900000000008</v>
      </c>
    </row>
    <row r="98" spans="2:14">
      <c r="B98" s="329">
        <v>475000</v>
      </c>
      <c r="C98" s="301">
        <v>1520.37</v>
      </c>
      <c r="D98" s="310">
        <v>1299.22</v>
      </c>
      <c r="E98" s="300">
        <f t="shared" si="7"/>
        <v>1520.37</v>
      </c>
      <c r="F98" s="324">
        <v>1299.22</v>
      </c>
      <c r="G98" s="311">
        <v>1188.6500000000001</v>
      </c>
      <c r="K98" s="328">
        <f t="shared" si="8"/>
        <v>294.8830000000001</v>
      </c>
      <c r="L98" s="191">
        <f t="shared" si="6"/>
        <v>526.23299999999995</v>
      </c>
      <c r="M98" s="191">
        <f t="shared" si="9"/>
        <v>405.46300000000002</v>
      </c>
      <c r="N98" s="191">
        <f t="shared" si="10"/>
        <v>526.23299999999995</v>
      </c>
    </row>
    <row r="99" spans="2:14">
      <c r="B99" s="329">
        <v>480000</v>
      </c>
      <c r="C99" s="301">
        <v>1534.74</v>
      </c>
      <c r="D99" s="310">
        <v>1311.38</v>
      </c>
      <c r="E99" s="300">
        <f t="shared" si="7"/>
        <v>1534.74</v>
      </c>
      <c r="F99" s="324">
        <v>1311.38</v>
      </c>
      <c r="G99" s="311">
        <v>1199.71</v>
      </c>
      <c r="K99" s="328">
        <f t="shared" si="8"/>
        <v>296.70699999999994</v>
      </c>
      <c r="L99" s="191">
        <f t="shared" si="6"/>
        <v>530.26699999999983</v>
      </c>
      <c r="M99" s="191">
        <f t="shared" si="9"/>
        <v>408.39699999999976</v>
      </c>
      <c r="N99" s="191">
        <f t="shared" si="10"/>
        <v>530.26699999999983</v>
      </c>
    </row>
    <row r="100" spans="2:14">
      <c r="B100" s="329">
        <v>485000</v>
      </c>
      <c r="C100" s="301">
        <v>1549.11</v>
      </c>
      <c r="D100" s="310">
        <v>1323.55</v>
      </c>
      <c r="E100" s="300">
        <f t="shared" si="7"/>
        <v>1549.11</v>
      </c>
      <c r="F100" s="324">
        <v>1323.55</v>
      </c>
      <c r="G100" s="311">
        <v>1210.76</v>
      </c>
      <c r="K100" s="328">
        <f t="shared" si="8"/>
        <v>298.53250000000008</v>
      </c>
      <c r="L100" s="191">
        <f t="shared" si="6"/>
        <v>534.29250000000002</v>
      </c>
      <c r="M100" s="191">
        <f t="shared" si="9"/>
        <v>411.30250000000007</v>
      </c>
      <c r="N100" s="191">
        <f t="shared" si="10"/>
        <v>534.29250000000002</v>
      </c>
    </row>
    <row r="101" spans="2:14">
      <c r="B101" s="329">
        <v>490000</v>
      </c>
      <c r="C101" s="301">
        <v>1563.49</v>
      </c>
      <c r="D101" s="310">
        <v>1335.71</v>
      </c>
      <c r="E101" s="300">
        <f t="shared" si="7"/>
        <v>1563.49</v>
      </c>
      <c r="F101" s="324">
        <v>1335.71</v>
      </c>
      <c r="G101" s="311">
        <v>1221.82</v>
      </c>
      <c r="K101" s="328">
        <f t="shared" si="8"/>
        <v>300.35649999999993</v>
      </c>
      <c r="L101" s="191">
        <f t="shared" si="6"/>
        <v>538.33649999999989</v>
      </c>
      <c r="M101" s="191">
        <f t="shared" si="9"/>
        <v>414.2464999999998</v>
      </c>
      <c r="N101" s="191">
        <f t="shared" si="10"/>
        <v>538.33649999999989</v>
      </c>
    </row>
    <row r="102" spans="2:14">
      <c r="B102" s="329">
        <v>495000</v>
      </c>
      <c r="C102" s="301">
        <v>1577.86</v>
      </c>
      <c r="D102" s="310">
        <v>1347.87</v>
      </c>
      <c r="E102" s="300">
        <f t="shared" si="7"/>
        <v>1577.86</v>
      </c>
      <c r="F102" s="324">
        <v>1347.87</v>
      </c>
      <c r="G102" s="311">
        <v>1232.8800000000001</v>
      </c>
      <c r="K102" s="328">
        <f t="shared" si="8"/>
        <v>302.18049999999999</v>
      </c>
      <c r="L102" s="191">
        <f t="shared" si="6"/>
        <v>542.37049999999999</v>
      </c>
      <c r="M102" s="191">
        <f t="shared" si="9"/>
        <v>417.18050000000022</v>
      </c>
      <c r="N102" s="191">
        <f t="shared" si="10"/>
        <v>542.37049999999999</v>
      </c>
    </row>
    <row r="103" spans="2:14">
      <c r="B103" s="329">
        <v>500000</v>
      </c>
      <c r="C103" s="301">
        <v>1592.24</v>
      </c>
      <c r="D103" s="310">
        <v>1360.04</v>
      </c>
      <c r="E103" s="300">
        <f t="shared" si="7"/>
        <v>1592.24</v>
      </c>
      <c r="F103" s="324">
        <v>1360.04</v>
      </c>
      <c r="G103" s="312">
        <v>1243.94</v>
      </c>
      <c r="K103" s="328">
        <f t="shared" si="8"/>
        <v>304.00599999999991</v>
      </c>
      <c r="L103" s="191">
        <f t="shared" si="6"/>
        <v>546.40599999999995</v>
      </c>
      <c r="M103" s="191">
        <f t="shared" si="9"/>
        <v>420.10600000000005</v>
      </c>
      <c r="N103" s="191">
        <f t="shared" si="10"/>
        <v>546.40599999999995</v>
      </c>
    </row>
  </sheetData>
  <conditionalFormatting sqref="K2:K103">
    <cfRule type="colorScale" priority="1">
      <colorScale>
        <cfvo type="min"/>
        <cfvo type="max"/>
        <color rgb="FF63BE7B"/>
        <color rgb="FFFFEF9C"/>
      </colorScale>
    </cfRule>
  </conditionalFormatting>
  <conditionalFormatting sqref="L2:M1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4" tint="-0.249977111117893"/>
    <pageSetUpPr fitToPage="1"/>
  </sheetPr>
  <dimension ref="A9:Y73"/>
  <sheetViews>
    <sheetView showGridLines="0" view="pageLayout" topLeftCell="B4" zoomScaleNormal="100" zoomScaleSheetLayoutView="100" workbookViewId="0">
      <selection activeCell="J11" sqref="J11:L11"/>
    </sheetView>
  </sheetViews>
  <sheetFormatPr baseColWidth="10" defaultColWidth="11.28515625" defaultRowHeight="12.75"/>
  <cols>
    <col min="1" max="1" width="5.140625" style="74" hidden="1" customWidth="1"/>
    <col min="2" max="2" width="13.7109375" style="74" customWidth="1"/>
    <col min="3" max="3" width="3.42578125" style="74" customWidth="1"/>
    <col min="4" max="4" width="5.140625" style="74" customWidth="1"/>
    <col min="5" max="5" width="7" style="74" customWidth="1"/>
    <col min="6" max="6" width="2.7109375" style="74" hidden="1" customWidth="1"/>
    <col min="7" max="7" width="10.7109375" style="74" hidden="1" customWidth="1"/>
    <col min="8" max="8" width="5.140625" style="74" hidden="1" customWidth="1"/>
    <col min="9" max="9" width="9.85546875" style="74" hidden="1" customWidth="1"/>
    <col min="10" max="10" width="15.140625" style="74" customWidth="1"/>
    <col min="11" max="11" width="6" style="74" hidden="1" customWidth="1"/>
    <col min="12" max="12" width="9" style="74" hidden="1" customWidth="1"/>
    <col min="13" max="13" width="7.42578125" style="74" hidden="1" customWidth="1"/>
    <col min="14" max="14" width="12.140625" style="74" hidden="1" customWidth="1"/>
    <col min="15" max="15" width="4.28515625" style="74" hidden="1" customWidth="1"/>
    <col min="16" max="16" width="4.28515625" style="74" customWidth="1"/>
    <col min="17" max="17" width="10.7109375" style="74" customWidth="1"/>
    <col min="18" max="18" width="12.7109375" style="74" customWidth="1"/>
    <col min="19" max="19" width="10.7109375" style="74" customWidth="1"/>
    <col min="20" max="21" width="4.28515625" style="74" customWidth="1"/>
    <col min="22" max="22" width="7" style="74" customWidth="1"/>
    <col min="23" max="25" width="4.28515625" style="74" customWidth="1"/>
    <col min="26" max="224" width="11.28515625" style="74"/>
    <col min="225" max="225" width="4.28515625" style="74" customWidth="1"/>
    <col min="226" max="226" width="3.42578125" style="74" customWidth="1"/>
    <col min="227" max="227" width="5.140625" style="74" customWidth="1"/>
    <col min="228" max="228" width="4.28515625" style="74" customWidth="1"/>
    <col min="229" max="232" width="0" style="74" hidden="1" customWidth="1"/>
    <col min="233" max="233" width="6.7109375" style="74" customWidth="1"/>
    <col min="234" max="234" width="6" style="74" customWidth="1"/>
    <col min="235" max="237" width="0" style="74" hidden="1" customWidth="1"/>
    <col min="238" max="240" width="4.28515625" style="74" customWidth="1"/>
    <col min="241" max="241" width="12.7109375" style="74" bestFit="1" customWidth="1"/>
    <col min="242" max="242" width="10.7109375" style="74" bestFit="1" customWidth="1"/>
    <col min="243" max="249" width="4.28515625" style="74" customWidth="1"/>
    <col min="250" max="252" width="11.7109375" style="74" bestFit="1" customWidth="1"/>
    <col min="253" max="480" width="11.28515625" style="74"/>
    <col min="481" max="481" width="4.28515625" style="74" customWidth="1"/>
    <col min="482" max="482" width="3.42578125" style="74" customWidth="1"/>
    <col min="483" max="483" width="5.140625" style="74" customWidth="1"/>
    <col min="484" max="484" width="4.28515625" style="74" customWidth="1"/>
    <col min="485" max="488" width="0" style="74" hidden="1" customWidth="1"/>
    <col min="489" max="489" width="6.7109375" style="74" customWidth="1"/>
    <col min="490" max="490" width="6" style="74" customWidth="1"/>
    <col min="491" max="493" width="0" style="74" hidden="1" customWidth="1"/>
    <col min="494" max="496" width="4.28515625" style="74" customWidth="1"/>
    <col min="497" max="497" width="12.7109375" style="74" bestFit="1" customWidth="1"/>
    <col min="498" max="498" width="10.7109375" style="74" bestFit="1" customWidth="1"/>
    <col min="499" max="505" width="4.28515625" style="74" customWidth="1"/>
    <col min="506" max="508" width="11.7109375" style="74" bestFit="1" customWidth="1"/>
    <col min="509" max="736" width="11.28515625" style="74"/>
    <col min="737" max="737" width="4.28515625" style="74" customWidth="1"/>
    <col min="738" max="738" width="3.42578125" style="74" customWidth="1"/>
    <col min="739" max="739" width="5.140625" style="74" customWidth="1"/>
    <col min="740" max="740" width="4.28515625" style="74" customWidth="1"/>
    <col min="741" max="744" width="0" style="74" hidden="1" customWidth="1"/>
    <col min="745" max="745" width="6.7109375" style="74" customWidth="1"/>
    <col min="746" max="746" width="6" style="74" customWidth="1"/>
    <col min="747" max="749" width="0" style="74" hidden="1" customWidth="1"/>
    <col min="750" max="752" width="4.28515625" style="74" customWidth="1"/>
    <col min="753" max="753" width="12.7109375" style="74" bestFit="1" customWidth="1"/>
    <col min="754" max="754" width="10.7109375" style="74" bestFit="1" customWidth="1"/>
    <col min="755" max="761" width="4.28515625" style="74" customWidth="1"/>
    <col min="762" max="764" width="11.7109375" style="74" bestFit="1" customWidth="1"/>
    <col min="765" max="992" width="11.28515625" style="74"/>
    <col min="993" max="993" width="4.28515625" style="74" customWidth="1"/>
    <col min="994" max="994" width="3.42578125" style="74" customWidth="1"/>
    <col min="995" max="995" width="5.140625" style="74" customWidth="1"/>
    <col min="996" max="996" width="4.28515625" style="74" customWidth="1"/>
    <col min="997" max="1000" width="0" style="74" hidden="1" customWidth="1"/>
    <col min="1001" max="1001" width="6.7109375" style="74" customWidth="1"/>
    <col min="1002" max="1002" width="6" style="74" customWidth="1"/>
    <col min="1003" max="1005" width="0" style="74" hidden="1" customWidth="1"/>
    <col min="1006" max="1008" width="4.28515625" style="74" customWidth="1"/>
    <col min="1009" max="1009" width="12.7109375" style="74" bestFit="1" customWidth="1"/>
    <col min="1010" max="1010" width="10.7109375" style="74" bestFit="1" customWidth="1"/>
    <col min="1011" max="1017" width="4.28515625" style="74" customWidth="1"/>
    <col min="1018" max="1020" width="11.7109375" style="74" bestFit="1" customWidth="1"/>
    <col min="1021" max="1248" width="11.28515625" style="74"/>
    <col min="1249" max="1249" width="4.28515625" style="74" customWidth="1"/>
    <col min="1250" max="1250" width="3.42578125" style="74" customWidth="1"/>
    <col min="1251" max="1251" width="5.140625" style="74" customWidth="1"/>
    <col min="1252" max="1252" width="4.28515625" style="74" customWidth="1"/>
    <col min="1253" max="1256" width="0" style="74" hidden="1" customWidth="1"/>
    <col min="1257" max="1257" width="6.7109375" style="74" customWidth="1"/>
    <col min="1258" max="1258" width="6" style="74" customWidth="1"/>
    <col min="1259" max="1261" width="0" style="74" hidden="1" customWidth="1"/>
    <col min="1262" max="1264" width="4.28515625" style="74" customWidth="1"/>
    <col min="1265" max="1265" width="12.7109375" style="74" bestFit="1" customWidth="1"/>
    <col min="1266" max="1266" width="10.7109375" style="74" bestFit="1" customWidth="1"/>
    <col min="1267" max="1273" width="4.28515625" style="74" customWidth="1"/>
    <col min="1274" max="1276" width="11.7109375" style="74" bestFit="1" customWidth="1"/>
    <col min="1277" max="1504" width="11.28515625" style="74"/>
    <col min="1505" max="1505" width="4.28515625" style="74" customWidth="1"/>
    <col min="1506" max="1506" width="3.42578125" style="74" customWidth="1"/>
    <col min="1507" max="1507" width="5.140625" style="74" customWidth="1"/>
    <col min="1508" max="1508" width="4.28515625" style="74" customWidth="1"/>
    <col min="1509" max="1512" width="0" style="74" hidden="1" customWidth="1"/>
    <col min="1513" max="1513" width="6.7109375" style="74" customWidth="1"/>
    <col min="1514" max="1514" width="6" style="74" customWidth="1"/>
    <col min="1515" max="1517" width="0" style="74" hidden="1" customWidth="1"/>
    <col min="1518" max="1520" width="4.28515625" style="74" customWidth="1"/>
    <col min="1521" max="1521" width="12.7109375" style="74" bestFit="1" customWidth="1"/>
    <col min="1522" max="1522" width="10.7109375" style="74" bestFit="1" customWidth="1"/>
    <col min="1523" max="1529" width="4.28515625" style="74" customWidth="1"/>
    <col min="1530" max="1532" width="11.7109375" style="74" bestFit="1" customWidth="1"/>
    <col min="1533" max="1760" width="11.28515625" style="74"/>
    <col min="1761" max="1761" width="4.28515625" style="74" customWidth="1"/>
    <col min="1762" max="1762" width="3.42578125" style="74" customWidth="1"/>
    <col min="1763" max="1763" width="5.140625" style="74" customWidth="1"/>
    <col min="1764" max="1764" width="4.28515625" style="74" customWidth="1"/>
    <col min="1765" max="1768" width="0" style="74" hidden="1" customWidth="1"/>
    <col min="1769" max="1769" width="6.7109375" style="74" customWidth="1"/>
    <col min="1770" max="1770" width="6" style="74" customWidth="1"/>
    <col min="1771" max="1773" width="0" style="74" hidden="1" customWidth="1"/>
    <col min="1774" max="1776" width="4.28515625" style="74" customWidth="1"/>
    <col min="1777" max="1777" width="12.7109375" style="74" bestFit="1" customWidth="1"/>
    <col min="1778" max="1778" width="10.7109375" style="74" bestFit="1" customWidth="1"/>
    <col min="1779" max="1785" width="4.28515625" style="74" customWidth="1"/>
    <col min="1786" max="1788" width="11.7109375" style="74" bestFit="1" customWidth="1"/>
    <col min="1789" max="2016" width="11.28515625" style="74"/>
    <col min="2017" max="2017" width="4.28515625" style="74" customWidth="1"/>
    <col min="2018" max="2018" width="3.42578125" style="74" customWidth="1"/>
    <col min="2019" max="2019" width="5.140625" style="74" customWidth="1"/>
    <col min="2020" max="2020" width="4.28515625" style="74" customWidth="1"/>
    <col min="2021" max="2024" width="0" style="74" hidden="1" customWidth="1"/>
    <col min="2025" max="2025" width="6.7109375" style="74" customWidth="1"/>
    <col min="2026" max="2026" width="6" style="74" customWidth="1"/>
    <col min="2027" max="2029" width="0" style="74" hidden="1" customWidth="1"/>
    <col min="2030" max="2032" width="4.28515625" style="74" customWidth="1"/>
    <col min="2033" max="2033" width="12.7109375" style="74" bestFit="1" customWidth="1"/>
    <col min="2034" max="2034" width="10.7109375" style="74" bestFit="1" customWidth="1"/>
    <col min="2035" max="2041" width="4.28515625" style="74" customWidth="1"/>
    <col min="2042" max="2044" width="11.7109375" style="74" bestFit="1" customWidth="1"/>
    <col min="2045" max="2272" width="11.28515625" style="74"/>
    <col min="2273" max="2273" width="4.28515625" style="74" customWidth="1"/>
    <col min="2274" max="2274" width="3.42578125" style="74" customWidth="1"/>
    <col min="2275" max="2275" width="5.140625" style="74" customWidth="1"/>
    <col min="2276" max="2276" width="4.28515625" style="74" customWidth="1"/>
    <col min="2277" max="2280" width="0" style="74" hidden="1" customWidth="1"/>
    <col min="2281" max="2281" width="6.7109375" style="74" customWidth="1"/>
    <col min="2282" max="2282" width="6" style="74" customWidth="1"/>
    <col min="2283" max="2285" width="0" style="74" hidden="1" customWidth="1"/>
    <col min="2286" max="2288" width="4.28515625" style="74" customWidth="1"/>
    <col min="2289" max="2289" width="12.7109375" style="74" bestFit="1" customWidth="1"/>
    <col min="2290" max="2290" width="10.7109375" style="74" bestFit="1" customWidth="1"/>
    <col min="2291" max="2297" width="4.28515625" style="74" customWidth="1"/>
    <col min="2298" max="2300" width="11.7109375" style="74" bestFit="1" customWidth="1"/>
    <col min="2301" max="2528" width="11.28515625" style="74"/>
    <col min="2529" max="2529" width="4.28515625" style="74" customWidth="1"/>
    <col min="2530" max="2530" width="3.42578125" style="74" customWidth="1"/>
    <col min="2531" max="2531" width="5.140625" style="74" customWidth="1"/>
    <col min="2532" max="2532" width="4.28515625" style="74" customWidth="1"/>
    <col min="2533" max="2536" width="0" style="74" hidden="1" customWidth="1"/>
    <col min="2537" max="2537" width="6.7109375" style="74" customWidth="1"/>
    <col min="2538" max="2538" width="6" style="74" customWidth="1"/>
    <col min="2539" max="2541" width="0" style="74" hidden="1" customWidth="1"/>
    <col min="2542" max="2544" width="4.28515625" style="74" customWidth="1"/>
    <col min="2545" max="2545" width="12.7109375" style="74" bestFit="1" customWidth="1"/>
    <col min="2546" max="2546" width="10.7109375" style="74" bestFit="1" customWidth="1"/>
    <col min="2547" max="2553" width="4.28515625" style="74" customWidth="1"/>
    <col min="2554" max="2556" width="11.7109375" style="74" bestFit="1" customWidth="1"/>
    <col min="2557" max="2784" width="11.28515625" style="74"/>
    <col min="2785" max="2785" width="4.28515625" style="74" customWidth="1"/>
    <col min="2786" max="2786" width="3.42578125" style="74" customWidth="1"/>
    <col min="2787" max="2787" width="5.140625" style="74" customWidth="1"/>
    <col min="2788" max="2788" width="4.28515625" style="74" customWidth="1"/>
    <col min="2789" max="2792" width="0" style="74" hidden="1" customWidth="1"/>
    <col min="2793" max="2793" width="6.7109375" style="74" customWidth="1"/>
    <col min="2794" max="2794" width="6" style="74" customWidth="1"/>
    <col min="2795" max="2797" width="0" style="74" hidden="1" customWidth="1"/>
    <col min="2798" max="2800" width="4.28515625" style="74" customWidth="1"/>
    <col min="2801" max="2801" width="12.7109375" style="74" bestFit="1" customWidth="1"/>
    <col min="2802" max="2802" width="10.7109375" style="74" bestFit="1" customWidth="1"/>
    <col min="2803" max="2809" width="4.28515625" style="74" customWidth="1"/>
    <col min="2810" max="2812" width="11.7109375" style="74" bestFit="1" customWidth="1"/>
    <col min="2813" max="3040" width="11.28515625" style="74"/>
    <col min="3041" max="3041" width="4.28515625" style="74" customWidth="1"/>
    <col min="3042" max="3042" width="3.42578125" style="74" customWidth="1"/>
    <col min="3043" max="3043" width="5.140625" style="74" customWidth="1"/>
    <col min="3044" max="3044" width="4.28515625" style="74" customWidth="1"/>
    <col min="3045" max="3048" width="0" style="74" hidden="1" customWidth="1"/>
    <col min="3049" max="3049" width="6.7109375" style="74" customWidth="1"/>
    <col min="3050" max="3050" width="6" style="74" customWidth="1"/>
    <col min="3051" max="3053" width="0" style="74" hidden="1" customWidth="1"/>
    <col min="3054" max="3056" width="4.28515625" style="74" customWidth="1"/>
    <col min="3057" max="3057" width="12.7109375" style="74" bestFit="1" customWidth="1"/>
    <col min="3058" max="3058" width="10.7109375" style="74" bestFit="1" customWidth="1"/>
    <col min="3059" max="3065" width="4.28515625" style="74" customWidth="1"/>
    <col min="3066" max="3068" width="11.7109375" style="74" bestFit="1" customWidth="1"/>
    <col min="3069" max="3296" width="11.28515625" style="74"/>
    <col min="3297" max="3297" width="4.28515625" style="74" customWidth="1"/>
    <col min="3298" max="3298" width="3.42578125" style="74" customWidth="1"/>
    <col min="3299" max="3299" width="5.140625" style="74" customWidth="1"/>
    <col min="3300" max="3300" width="4.28515625" style="74" customWidth="1"/>
    <col min="3301" max="3304" width="0" style="74" hidden="1" customWidth="1"/>
    <col min="3305" max="3305" width="6.7109375" style="74" customWidth="1"/>
    <col min="3306" max="3306" width="6" style="74" customWidth="1"/>
    <col min="3307" max="3309" width="0" style="74" hidden="1" customWidth="1"/>
    <col min="3310" max="3312" width="4.28515625" style="74" customWidth="1"/>
    <col min="3313" max="3313" width="12.7109375" style="74" bestFit="1" customWidth="1"/>
    <col min="3314" max="3314" width="10.7109375" style="74" bestFit="1" customWidth="1"/>
    <col min="3315" max="3321" width="4.28515625" style="74" customWidth="1"/>
    <col min="3322" max="3324" width="11.7109375" style="74" bestFit="1" customWidth="1"/>
    <col min="3325" max="3552" width="11.28515625" style="74"/>
    <col min="3553" max="3553" width="4.28515625" style="74" customWidth="1"/>
    <col min="3554" max="3554" width="3.42578125" style="74" customWidth="1"/>
    <col min="3555" max="3555" width="5.140625" style="74" customWidth="1"/>
    <col min="3556" max="3556" width="4.28515625" style="74" customWidth="1"/>
    <col min="3557" max="3560" width="0" style="74" hidden="1" customWidth="1"/>
    <col min="3561" max="3561" width="6.7109375" style="74" customWidth="1"/>
    <col min="3562" max="3562" width="6" style="74" customWidth="1"/>
    <col min="3563" max="3565" width="0" style="74" hidden="1" customWidth="1"/>
    <col min="3566" max="3568" width="4.28515625" style="74" customWidth="1"/>
    <col min="3569" max="3569" width="12.7109375" style="74" bestFit="1" customWidth="1"/>
    <col min="3570" max="3570" width="10.7109375" style="74" bestFit="1" customWidth="1"/>
    <col min="3571" max="3577" width="4.28515625" style="74" customWidth="1"/>
    <col min="3578" max="3580" width="11.7109375" style="74" bestFit="1" customWidth="1"/>
    <col min="3581" max="3808" width="11.28515625" style="74"/>
    <col min="3809" max="3809" width="4.28515625" style="74" customWidth="1"/>
    <col min="3810" max="3810" width="3.42578125" style="74" customWidth="1"/>
    <col min="3811" max="3811" width="5.140625" style="74" customWidth="1"/>
    <col min="3812" max="3812" width="4.28515625" style="74" customWidth="1"/>
    <col min="3813" max="3816" width="0" style="74" hidden="1" customWidth="1"/>
    <col min="3817" max="3817" width="6.7109375" style="74" customWidth="1"/>
    <col min="3818" max="3818" width="6" style="74" customWidth="1"/>
    <col min="3819" max="3821" width="0" style="74" hidden="1" customWidth="1"/>
    <col min="3822" max="3824" width="4.28515625" style="74" customWidth="1"/>
    <col min="3825" max="3825" width="12.7109375" style="74" bestFit="1" customWidth="1"/>
    <col min="3826" max="3826" width="10.7109375" style="74" bestFit="1" customWidth="1"/>
    <col min="3827" max="3833" width="4.28515625" style="74" customWidth="1"/>
    <col min="3834" max="3836" width="11.7109375" style="74" bestFit="1" customWidth="1"/>
    <col min="3837" max="4064" width="11.28515625" style="74"/>
    <col min="4065" max="4065" width="4.28515625" style="74" customWidth="1"/>
    <col min="4066" max="4066" width="3.42578125" style="74" customWidth="1"/>
    <col min="4067" max="4067" width="5.140625" style="74" customWidth="1"/>
    <col min="4068" max="4068" width="4.28515625" style="74" customWidth="1"/>
    <col min="4069" max="4072" width="0" style="74" hidden="1" customWidth="1"/>
    <col min="4073" max="4073" width="6.7109375" style="74" customWidth="1"/>
    <col min="4074" max="4074" width="6" style="74" customWidth="1"/>
    <col min="4075" max="4077" width="0" style="74" hidden="1" customWidth="1"/>
    <col min="4078" max="4080" width="4.28515625" style="74" customWidth="1"/>
    <col min="4081" max="4081" width="12.7109375" style="74" bestFit="1" customWidth="1"/>
    <col min="4082" max="4082" width="10.7109375" style="74" bestFit="1" customWidth="1"/>
    <col min="4083" max="4089" width="4.28515625" style="74" customWidth="1"/>
    <col min="4090" max="4092" width="11.7109375" style="74" bestFit="1" customWidth="1"/>
    <col min="4093" max="4320" width="11.28515625" style="74"/>
    <col min="4321" max="4321" width="4.28515625" style="74" customWidth="1"/>
    <col min="4322" max="4322" width="3.42578125" style="74" customWidth="1"/>
    <col min="4323" max="4323" width="5.140625" style="74" customWidth="1"/>
    <col min="4324" max="4324" width="4.28515625" style="74" customWidth="1"/>
    <col min="4325" max="4328" width="0" style="74" hidden="1" customWidth="1"/>
    <col min="4329" max="4329" width="6.7109375" style="74" customWidth="1"/>
    <col min="4330" max="4330" width="6" style="74" customWidth="1"/>
    <col min="4331" max="4333" width="0" style="74" hidden="1" customWidth="1"/>
    <col min="4334" max="4336" width="4.28515625" style="74" customWidth="1"/>
    <col min="4337" max="4337" width="12.7109375" style="74" bestFit="1" customWidth="1"/>
    <col min="4338" max="4338" width="10.7109375" style="74" bestFit="1" customWidth="1"/>
    <col min="4339" max="4345" width="4.28515625" style="74" customWidth="1"/>
    <col min="4346" max="4348" width="11.7109375" style="74" bestFit="1" customWidth="1"/>
    <col min="4349" max="4576" width="11.28515625" style="74"/>
    <col min="4577" max="4577" width="4.28515625" style="74" customWidth="1"/>
    <col min="4578" max="4578" width="3.42578125" style="74" customWidth="1"/>
    <col min="4579" max="4579" width="5.140625" style="74" customWidth="1"/>
    <col min="4580" max="4580" width="4.28515625" style="74" customWidth="1"/>
    <col min="4581" max="4584" width="0" style="74" hidden="1" customWidth="1"/>
    <col min="4585" max="4585" width="6.7109375" style="74" customWidth="1"/>
    <col min="4586" max="4586" width="6" style="74" customWidth="1"/>
    <col min="4587" max="4589" width="0" style="74" hidden="1" customWidth="1"/>
    <col min="4590" max="4592" width="4.28515625" style="74" customWidth="1"/>
    <col min="4593" max="4593" width="12.7109375" style="74" bestFit="1" customWidth="1"/>
    <col min="4594" max="4594" width="10.7109375" style="74" bestFit="1" customWidth="1"/>
    <col min="4595" max="4601" width="4.28515625" style="74" customWidth="1"/>
    <col min="4602" max="4604" width="11.7109375" style="74" bestFit="1" customWidth="1"/>
    <col min="4605" max="4832" width="11.28515625" style="74"/>
    <col min="4833" max="4833" width="4.28515625" style="74" customWidth="1"/>
    <col min="4834" max="4834" width="3.42578125" style="74" customWidth="1"/>
    <col min="4835" max="4835" width="5.140625" style="74" customWidth="1"/>
    <col min="4836" max="4836" width="4.28515625" style="74" customWidth="1"/>
    <col min="4837" max="4840" width="0" style="74" hidden="1" customWidth="1"/>
    <col min="4841" max="4841" width="6.7109375" style="74" customWidth="1"/>
    <col min="4842" max="4842" width="6" style="74" customWidth="1"/>
    <col min="4843" max="4845" width="0" style="74" hidden="1" customWidth="1"/>
    <col min="4846" max="4848" width="4.28515625" style="74" customWidth="1"/>
    <col min="4849" max="4849" width="12.7109375" style="74" bestFit="1" customWidth="1"/>
    <col min="4850" max="4850" width="10.7109375" style="74" bestFit="1" customWidth="1"/>
    <col min="4851" max="4857" width="4.28515625" style="74" customWidth="1"/>
    <col min="4858" max="4860" width="11.7109375" style="74" bestFit="1" customWidth="1"/>
    <col min="4861" max="5088" width="11.28515625" style="74"/>
    <col min="5089" max="5089" width="4.28515625" style="74" customWidth="1"/>
    <col min="5090" max="5090" width="3.42578125" style="74" customWidth="1"/>
    <col min="5091" max="5091" width="5.140625" style="74" customWidth="1"/>
    <col min="5092" max="5092" width="4.28515625" style="74" customWidth="1"/>
    <col min="5093" max="5096" width="0" style="74" hidden="1" customWidth="1"/>
    <col min="5097" max="5097" width="6.7109375" style="74" customWidth="1"/>
    <col min="5098" max="5098" width="6" style="74" customWidth="1"/>
    <col min="5099" max="5101" width="0" style="74" hidden="1" customWidth="1"/>
    <col min="5102" max="5104" width="4.28515625" style="74" customWidth="1"/>
    <col min="5105" max="5105" width="12.7109375" style="74" bestFit="1" customWidth="1"/>
    <col min="5106" max="5106" width="10.7109375" style="74" bestFit="1" customWidth="1"/>
    <col min="5107" max="5113" width="4.28515625" style="74" customWidth="1"/>
    <col min="5114" max="5116" width="11.7109375" style="74" bestFit="1" customWidth="1"/>
    <col min="5117" max="5344" width="11.28515625" style="74"/>
    <col min="5345" max="5345" width="4.28515625" style="74" customWidth="1"/>
    <col min="5346" max="5346" width="3.42578125" style="74" customWidth="1"/>
    <col min="5347" max="5347" width="5.140625" style="74" customWidth="1"/>
    <col min="5348" max="5348" width="4.28515625" style="74" customWidth="1"/>
    <col min="5349" max="5352" width="0" style="74" hidden="1" customWidth="1"/>
    <col min="5353" max="5353" width="6.7109375" style="74" customWidth="1"/>
    <col min="5354" max="5354" width="6" style="74" customWidth="1"/>
    <col min="5355" max="5357" width="0" style="74" hidden="1" customWidth="1"/>
    <col min="5358" max="5360" width="4.28515625" style="74" customWidth="1"/>
    <col min="5361" max="5361" width="12.7109375" style="74" bestFit="1" customWidth="1"/>
    <col min="5362" max="5362" width="10.7109375" style="74" bestFit="1" customWidth="1"/>
    <col min="5363" max="5369" width="4.28515625" style="74" customWidth="1"/>
    <col min="5370" max="5372" width="11.7109375" style="74" bestFit="1" customWidth="1"/>
    <col min="5373" max="5600" width="11.28515625" style="74"/>
    <col min="5601" max="5601" width="4.28515625" style="74" customWidth="1"/>
    <col min="5602" max="5602" width="3.42578125" style="74" customWidth="1"/>
    <col min="5603" max="5603" width="5.140625" style="74" customWidth="1"/>
    <col min="5604" max="5604" width="4.28515625" style="74" customWidth="1"/>
    <col min="5605" max="5608" width="0" style="74" hidden="1" customWidth="1"/>
    <col min="5609" max="5609" width="6.7109375" style="74" customWidth="1"/>
    <col min="5610" max="5610" width="6" style="74" customWidth="1"/>
    <col min="5611" max="5613" width="0" style="74" hidden="1" customWidth="1"/>
    <col min="5614" max="5616" width="4.28515625" style="74" customWidth="1"/>
    <col min="5617" max="5617" width="12.7109375" style="74" bestFit="1" customWidth="1"/>
    <col min="5618" max="5618" width="10.7109375" style="74" bestFit="1" customWidth="1"/>
    <col min="5619" max="5625" width="4.28515625" style="74" customWidth="1"/>
    <col min="5626" max="5628" width="11.7109375" style="74" bestFit="1" customWidth="1"/>
    <col min="5629" max="5856" width="11.28515625" style="74"/>
    <col min="5857" max="5857" width="4.28515625" style="74" customWidth="1"/>
    <col min="5858" max="5858" width="3.42578125" style="74" customWidth="1"/>
    <col min="5859" max="5859" width="5.140625" style="74" customWidth="1"/>
    <col min="5860" max="5860" width="4.28515625" style="74" customWidth="1"/>
    <col min="5861" max="5864" width="0" style="74" hidden="1" customWidth="1"/>
    <col min="5865" max="5865" width="6.7109375" style="74" customWidth="1"/>
    <col min="5866" max="5866" width="6" style="74" customWidth="1"/>
    <col min="5867" max="5869" width="0" style="74" hidden="1" customWidth="1"/>
    <col min="5870" max="5872" width="4.28515625" style="74" customWidth="1"/>
    <col min="5873" max="5873" width="12.7109375" style="74" bestFit="1" customWidth="1"/>
    <col min="5874" max="5874" width="10.7109375" style="74" bestFit="1" customWidth="1"/>
    <col min="5875" max="5881" width="4.28515625" style="74" customWidth="1"/>
    <col min="5882" max="5884" width="11.7109375" style="74" bestFit="1" customWidth="1"/>
    <col min="5885" max="6112" width="11.28515625" style="74"/>
    <col min="6113" max="6113" width="4.28515625" style="74" customWidth="1"/>
    <col min="6114" max="6114" width="3.42578125" style="74" customWidth="1"/>
    <col min="6115" max="6115" width="5.140625" style="74" customWidth="1"/>
    <col min="6116" max="6116" width="4.28515625" style="74" customWidth="1"/>
    <col min="6117" max="6120" width="0" style="74" hidden="1" customWidth="1"/>
    <col min="6121" max="6121" width="6.7109375" style="74" customWidth="1"/>
    <col min="6122" max="6122" width="6" style="74" customWidth="1"/>
    <col min="6123" max="6125" width="0" style="74" hidden="1" customWidth="1"/>
    <col min="6126" max="6128" width="4.28515625" style="74" customWidth="1"/>
    <col min="6129" max="6129" width="12.7109375" style="74" bestFit="1" customWidth="1"/>
    <col min="6130" max="6130" width="10.7109375" style="74" bestFit="1" customWidth="1"/>
    <col min="6131" max="6137" width="4.28515625" style="74" customWidth="1"/>
    <col min="6138" max="6140" width="11.7109375" style="74" bestFit="1" customWidth="1"/>
    <col min="6141" max="6368" width="11.28515625" style="74"/>
    <col min="6369" max="6369" width="4.28515625" style="74" customWidth="1"/>
    <col min="6370" max="6370" width="3.42578125" style="74" customWidth="1"/>
    <col min="6371" max="6371" width="5.140625" style="74" customWidth="1"/>
    <col min="6372" max="6372" width="4.28515625" style="74" customWidth="1"/>
    <col min="6373" max="6376" width="0" style="74" hidden="1" customWidth="1"/>
    <col min="6377" max="6377" width="6.7109375" style="74" customWidth="1"/>
    <col min="6378" max="6378" width="6" style="74" customWidth="1"/>
    <col min="6379" max="6381" width="0" style="74" hidden="1" customWidth="1"/>
    <col min="6382" max="6384" width="4.28515625" style="74" customWidth="1"/>
    <col min="6385" max="6385" width="12.7109375" style="74" bestFit="1" customWidth="1"/>
    <col min="6386" max="6386" width="10.7109375" style="74" bestFit="1" customWidth="1"/>
    <col min="6387" max="6393" width="4.28515625" style="74" customWidth="1"/>
    <col min="6394" max="6396" width="11.7109375" style="74" bestFit="1" customWidth="1"/>
    <col min="6397" max="6624" width="11.28515625" style="74"/>
    <col min="6625" max="6625" width="4.28515625" style="74" customWidth="1"/>
    <col min="6626" max="6626" width="3.42578125" style="74" customWidth="1"/>
    <col min="6627" max="6627" width="5.140625" style="74" customWidth="1"/>
    <col min="6628" max="6628" width="4.28515625" style="74" customWidth="1"/>
    <col min="6629" max="6632" width="0" style="74" hidden="1" customWidth="1"/>
    <col min="6633" max="6633" width="6.7109375" style="74" customWidth="1"/>
    <col min="6634" max="6634" width="6" style="74" customWidth="1"/>
    <col min="6635" max="6637" width="0" style="74" hidden="1" customWidth="1"/>
    <col min="6638" max="6640" width="4.28515625" style="74" customWidth="1"/>
    <col min="6641" max="6641" width="12.7109375" style="74" bestFit="1" customWidth="1"/>
    <col min="6642" max="6642" width="10.7109375" style="74" bestFit="1" customWidth="1"/>
    <col min="6643" max="6649" width="4.28515625" style="74" customWidth="1"/>
    <col min="6650" max="6652" width="11.7109375" style="74" bestFit="1" customWidth="1"/>
    <col min="6653" max="6880" width="11.28515625" style="74"/>
    <col min="6881" max="6881" width="4.28515625" style="74" customWidth="1"/>
    <col min="6882" max="6882" width="3.42578125" style="74" customWidth="1"/>
    <col min="6883" max="6883" width="5.140625" style="74" customWidth="1"/>
    <col min="6884" max="6884" width="4.28515625" style="74" customWidth="1"/>
    <col min="6885" max="6888" width="0" style="74" hidden="1" customWidth="1"/>
    <col min="6889" max="6889" width="6.7109375" style="74" customWidth="1"/>
    <col min="6890" max="6890" width="6" style="74" customWidth="1"/>
    <col min="6891" max="6893" width="0" style="74" hidden="1" customWidth="1"/>
    <col min="6894" max="6896" width="4.28515625" style="74" customWidth="1"/>
    <col min="6897" max="6897" width="12.7109375" style="74" bestFit="1" customWidth="1"/>
    <col min="6898" max="6898" width="10.7109375" style="74" bestFit="1" customWidth="1"/>
    <col min="6899" max="6905" width="4.28515625" style="74" customWidth="1"/>
    <col min="6906" max="6908" width="11.7109375" style="74" bestFit="1" customWidth="1"/>
    <col min="6909" max="7136" width="11.28515625" style="74"/>
    <col min="7137" max="7137" width="4.28515625" style="74" customWidth="1"/>
    <col min="7138" max="7138" width="3.42578125" style="74" customWidth="1"/>
    <col min="7139" max="7139" width="5.140625" style="74" customWidth="1"/>
    <col min="7140" max="7140" width="4.28515625" style="74" customWidth="1"/>
    <col min="7141" max="7144" width="0" style="74" hidden="1" customWidth="1"/>
    <col min="7145" max="7145" width="6.7109375" style="74" customWidth="1"/>
    <col min="7146" max="7146" width="6" style="74" customWidth="1"/>
    <col min="7147" max="7149" width="0" style="74" hidden="1" customWidth="1"/>
    <col min="7150" max="7152" width="4.28515625" style="74" customWidth="1"/>
    <col min="7153" max="7153" width="12.7109375" style="74" bestFit="1" customWidth="1"/>
    <col min="7154" max="7154" width="10.7109375" style="74" bestFit="1" customWidth="1"/>
    <col min="7155" max="7161" width="4.28515625" style="74" customWidth="1"/>
    <col min="7162" max="7164" width="11.7109375" style="74" bestFit="1" customWidth="1"/>
    <col min="7165" max="7392" width="11.28515625" style="74"/>
    <col min="7393" max="7393" width="4.28515625" style="74" customWidth="1"/>
    <col min="7394" max="7394" width="3.42578125" style="74" customWidth="1"/>
    <col min="7395" max="7395" width="5.140625" style="74" customWidth="1"/>
    <col min="7396" max="7396" width="4.28515625" style="74" customWidth="1"/>
    <col min="7397" max="7400" width="0" style="74" hidden="1" customWidth="1"/>
    <col min="7401" max="7401" width="6.7109375" style="74" customWidth="1"/>
    <col min="7402" max="7402" width="6" style="74" customWidth="1"/>
    <col min="7403" max="7405" width="0" style="74" hidden="1" customWidth="1"/>
    <col min="7406" max="7408" width="4.28515625" style="74" customWidth="1"/>
    <col min="7409" max="7409" width="12.7109375" style="74" bestFit="1" customWidth="1"/>
    <col min="7410" max="7410" width="10.7109375" style="74" bestFit="1" customWidth="1"/>
    <col min="7411" max="7417" width="4.28515625" style="74" customWidth="1"/>
    <col min="7418" max="7420" width="11.7109375" style="74" bestFit="1" customWidth="1"/>
    <col min="7421" max="7648" width="11.28515625" style="74"/>
    <col min="7649" max="7649" width="4.28515625" style="74" customWidth="1"/>
    <col min="7650" max="7650" width="3.42578125" style="74" customWidth="1"/>
    <col min="7651" max="7651" width="5.140625" style="74" customWidth="1"/>
    <col min="7652" max="7652" width="4.28515625" style="74" customWidth="1"/>
    <col min="7653" max="7656" width="0" style="74" hidden="1" customWidth="1"/>
    <col min="7657" max="7657" width="6.7109375" style="74" customWidth="1"/>
    <col min="7658" max="7658" width="6" style="74" customWidth="1"/>
    <col min="7659" max="7661" width="0" style="74" hidden="1" customWidth="1"/>
    <col min="7662" max="7664" width="4.28515625" style="74" customWidth="1"/>
    <col min="7665" max="7665" width="12.7109375" style="74" bestFit="1" customWidth="1"/>
    <col min="7666" max="7666" width="10.7109375" style="74" bestFit="1" customWidth="1"/>
    <col min="7667" max="7673" width="4.28515625" style="74" customWidth="1"/>
    <col min="7674" max="7676" width="11.7109375" style="74" bestFit="1" customWidth="1"/>
    <col min="7677" max="7904" width="11.28515625" style="74"/>
    <col min="7905" max="7905" width="4.28515625" style="74" customWidth="1"/>
    <col min="7906" max="7906" width="3.42578125" style="74" customWidth="1"/>
    <col min="7907" max="7907" width="5.140625" style="74" customWidth="1"/>
    <col min="7908" max="7908" width="4.28515625" style="74" customWidth="1"/>
    <col min="7909" max="7912" width="0" style="74" hidden="1" customWidth="1"/>
    <col min="7913" max="7913" width="6.7109375" style="74" customWidth="1"/>
    <col min="7914" max="7914" width="6" style="74" customWidth="1"/>
    <col min="7915" max="7917" width="0" style="74" hidden="1" customWidth="1"/>
    <col min="7918" max="7920" width="4.28515625" style="74" customWidth="1"/>
    <col min="7921" max="7921" width="12.7109375" style="74" bestFit="1" customWidth="1"/>
    <col min="7922" max="7922" width="10.7109375" style="74" bestFit="1" customWidth="1"/>
    <col min="7923" max="7929" width="4.28515625" style="74" customWidth="1"/>
    <col min="7930" max="7932" width="11.7109375" style="74" bestFit="1" customWidth="1"/>
    <col min="7933" max="8160" width="11.28515625" style="74"/>
    <col min="8161" max="8161" width="4.28515625" style="74" customWidth="1"/>
    <col min="8162" max="8162" width="3.42578125" style="74" customWidth="1"/>
    <col min="8163" max="8163" width="5.140625" style="74" customWidth="1"/>
    <col min="8164" max="8164" width="4.28515625" style="74" customWidth="1"/>
    <col min="8165" max="8168" width="0" style="74" hidden="1" customWidth="1"/>
    <col min="8169" max="8169" width="6.7109375" style="74" customWidth="1"/>
    <col min="8170" max="8170" width="6" style="74" customWidth="1"/>
    <col min="8171" max="8173" width="0" style="74" hidden="1" customWidth="1"/>
    <col min="8174" max="8176" width="4.28515625" style="74" customWidth="1"/>
    <col min="8177" max="8177" width="12.7109375" style="74" bestFit="1" customWidth="1"/>
    <col min="8178" max="8178" width="10.7109375" style="74" bestFit="1" customWidth="1"/>
    <col min="8179" max="8185" width="4.28515625" style="74" customWidth="1"/>
    <col min="8186" max="8188" width="11.7109375" style="74" bestFit="1" customWidth="1"/>
    <col min="8189" max="8416" width="11.28515625" style="74"/>
    <col min="8417" max="8417" width="4.28515625" style="74" customWidth="1"/>
    <col min="8418" max="8418" width="3.42578125" style="74" customWidth="1"/>
    <col min="8419" max="8419" width="5.140625" style="74" customWidth="1"/>
    <col min="8420" max="8420" width="4.28515625" style="74" customWidth="1"/>
    <col min="8421" max="8424" width="0" style="74" hidden="1" customWidth="1"/>
    <col min="8425" max="8425" width="6.7109375" style="74" customWidth="1"/>
    <col min="8426" max="8426" width="6" style="74" customWidth="1"/>
    <col min="8427" max="8429" width="0" style="74" hidden="1" customWidth="1"/>
    <col min="8430" max="8432" width="4.28515625" style="74" customWidth="1"/>
    <col min="8433" max="8433" width="12.7109375" style="74" bestFit="1" customWidth="1"/>
    <col min="8434" max="8434" width="10.7109375" style="74" bestFit="1" customWidth="1"/>
    <col min="8435" max="8441" width="4.28515625" style="74" customWidth="1"/>
    <col min="8442" max="8444" width="11.7109375" style="74" bestFit="1" customWidth="1"/>
    <col min="8445" max="8672" width="11.28515625" style="74"/>
    <col min="8673" max="8673" width="4.28515625" style="74" customWidth="1"/>
    <col min="8674" max="8674" width="3.42578125" style="74" customWidth="1"/>
    <col min="8675" max="8675" width="5.140625" style="74" customWidth="1"/>
    <col min="8676" max="8676" width="4.28515625" style="74" customWidth="1"/>
    <col min="8677" max="8680" width="0" style="74" hidden="1" customWidth="1"/>
    <col min="8681" max="8681" width="6.7109375" style="74" customWidth="1"/>
    <col min="8682" max="8682" width="6" style="74" customWidth="1"/>
    <col min="8683" max="8685" width="0" style="74" hidden="1" customWidth="1"/>
    <col min="8686" max="8688" width="4.28515625" style="74" customWidth="1"/>
    <col min="8689" max="8689" width="12.7109375" style="74" bestFit="1" customWidth="1"/>
    <col min="8690" max="8690" width="10.7109375" style="74" bestFit="1" customWidth="1"/>
    <col min="8691" max="8697" width="4.28515625" style="74" customWidth="1"/>
    <col min="8698" max="8700" width="11.7109375" style="74" bestFit="1" customWidth="1"/>
    <col min="8701" max="8928" width="11.28515625" style="74"/>
    <col min="8929" max="8929" width="4.28515625" style="74" customWidth="1"/>
    <col min="8930" max="8930" width="3.42578125" style="74" customWidth="1"/>
    <col min="8931" max="8931" width="5.140625" style="74" customWidth="1"/>
    <col min="8932" max="8932" width="4.28515625" style="74" customWidth="1"/>
    <col min="8933" max="8936" width="0" style="74" hidden="1" customWidth="1"/>
    <col min="8937" max="8937" width="6.7109375" style="74" customWidth="1"/>
    <col min="8938" max="8938" width="6" style="74" customWidth="1"/>
    <col min="8939" max="8941" width="0" style="74" hidden="1" customWidth="1"/>
    <col min="8942" max="8944" width="4.28515625" style="74" customWidth="1"/>
    <col min="8945" max="8945" width="12.7109375" style="74" bestFit="1" customWidth="1"/>
    <col min="8946" max="8946" width="10.7109375" style="74" bestFit="1" customWidth="1"/>
    <col min="8947" max="8953" width="4.28515625" style="74" customWidth="1"/>
    <col min="8954" max="8956" width="11.7109375" style="74" bestFit="1" customWidth="1"/>
    <col min="8957" max="9184" width="11.28515625" style="74"/>
    <col min="9185" max="9185" width="4.28515625" style="74" customWidth="1"/>
    <col min="9186" max="9186" width="3.42578125" style="74" customWidth="1"/>
    <col min="9187" max="9187" width="5.140625" style="74" customWidth="1"/>
    <col min="9188" max="9188" width="4.28515625" style="74" customWidth="1"/>
    <col min="9189" max="9192" width="0" style="74" hidden="1" customWidth="1"/>
    <col min="9193" max="9193" width="6.7109375" style="74" customWidth="1"/>
    <col min="9194" max="9194" width="6" style="74" customWidth="1"/>
    <col min="9195" max="9197" width="0" style="74" hidden="1" customWidth="1"/>
    <col min="9198" max="9200" width="4.28515625" style="74" customWidth="1"/>
    <col min="9201" max="9201" width="12.7109375" style="74" bestFit="1" customWidth="1"/>
    <col min="9202" max="9202" width="10.7109375" style="74" bestFit="1" customWidth="1"/>
    <col min="9203" max="9209" width="4.28515625" style="74" customWidth="1"/>
    <col min="9210" max="9212" width="11.7109375" style="74" bestFit="1" customWidth="1"/>
    <col min="9213" max="9440" width="11.28515625" style="74"/>
    <col min="9441" max="9441" width="4.28515625" style="74" customWidth="1"/>
    <col min="9442" max="9442" width="3.42578125" style="74" customWidth="1"/>
    <col min="9443" max="9443" width="5.140625" style="74" customWidth="1"/>
    <col min="9444" max="9444" width="4.28515625" style="74" customWidth="1"/>
    <col min="9445" max="9448" width="0" style="74" hidden="1" customWidth="1"/>
    <col min="9449" max="9449" width="6.7109375" style="74" customWidth="1"/>
    <col min="9450" max="9450" width="6" style="74" customWidth="1"/>
    <col min="9451" max="9453" width="0" style="74" hidden="1" customWidth="1"/>
    <col min="9454" max="9456" width="4.28515625" style="74" customWidth="1"/>
    <col min="9457" max="9457" width="12.7109375" style="74" bestFit="1" customWidth="1"/>
    <col min="9458" max="9458" width="10.7109375" style="74" bestFit="1" customWidth="1"/>
    <col min="9459" max="9465" width="4.28515625" style="74" customWidth="1"/>
    <col min="9466" max="9468" width="11.7109375" style="74" bestFit="1" customWidth="1"/>
    <col min="9469" max="9696" width="11.28515625" style="74"/>
    <col min="9697" max="9697" width="4.28515625" style="74" customWidth="1"/>
    <col min="9698" max="9698" width="3.42578125" style="74" customWidth="1"/>
    <col min="9699" max="9699" width="5.140625" style="74" customWidth="1"/>
    <col min="9700" max="9700" width="4.28515625" style="74" customWidth="1"/>
    <col min="9701" max="9704" width="0" style="74" hidden="1" customWidth="1"/>
    <col min="9705" max="9705" width="6.7109375" style="74" customWidth="1"/>
    <col min="9706" max="9706" width="6" style="74" customWidth="1"/>
    <col min="9707" max="9709" width="0" style="74" hidden="1" customWidth="1"/>
    <col min="9710" max="9712" width="4.28515625" style="74" customWidth="1"/>
    <col min="9713" max="9713" width="12.7109375" style="74" bestFit="1" customWidth="1"/>
    <col min="9714" max="9714" width="10.7109375" style="74" bestFit="1" customWidth="1"/>
    <col min="9715" max="9721" width="4.28515625" style="74" customWidth="1"/>
    <col min="9722" max="9724" width="11.7109375" style="74" bestFit="1" customWidth="1"/>
    <col min="9725" max="9952" width="11.28515625" style="74"/>
    <col min="9953" max="9953" width="4.28515625" style="74" customWidth="1"/>
    <col min="9954" max="9954" width="3.42578125" style="74" customWidth="1"/>
    <col min="9955" max="9955" width="5.140625" style="74" customWidth="1"/>
    <col min="9956" max="9956" width="4.28515625" style="74" customWidth="1"/>
    <col min="9957" max="9960" width="0" style="74" hidden="1" customWidth="1"/>
    <col min="9961" max="9961" width="6.7109375" style="74" customWidth="1"/>
    <col min="9962" max="9962" width="6" style="74" customWidth="1"/>
    <col min="9963" max="9965" width="0" style="74" hidden="1" customWidth="1"/>
    <col min="9966" max="9968" width="4.28515625" style="74" customWidth="1"/>
    <col min="9969" max="9969" width="12.7109375" style="74" bestFit="1" customWidth="1"/>
    <col min="9970" max="9970" width="10.7109375" style="74" bestFit="1" customWidth="1"/>
    <col min="9971" max="9977" width="4.28515625" style="74" customWidth="1"/>
    <col min="9978" max="9980" width="11.7109375" style="74" bestFit="1" customWidth="1"/>
    <col min="9981" max="10208" width="11.28515625" style="74"/>
    <col min="10209" max="10209" width="4.28515625" style="74" customWidth="1"/>
    <col min="10210" max="10210" width="3.42578125" style="74" customWidth="1"/>
    <col min="10211" max="10211" width="5.140625" style="74" customWidth="1"/>
    <col min="10212" max="10212" width="4.28515625" style="74" customWidth="1"/>
    <col min="10213" max="10216" width="0" style="74" hidden="1" customWidth="1"/>
    <col min="10217" max="10217" width="6.7109375" style="74" customWidth="1"/>
    <col min="10218" max="10218" width="6" style="74" customWidth="1"/>
    <col min="10219" max="10221" width="0" style="74" hidden="1" customWidth="1"/>
    <col min="10222" max="10224" width="4.28515625" style="74" customWidth="1"/>
    <col min="10225" max="10225" width="12.7109375" style="74" bestFit="1" customWidth="1"/>
    <col min="10226" max="10226" width="10.7109375" style="74" bestFit="1" customWidth="1"/>
    <col min="10227" max="10233" width="4.28515625" style="74" customWidth="1"/>
    <col min="10234" max="10236" width="11.7109375" style="74" bestFit="1" customWidth="1"/>
    <col min="10237" max="10464" width="11.28515625" style="74"/>
    <col min="10465" max="10465" width="4.28515625" style="74" customWidth="1"/>
    <col min="10466" max="10466" width="3.42578125" style="74" customWidth="1"/>
    <col min="10467" max="10467" width="5.140625" style="74" customWidth="1"/>
    <col min="10468" max="10468" width="4.28515625" style="74" customWidth="1"/>
    <col min="10469" max="10472" width="0" style="74" hidden="1" customWidth="1"/>
    <col min="10473" max="10473" width="6.7109375" style="74" customWidth="1"/>
    <col min="10474" max="10474" width="6" style="74" customWidth="1"/>
    <col min="10475" max="10477" width="0" style="74" hidden="1" customWidth="1"/>
    <col min="10478" max="10480" width="4.28515625" style="74" customWidth="1"/>
    <col min="10481" max="10481" width="12.7109375" style="74" bestFit="1" customWidth="1"/>
    <col min="10482" max="10482" width="10.7109375" style="74" bestFit="1" customWidth="1"/>
    <col min="10483" max="10489" width="4.28515625" style="74" customWidth="1"/>
    <col min="10490" max="10492" width="11.7109375" style="74" bestFit="1" customWidth="1"/>
    <col min="10493" max="10720" width="11.28515625" style="74"/>
    <col min="10721" max="10721" width="4.28515625" style="74" customWidth="1"/>
    <col min="10722" max="10722" width="3.42578125" style="74" customWidth="1"/>
    <col min="10723" max="10723" width="5.140625" style="74" customWidth="1"/>
    <col min="10724" max="10724" width="4.28515625" style="74" customWidth="1"/>
    <col min="10725" max="10728" width="0" style="74" hidden="1" customWidth="1"/>
    <col min="10729" max="10729" width="6.7109375" style="74" customWidth="1"/>
    <col min="10730" max="10730" width="6" style="74" customWidth="1"/>
    <col min="10731" max="10733" width="0" style="74" hidden="1" customWidth="1"/>
    <col min="10734" max="10736" width="4.28515625" style="74" customWidth="1"/>
    <col min="10737" max="10737" width="12.7109375" style="74" bestFit="1" customWidth="1"/>
    <col min="10738" max="10738" width="10.7109375" style="74" bestFit="1" customWidth="1"/>
    <col min="10739" max="10745" width="4.28515625" style="74" customWidth="1"/>
    <col min="10746" max="10748" width="11.7109375" style="74" bestFit="1" customWidth="1"/>
    <col min="10749" max="10976" width="11.28515625" style="74"/>
    <col min="10977" max="10977" width="4.28515625" style="74" customWidth="1"/>
    <col min="10978" max="10978" width="3.42578125" style="74" customWidth="1"/>
    <col min="10979" max="10979" width="5.140625" style="74" customWidth="1"/>
    <col min="10980" max="10980" width="4.28515625" style="74" customWidth="1"/>
    <col min="10981" max="10984" width="0" style="74" hidden="1" customWidth="1"/>
    <col min="10985" max="10985" width="6.7109375" style="74" customWidth="1"/>
    <col min="10986" max="10986" width="6" style="74" customWidth="1"/>
    <col min="10987" max="10989" width="0" style="74" hidden="1" customWidth="1"/>
    <col min="10990" max="10992" width="4.28515625" style="74" customWidth="1"/>
    <col min="10993" max="10993" width="12.7109375" style="74" bestFit="1" customWidth="1"/>
    <col min="10994" max="10994" width="10.7109375" style="74" bestFit="1" customWidth="1"/>
    <col min="10995" max="11001" width="4.28515625" style="74" customWidth="1"/>
    <col min="11002" max="11004" width="11.7109375" style="74" bestFit="1" customWidth="1"/>
    <col min="11005" max="11232" width="11.28515625" style="74"/>
    <col min="11233" max="11233" width="4.28515625" style="74" customWidth="1"/>
    <col min="11234" max="11234" width="3.42578125" style="74" customWidth="1"/>
    <col min="11235" max="11235" width="5.140625" style="74" customWidth="1"/>
    <col min="11236" max="11236" width="4.28515625" style="74" customWidth="1"/>
    <col min="11237" max="11240" width="0" style="74" hidden="1" customWidth="1"/>
    <col min="11241" max="11241" width="6.7109375" style="74" customWidth="1"/>
    <col min="11242" max="11242" width="6" style="74" customWidth="1"/>
    <col min="11243" max="11245" width="0" style="74" hidden="1" customWidth="1"/>
    <col min="11246" max="11248" width="4.28515625" style="74" customWidth="1"/>
    <col min="11249" max="11249" width="12.7109375" style="74" bestFit="1" customWidth="1"/>
    <col min="11250" max="11250" width="10.7109375" style="74" bestFit="1" customWidth="1"/>
    <col min="11251" max="11257" width="4.28515625" style="74" customWidth="1"/>
    <col min="11258" max="11260" width="11.7109375" style="74" bestFit="1" customWidth="1"/>
    <col min="11261" max="11488" width="11.28515625" style="74"/>
    <col min="11489" max="11489" width="4.28515625" style="74" customWidth="1"/>
    <col min="11490" max="11490" width="3.42578125" style="74" customWidth="1"/>
    <col min="11491" max="11491" width="5.140625" style="74" customWidth="1"/>
    <col min="11492" max="11492" width="4.28515625" style="74" customWidth="1"/>
    <col min="11493" max="11496" width="0" style="74" hidden="1" customWidth="1"/>
    <col min="11497" max="11497" width="6.7109375" style="74" customWidth="1"/>
    <col min="11498" max="11498" width="6" style="74" customWidth="1"/>
    <col min="11499" max="11501" width="0" style="74" hidden="1" customWidth="1"/>
    <col min="11502" max="11504" width="4.28515625" style="74" customWidth="1"/>
    <col min="11505" max="11505" width="12.7109375" style="74" bestFit="1" customWidth="1"/>
    <col min="11506" max="11506" width="10.7109375" style="74" bestFit="1" customWidth="1"/>
    <col min="11507" max="11513" width="4.28515625" style="74" customWidth="1"/>
    <col min="11514" max="11516" width="11.7109375" style="74" bestFit="1" customWidth="1"/>
    <col min="11517" max="11744" width="11.28515625" style="74"/>
    <col min="11745" max="11745" width="4.28515625" style="74" customWidth="1"/>
    <col min="11746" max="11746" width="3.42578125" style="74" customWidth="1"/>
    <col min="11747" max="11747" width="5.140625" style="74" customWidth="1"/>
    <col min="11748" max="11748" width="4.28515625" style="74" customWidth="1"/>
    <col min="11749" max="11752" width="0" style="74" hidden="1" customWidth="1"/>
    <col min="11753" max="11753" width="6.7109375" style="74" customWidth="1"/>
    <col min="11754" max="11754" width="6" style="74" customWidth="1"/>
    <col min="11755" max="11757" width="0" style="74" hidden="1" customWidth="1"/>
    <col min="11758" max="11760" width="4.28515625" style="74" customWidth="1"/>
    <col min="11761" max="11761" width="12.7109375" style="74" bestFit="1" customWidth="1"/>
    <col min="11762" max="11762" width="10.7109375" style="74" bestFit="1" customWidth="1"/>
    <col min="11763" max="11769" width="4.28515625" style="74" customWidth="1"/>
    <col min="11770" max="11772" width="11.7109375" style="74" bestFit="1" customWidth="1"/>
    <col min="11773" max="12000" width="11.28515625" style="74"/>
    <col min="12001" max="12001" width="4.28515625" style="74" customWidth="1"/>
    <col min="12002" max="12002" width="3.42578125" style="74" customWidth="1"/>
    <col min="12003" max="12003" width="5.140625" style="74" customWidth="1"/>
    <col min="12004" max="12004" width="4.28515625" style="74" customWidth="1"/>
    <col min="12005" max="12008" width="0" style="74" hidden="1" customWidth="1"/>
    <col min="12009" max="12009" width="6.7109375" style="74" customWidth="1"/>
    <col min="12010" max="12010" width="6" style="74" customWidth="1"/>
    <col min="12011" max="12013" width="0" style="74" hidden="1" customWidth="1"/>
    <col min="12014" max="12016" width="4.28515625" style="74" customWidth="1"/>
    <col min="12017" max="12017" width="12.7109375" style="74" bestFit="1" customWidth="1"/>
    <col min="12018" max="12018" width="10.7109375" style="74" bestFit="1" customWidth="1"/>
    <col min="12019" max="12025" width="4.28515625" style="74" customWidth="1"/>
    <col min="12026" max="12028" width="11.7109375" style="74" bestFit="1" customWidth="1"/>
    <col min="12029" max="12256" width="11.28515625" style="74"/>
    <col min="12257" max="12257" width="4.28515625" style="74" customWidth="1"/>
    <col min="12258" max="12258" width="3.42578125" style="74" customWidth="1"/>
    <col min="12259" max="12259" width="5.140625" style="74" customWidth="1"/>
    <col min="12260" max="12260" width="4.28515625" style="74" customWidth="1"/>
    <col min="12261" max="12264" width="0" style="74" hidden="1" customWidth="1"/>
    <col min="12265" max="12265" width="6.7109375" style="74" customWidth="1"/>
    <col min="12266" max="12266" width="6" style="74" customWidth="1"/>
    <col min="12267" max="12269" width="0" style="74" hidden="1" customWidth="1"/>
    <col min="12270" max="12272" width="4.28515625" style="74" customWidth="1"/>
    <col min="12273" max="12273" width="12.7109375" style="74" bestFit="1" customWidth="1"/>
    <col min="12274" max="12274" width="10.7109375" style="74" bestFit="1" customWidth="1"/>
    <col min="12275" max="12281" width="4.28515625" style="74" customWidth="1"/>
    <col min="12282" max="12284" width="11.7109375" style="74" bestFit="1" customWidth="1"/>
    <col min="12285" max="12512" width="11.28515625" style="74"/>
    <col min="12513" max="12513" width="4.28515625" style="74" customWidth="1"/>
    <col min="12514" max="12514" width="3.42578125" style="74" customWidth="1"/>
    <col min="12515" max="12515" width="5.140625" style="74" customWidth="1"/>
    <col min="12516" max="12516" width="4.28515625" style="74" customWidth="1"/>
    <col min="12517" max="12520" width="0" style="74" hidden="1" customWidth="1"/>
    <col min="12521" max="12521" width="6.7109375" style="74" customWidth="1"/>
    <col min="12522" max="12522" width="6" style="74" customWidth="1"/>
    <col min="12523" max="12525" width="0" style="74" hidden="1" customWidth="1"/>
    <col min="12526" max="12528" width="4.28515625" style="74" customWidth="1"/>
    <col min="12529" max="12529" width="12.7109375" style="74" bestFit="1" customWidth="1"/>
    <col min="12530" max="12530" width="10.7109375" style="74" bestFit="1" customWidth="1"/>
    <col min="12531" max="12537" width="4.28515625" style="74" customWidth="1"/>
    <col min="12538" max="12540" width="11.7109375" style="74" bestFit="1" customWidth="1"/>
    <col min="12541" max="12768" width="11.28515625" style="74"/>
    <col min="12769" max="12769" width="4.28515625" style="74" customWidth="1"/>
    <col min="12770" max="12770" width="3.42578125" style="74" customWidth="1"/>
    <col min="12771" max="12771" width="5.140625" style="74" customWidth="1"/>
    <col min="12772" max="12772" width="4.28515625" style="74" customWidth="1"/>
    <col min="12773" max="12776" width="0" style="74" hidden="1" customWidth="1"/>
    <col min="12777" max="12777" width="6.7109375" style="74" customWidth="1"/>
    <col min="12778" max="12778" width="6" style="74" customWidth="1"/>
    <col min="12779" max="12781" width="0" style="74" hidden="1" customWidth="1"/>
    <col min="12782" max="12784" width="4.28515625" style="74" customWidth="1"/>
    <col min="12785" max="12785" width="12.7109375" style="74" bestFit="1" customWidth="1"/>
    <col min="12786" max="12786" width="10.7109375" style="74" bestFit="1" customWidth="1"/>
    <col min="12787" max="12793" width="4.28515625" style="74" customWidth="1"/>
    <col min="12794" max="12796" width="11.7109375" style="74" bestFit="1" customWidth="1"/>
    <col min="12797" max="13024" width="11.28515625" style="74"/>
    <col min="13025" max="13025" width="4.28515625" style="74" customWidth="1"/>
    <col min="13026" max="13026" width="3.42578125" style="74" customWidth="1"/>
    <col min="13027" max="13027" width="5.140625" style="74" customWidth="1"/>
    <col min="13028" max="13028" width="4.28515625" style="74" customWidth="1"/>
    <col min="13029" max="13032" width="0" style="74" hidden="1" customWidth="1"/>
    <col min="13033" max="13033" width="6.7109375" style="74" customWidth="1"/>
    <col min="13034" max="13034" width="6" style="74" customWidth="1"/>
    <col min="13035" max="13037" width="0" style="74" hidden="1" customWidth="1"/>
    <col min="13038" max="13040" width="4.28515625" style="74" customWidth="1"/>
    <col min="13041" max="13041" width="12.7109375" style="74" bestFit="1" customWidth="1"/>
    <col min="13042" max="13042" width="10.7109375" style="74" bestFit="1" customWidth="1"/>
    <col min="13043" max="13049" width="4.28515625" style="74" customWidth="1"/>
    <col min="13050" max="13052" width="11.7109375" style="74" bestFit="1" customWidth="1"/>
    <col min="13053" max="13280" width="11.28515625" style="74"/>
    <col min="13281" max="13281" width="4.28515625" style="74" customWidth="1"/>
    <col min="13282" max="13282" width="3.42578125" style="74" customWidth="1"/>
    <col min="13283" max="13283" width="5.140625" style="74" customWidth="1"/>
    <col min="13284" max="13284" width="4.28515625" style="74" customWidth="1"/>
    <col min="13285" max="13288" width="0" style="74" hidden="1" customWidth="1"/>
    <col min="13289" max="13289" width="6.7109375" style="74" customWidth="1"/>
    <col min="13290" max="13290" width="6" style="74" customWidth="1"/>
    <col min="13291" max="13293" width="0" style="74" hidden="1" customWidth="1"/>
    <col min="13294" max="13296" width="4.28515625" style="74" customWidth="1"/>
    <col min="13297" max="13297" width="12.7109375" style="74" bestFit="1" customWidth="1"/>
    <col min="13298" max="13298" width="10.7109375" style="74" bestFit="1" customWidth="1"/>
    <col min="13299" max="13305" width="4.28515625" style="74" customWidth="1"/>
    <col min="13306" max="13308" width="11.7109375" style="74" bestFit="1" customWidth="1"/>
    <col min="13309" max="13536" width="11.28515625" style="74"/>
    <col min="13537" max="13537" width="4.28515625" style="74" customWidth="1"/>
    <col min="13538" max="13538" width="3.42578125" style="74" customWidth="1"/>
    <col min="13539" max="13539" width="5.140625" style="74" customWidth="1"/>
    <col min="13540" max="13540" width="4.28515625" style="74" customWidth="1"/>
    <col min="13541" max="13544" width="0" style="74" hidden="1" customWidth="1"/>
    <col min="13545" max="13545" width="6.7109375" style="74" customWidth="1"/>
    <col min="13546" max="13546" width="6" style="74" customWidth="1"/>
    <col min="13547" max="13549" width="0" style="74" hidden="1" customWidth="1"/>
    <col min="13550" max="13552" width="4.28515625" style="74" customWidth="1"/>
    <col min="13553" max="13553" width="12.7109375" style="74" bestFit="1" customWidth="1"/>
    <col min="13554" max="13554" width="10.7109375" style="74" bestFit="1" customWidth="1"/>
    <col min="13555" max="13561" width="4.28515625" style="74" customWidth="1"/>
    <col min="13562" max="13564" width="11.7109375" style="74" bestFit="1" customWidth="1"/>
    <col min="13565" max="13792" width="11.28515625" style="74"/>
    <col min="13793" max="13793" width="4.28515625" style="74" customWidth="1"/>
    <col min="13794" max="13794" width="3.42578125" style="74" customWidth="1"/>
    <col min="13795" max="13795" width="5.140625" style="74" customWidth="1"/>
    <col min="13796" max="13796" width="4.28515625" style="74" customWidth="1"/>
    <col min="13797" max="13800" width="0" style="74" hidden="1" customWidth="1"/>
    <col min="13801" max="13801" width="6.7109375" style="74" customWidth="1"/>
    <col min="13802" max="13802" width="6" style="74" customWidth="1"/>
    <col min="13803" max="13805" width="0" style="74" hidden="1" customWidth="1"/>
    <col min="13806" max="13808" width="4.28515625" style="74" customWidth="1"/>
    <col min="13809" max="13809" width="12.7109375" style="74" bestFit="1" customWidth="1"/>
    <col min="13810" max="13810" width="10.7109375" style="74" bestFit="1" customWidth="1"/>
    <col min="13811" max="13817" width="4.28515625" style="74" customWidth="1"/>
    <col min="13818" max="13820" width="11.7109375" style="74" bestFit="1" customWidth="1"/>
    <col min="13821" max="14048" width="11.28515625" style="74"/>
    <col min="14049" max="14049" width="4.28515625" style="74" customWidth="1"/>
    <col min="14050" max="14050" width="3.42578125" style="74" customWidth="1"/>
    <col min="14051" max="14051" width="5.140625" style="74" customWidth="1"/>
    <col min="14052" max="14052" width="4.28515625" style="74" customWidth="1"/>
    <col min="14053" max="14056" width="0" style="74" hidden="1" customWidth="1"/>
    <col min="14057" max="14057" width="6.7109375" style="74" customWidth="1"/>
    <col min="14058" max="14058" width="6" style="74" customWidth="1"/>
    <col min="14059" max="14061" width="0" style="74" hidden="1" customWidth="1"/>
    <col min="14062" max="14064" width="4.28515625" style="74" customWidth="1"/>
    <col min="14065" max="14065" width="12.7109375" style="74" bestFit="1" customWidth="1"/>
    <col min="14066" max="14066" width="10.7109375" style="74" bestFit="1" customWidth="1"/>
    <col min="14067" max="14073" width="4.28515625" style="74" customWidth="1"/>
    <col min="14074" max="14076" width="11.7109375" style="74" bestFit="1" customWidth="1"/>
    <col min="14077" max="14304" width="11.28515625" style="74"/>
    <col min="14305" max="14305" width="4.28515625" style="74" customWidth="1"/>
    <col min="14306" max="14306" width="3.42578125" style="74" customWidth="1"/>
    <col min="14307" max="14307" width="5.140625" style="74" customWidth="1"/>
    <col min="14308" max="14308" width="4.28515625" style="74" customWidth="1"/>
    <col min="14309" max="14312" width="0" style="74" hidden="1" customWidth="1"/>
    <col min="14313" max="14313" width="6.7109375" style="74" customWidth="1"/>
    <col min="14314" max="14314" width="6" style="74" customWidth="1"/>
    <col min="14315" max="14317" width="0" style="74" hidden="1" customWidth="1"/>
    <col min="14318" max="14320" width="4.28515625" style="74" customWidth="1"/>
    <col min="14321" max="14321" width="12.7109375" style="74" bestFit="1" customWidth="1"/>
    <col min="14322" max="14322" width="10.7109375" style="74" bestFit="1" customWidth="1"/>
    <col min="14323" max="14329" width="4.28515625" style="74" customWidth="1"/>
    <col min="14330" max="14332" width="11.7109375" style="74" bestFit="1" customWidth="1"/>
    <col min="14333" max="14560" width="11.28515625" style="74"/>
    <col min="14561" max="14561" width="4.28515625" style="74" customWidth="1"/>
    <col min="14562" max="14562" width="3.42578125" style="74" customWidth="1"/>
    <col min="14563" max="14563" width="5.140625" style="74" customWidth="1"/>
    <col min="14564" max="14564" width="4.28515625" style="74" customWidth="1"/>
    <col min="14565" max="14568" width="0" style="74" hidden="1" customWidth="1"/>
    <col min="14569" max="14569" width="6.7109375" style="74" customWidth="1"/>
    <col min="14570" max="14570" width="6" style="74" customWidth="1"/>
    <col min="14571" max="14573" width="0" style="74" hidden="1" customWidth="1"/>
    <col min="14574" max="14576" width="4.28515625" style="74" customWidth="1"/>
    <col min="14577" max="14577" width="12.7109375" style="74" bestFit="1" customWidth="1"/>
    <col min="14578" max="14578" width="10.7109375" style="74" bestFit="1" customWidth="1"/>
    <col min="14579" max="14585" width="4.28515625" style="74" customWidth="1"/>
    <col min="14586" max="14588" width="11.7109375" style="74" bestFit="1" customWidth="1"/>
    <col min="14589" max="14816" width="11.28515625" style="74"/>
    <col min="14817" max="14817" width="4.28515625" style="74" customWidth="1"/>
    <col min="14818" max="14818" width="3.42578125" style="74" customWidth="1"/>
    <col min="14819" max="14819" width="5.140625" style="74" customWidth="1"/>
    <col min="14820" max="14820" width="4.28515625" style="74" customWidth="1"/>
    <col min="14821" max="14824" width="0" style="74" hidden="1" customWidth="1"/>
    <col min="14825" max="14825" width="6.7109375" style="74" customWidth="1"/>
    <col min="14826" max="14826" width="6" style="74" customWidth="1"/>
    <col min="14827" max="14829" width="0" style="74" hidden="1" customWidth="1"/>
    <col min="14830" max="14832" width="4.28515625" style="74" customWidth="1"/>
    <col min="14833" max="14833" width="12.7109375" style="74" bestFit="1" customWidth="1"/>
    <col min="14834" max="14834" width="10.7109375" style="74" bestFit="1" customWidth="1"/>
    <col min="14835" max="14841" width="4.28515625" style="74" customWidth="1"/>
    <col min="14842" max="14844" width="11.7109375" style="74" bestFit="1" customWidth="1"/>
    <col min="14845" max="15072" width="11.28515625" style="74"/>
    <col min="15073" max="15073" width="4.28515625" style="74" customWidth="1"/>
    <col min="15074" max="15074" width="3.42578125" style="74" customWidth="1"/>
    <col min="15075" max="15075" width="5.140625" style="74" customWidth="1"/>
    <col min="15076" max="15076" width="4.28515625" style="74" customWidth="1"/>
    <col min="15077" max="15080" width="0" style="74" hidden="1" customWidth="1"/>
    <col min="15081" max="15081" width="6.7109375" style="74" customWidth="1"/>
    <col min="15082" max="15082" width="6" style="74" customWidth="1"/>
    <col min="15083" max="15085" width="0" style="74" hidden="1" customWidth="1"/>
    <col min="15086" max="15088" width="4.28515625" style="74" customWidth="1"/>
    <col min="15089" max="15089" width="12.7109375" style="74" bestFit="1" customWidth="1"/>
    <col min="15090" max="15090" width="10.7109375" style="74" bestFit="1" customWidth="1"/>
    <col min="15091" max="15097" width="4.28515625" style="74" customWidth="1"/>
    <col min="15098" max="15100" width="11.7109375" style="74" bestFit="1" customWidth="1"/>
    <col min="15101" max="15328" width="11.28515625" style="74"/>
    <col min="15329" max="15329" width="4.28515625" style="74" customWidth="1"/>
    <col min="15330" max="15330" width="3.42578125" style="74" customWidth="1"/>
    <col min="15331" max="15331" width="5.140625" style="74" customWidth="1"/>
    <col min="15332" max="15332" width="4.28515625" style="74" customWidth="1"/>
    <col min="15333" max="15336" width="0" style="74" hidden="1" customWidth="1"/>
    <col min="15337" max="15337" width="6.7109375" style="74" customWidth="1"/>
    <col min="15338" max="15338" width="6" style="74" customWidth="1"/>
    <col min="15339" max="15341" width="0" style="74" hidden="1" customWidth="1"/>
    <col min="15342" max="15344" width="4.28515625" style="74" customWidth="1"/>
    <col min="15345" max="15345" width="12.7109375" style="74" bestFit="1" customWidth="1"/>
    <col min="15346" max="15346" width="10.7109375" style="74" bestFit="1" customWidth="1"/>
    <col min="15347" max="15353" width="4.28515625" style="74" customWidth="1"/>
    <col min="15354" max="15356" width="11.7109375" style="74" bestFit="1" customWidth="1"/>
    <col min="15357" max="15584" width="11.28515625" style="74"/>
    <col min="15585" max="15585" width="4.28515625" style="74" customWidth="1"/>
    <col min="15586" max="15586" width="3.42578125" style="74" customWidth="1"/>
    <col min="15587" max="15587" width="5.140625" style="74" customWidth="1"/>
    <col min="15588" max="15588" width="4.28515625" style="74" customWidth="1"/>
    <col min="15589" max="15592" width="0" style="74" hidden="1" customWidth="1"/>
    <col min="15593" max="15593" width="6.7109375" style="74" customWidth="1"/>
    <col min="15594" max="15594" width="6" style="74" customWidth="1"/>
    <col min="15595" max="15597" width="0" style="74" hidden="1" customWidth="1"/>
    <col min="15598" max="15600" width="4.28515625" style="74" customWidth="1"/>
    <col min="15601" max="15601" width="12.7109375" style="74" bestFit="1" customWidth="1"/>
    <col min="15602" max="15602" width="10.7109375" style="74" bestFit="1" customWidth="1"/>
    <col min="15603" max="15609" width="4.28515625" style="74" customWidth="1"/>
    <col min="15610" max="15612" width="11.7109375" style="74" bestFit="1" customWidth="1"/>
    <col min="15613" max="15840" width="11.28515625" style="74"/>
    <col min="15841" max="15841" width="4.28515625" style="74" customWidth="1"/>
    <col min="15842" max="15842" width="3.42578125" style="74" customWidth="1"/>
    <col min="15843" max="15843" width="5.140625" style="74" customWidth="1"/>
    <col min="15844" max="15844" width="4.28515625" style="74" customWidth="1"/>
    <col min="15845" max="15848" width="0" style="74" hidden="1" customWidth="1"/>
    <col min="15849" max="15849" width="6.7109375" style="74" customWidth="1"/>
    <col min="15850" max="15850" width="6" style="74" customWidth="1"/>
    <col min="15851" max="15853" width="0" style="74" hidden="1" customWidth="1"/>
    <col min="15854" max="15856" width="4.28515625" style="74" customWidth="1"/>
    <col min="15857" max="15857" width="12.7109375" style="74" bestFit="1" customWidth="1"/>
    <col min="15858" max="15858" width="10.7109375" style="74" bestFit="1" customWidth="1"/>
    <col min="15859" max="15865" width="4.28515625" style="74" customWidth="1"/>
    <col min="15866" max="15868" width="11.7109375" style="74" bestFit="1" customWidth="1"/>
    <col min="15869" max="16096" width="11.28515625" style="74"/>
    <col min="16097" max="16097" width="4.28515625" style="74" customWidth="1"/>
    <col min="16098" max="16098" width="3.42578125" style="74" customWidth="1"/>
    <col min="16099" max="16099" width="5.140625" style="74" customWidth="1"/>
    <col min="16100" max="16100" width="4.28515625" style="74" customWidth="1"/>
    <col min="16101" max="16104" width="0" style="74" hidden="1" customWidth="1"/>
    <col min="16105" max="16105" width="6.7109375" style="74" customWidth="1"/>
    <col min="16106" max="16106" width="6" style="74" customWidth="1"/>
    <col min="16107" max="16109" width="0" style="74" hidden="1" customWidth="1"/>
    <col min="16110" max="16112" width="4.28515625" style="74" customWidth="1"/>
    <col min="16113" max="16113" width="12.7109375" style="74" bestFit="1" customWidth="1"/>
    <col min="16114" max="16114" width="10.7109375" style="74" bestFit="1" customWidth="1"/>
    <col min="16115" max="16121" width="4.28515625" style="74" customWidth="1"/>
    <col min="16122" max="16124" width="11.7109375" style="74" bestFit="1" customWidth="1"/>
    <col min="16125" max="16384" width="11.28515625" style="74"/>
  </cols>
  <sheetData>
    <row r="9" spans="2:20" ht="18" customHeight="1"/>
    <row r="10" spans="2:20" ht="18" customHeight="1">
      <c r="B10" s="473" t="s">
        <v>117</v>
      </c>
      <c r="C10" s="473"/>
      <c r="D10" s="474"/>
      <c r="E10" s="474"/>
      <c r="F10" s="474"/>
      <c r="G10" s="474"/>
      <c r="H10" s="474"/>
      <c r="I10" s="474"/>
      <c r="J10" s="474"/>
      <c r="K10" s="474"/>
      <c r="L10" s="474"/>
      <c r="M10" s="474"/>
      <c r="N10" s="474"/>
      <c r="O10" s="474"/>
    </row>
    <row r="11" spans="2:20">
      <c r="B11" s="74" t="s">
        <v>391</v>
      </c>
      <c r="F11" s="239"/>
      <c r="G11" s="239"/>
      <c r="H11" s="239"/>
      <c r="I11" s="239"/>
      <c r="J11" s="477">
        <v>60000</v>
      </c>
      <c r="K11" s="477"/>
      <c r="L11" s="477"/>
      <c r="M11" s="240"/>
      <c r="N11" s="239"/>
    </row>
    <row r="12" spans="2:20">
      <c r="B12" s="74" t="s">
        <v>232</v>
      </c>
      <c r="F12" s="239"/>
      <c r="G12" s="239"/>
      <c r="H12" s="239"/>
      <c r="I12" s="239"/>
      <c r="J12" s="478">
        <v>1.7500000000000002E-2</v>
      </c>
      <c r="K12" s="478"/>
      <c r="L12" s="478"/>
      <c r="M12" s="479">
        <f>(J12*1.12)</f>
        <v>1.9600000000000003E-2</v>
      </c>
      <c r="N12" s="479"/>
    </row>
    <row r="13" spans="2:20">
      <c r="B13" s="74" t="s">
        <v>392</v>
      </c>
      <c r="F13" s="239"/>
      <c r="G13" s="239"/>
      <c r="H13" s="239"/>
      <c r="I13" s="239"/>
      <c r="J13" s="480">
        <v>60</v>
      </c>
      <c r="K13" s="480"/>
      <c r="L13" s="480"/>
      <c r="M13" s="240"/>
      <c r="N13" s="239"/>
    </row>
    <row r="14" spans="2:20" ht="15">
      <c r="B14" s="74" t="s">
        <v>142</v>
      </c>
      <c r="J14" s="475">
        <v>0</v>
      </c>
      <c r="K14" s="475"/>
      <c r="L14" s="196"/>
      <c r="M14" s="240"/>
      <c r="N14" s="239"/>
      <c r="T14" s="155"/>
    </row>
    <row r="15" spans="2:20" ht="15">
      <c r="B15" s="74" t="s">
        <v>141</v>
      </c>
      <c r="J15" s="475">
        <v>0</v>
      </c>
      <c r="K15" s="475"/>
      <c r="L15" s="475"/>
      <c r="M15" s="173"/>
      <c r="T15" s="155"/>
    </row>
    <row r="16" spans="2:20" ht="15">
      <c r="B16" s="74" t="s">
        <v>393</v>
      </c>
      <c r="F16" s="239"/>
      <c r="G16" s="239"/>
      <c r="H16" s="239"/>
      <c r="I16" s="239"/>
      <c r="J16" s="481">
        <f>IFERROR(PMT(M12,J13,-J11),0)</f>
        <v>1709.4019288788054</v>
      </c>
      <c r="K16" s="481"/>
      <c r="L16" s="481"/>
      <c r="M16" s="173"/>
      <c r="S16" s="179"/>
      <c r="T16" s="155"/>
    </row>
    <row r="18" spans="1:25" ht="27.75" customHeight="1">
      <c r="A18" s="168" t="s">
        <v>394</v>
      </c>
      <c r="B18" s="180" t="s">
        <v>456</v>
      </c>
      <c r="C18" s="476" t="s">
        <v>395</v>
      </c>
      <c r="D18" s="476"/>
      <c r="E18" s="476"/>
      <c r="F18" s="476" t="s">
        <v>396</v>
      </c>
      <c r="G18" s="476"/>
      <c r="H18" s="476" t="s">
        <v>341</v>
      </c>
      <c r="I18" s="476"/>
      <c r="J18" s="476" t="s">
        <v>397</v>
      </c>
      <c r="K18" s="476"/>
      <c r="L18" s="476" t="s">
        <v>393</v>
      </c>
      <c r="M18" s="476"/>
      <c r="N18" s="476"/>
      <c r="O18" s="476" t="s">
        <v>398</v>
      </c>
      <c r="P18" s="476"/>
      <c r="Q18" s="476"/>
      <c r="R18" s="180" t="s">
        <v>142</v>
      </c>
      <c r="S18" s="180" t="s">
        <v>141</v>
      </c>
      <c r="T18" s="476" t="s">
        <v>399</v>
      </c>
      <c r="U18" s="476"/>
      <c r="V18" s="476"/>
      <c r="W18" s="482" t="s">
        <v>400</v>
      </c>
      <c r="X18" s="482"/>
      <c r="Y18" s="482"/>
    </row>
    <row r="19" spans="1:25" ht="15" customHeight="1">
      <c r="A19" s="168"/>
      <c r="B19" s="246"/>
      <c r="C19" s="485"/>
      <c r="D19" s="486"/>
      <c r="E19" s="486"/>
      <c r="F19" s="488"/>
      <c r="G19" s="488"/>
      <c r="H19" s="487"/>
      <c r="I19" s="487"/>
      <c r="J19" s="487"/>
      <c r="K19" s="487"/>
      <c r="L19" s="247"/>
      <c r="M19" s="247"/>
      <c r="N19" s="247"/>
      <c r="O19" s="487"/>
      <c r="P19" s="487"/>
      <c r="Q19" s="487"/>
      <c r="R19" s="243"/>
      <c r="S19" s="243"/>
      <c r="T19" s="487"/>
      <c r="U19" s="487"/>
      <c r="V19" s="487"/>
      <c r="W19" s="487"/>
      <c r="X19" s="487"/>
      <c r="Y19" s="487"/>
    </row>
    <row r="20" spans="1:25" ht="15" customHeight="1">
      <c r="A20" s="168"/>
      <c r="B20" s="246"/>
      <c r="C20" s="485"/>
      <c r="D20" s="486"/>
      <c r="E20" s="486"/>
      <c r="F20" s="489"/>
      <c r="G20" s="489"/>
      <c r="H20" s="487"/>
      <c r="I20" s="487"/>
      <c r="J20" s="487"/>
      <c r="K20" s="487"/>
      <c r="L20" s="247"/>
      <c r="M20" s="247"/>
      <c r="N20" s="247"/>
      <c r="O20" s="487"/>
      <c r="P20" s="487"/>
      <c r="Q20" s="487"/>
      <c r="R20" s="243"/>
      <c r="S20" s="243"/>
      <c r="T20" s="487"/>
      <c r="U20" s="487"/>
      <c r="V20" s="487"/>
      <c r="W20" s="487"/>
      <c r="X20" s="487"/>
      <c r="Y20" s="487"/>
    </row>
    <row r="21" spans="1:25" ht="15" customHeight="1">
      <c r="A21" s="168"/>
      <c r="B21" s="246"/>
      <c r="C21" s="485"/>
      <c r="D21" s="486"/>
      <c r="E21" s="486"/>
      <c r="F21" s="488"/>
      <c r="G21" s="488"/>
      <c r="H21" s="487"/>
      <c r="I21" s="487"/>
      <c r="J21" s="487"/>
      <c r="K21" s="487"/>
      <c r="L21" s="247"/>
      <c r="M21" s="247"/>
      <c r="N21" s="247"/>
      <c r="O21" s="487"/>
      <c r="P21" s="487"/>
      <c r="Q21" s="487"/>
      <c r="R21" s="243"/>
      <c r="S21" s="243"/>
      <c r="T21" s="487"/>
      <c r="U21" s="487"/>
      <c r="V21" s="487"/>
      <c r="W21" s="487"/>
      <c r="X21" s="487"/>
      <c r="Y21" s="487"/>
    </row>
    <row r="22" spans="1:25">
      <c r="B22" s="245">
        <v>44342</v>
      </c>
      <c r="C22" s="483">
        <f>J11</f>
        <v>60000</v>
      </c>
      <c r="D22" s="483"/>
      <c r="E22" s="483"/>
      <c r="F22" s="484">
        <f t="shared" ref="F22:F27" si="0">C22*$J$12</f>
        <v>1050</v>
      </c>
      <c r="G22" s="484"/>
      <c r="H22" s="484">
        <f t="shared" ref="H22:H27" si="1">F22*0.12</f>
        <v>126</v>
      </c>
      <c r="I22" s="484"/>
      <c r="J22" s="484">
        <f>F22+H22</f>
        <v>1176</v>
      </c>
      <c r="K22" s="484"/>
      <c r="L22" s="484">
        <f t="shared" ref="L22:L27" si="2">$J$16</f>
        <v>1709.4019288788054</v>
      </c>
      <c r="M22" s="484"/>
      <c r="N22" s="484"/>
      <c r="O22" s="484">
        <f t="shared" ref="O22:O27" si="3">L22-J22</f>
        <v>533.40192887880539</v>
      </c>
      <c r="P22" s="484"/>
      <c r="Q22" s="484"/>
      <c r="R22" s="182">
        <f t="shared" ref="R22:R53" si="4">IF(C22="","",$J$14)</f>
        <v>0</v>
      </c>
      <c r="S22" s="182">
        <f t="shared" ref="S22:S53" si="5">IF(C22="","",$J$15)</f>
        <v>0</v>
      </c>
      <c r="T22" s="484">
        <f t="shared" ref="T22:T27" si="6">C22-O22</f>
        <v>59466.598071121196</v>
      </c>
      <c r="U22" s="484"/>
      <c r="V22" s="484"/>
      <c r="W22" s="484">
        <f>IFERROR(L22+R22+S22,"")</f>
        <v>1709.4019288788054</v>
      </c>
      <c r="X22" s="484"/>
      <c r="Y22" s="484"/>
    </row>
    <row r="23" spans="1:25">
      <c r="A23" s="74">
        <v>1</v>
      </c>
      <c r="B23" s="244">
        <f>IF(C23="","",EDATE($B$22,A23))</f>
        <v>44373</v>
      </c>
      <c r="C23" s="490">
        <f>IF(C22="","",T22)</f>
        <v>59466.598071121196</v>
      </c>
      <c r="D23" s="490"/>
      <c r="E23" s="490"/>
      <c r="F23" s="484">
        <f t="shared" si="0"/>
        <v>1040.665466244621</v>
      </c>
      <c r="G23" s="484"/>
      <c r="H23" s="484">
        <f t="shared" si="1"/>
        <v>124.87985594935452</v>
      </c>
      <c r="I23" s="484"/>
      <c r="J23" s="484">
        <f>F23+H23</f>
        <v>1165.5453221939756</v>
      </c>
      <c r="K23" s="484"/>
      <c r="L23" s="484">
        <f t="shared" si="2"/>
        <v>1709.4019288788054</v>
      </c>
      <c r="M23" s="484"/>
      <c r="N23" s="484"/>
      <c r="O23" s="484">
        <f t="shared" si="3"/>
        <v>543.85660668482979</v>
      </c>
      <c r="P23" s="484"/>
      <c r="Q23" s="484"/>
      <c r="R23" s="182">
        <f t="shared" si="4"/>
        <v>0</v>
      </c>
      <c r="S23" s="182">
        <f t="shared" si="5"/>
        <v>0</v>
      </c>
      <c r="T23" s="484">
        <f t="shared" si="6"/>
        <v>58922.741464436367</v>
      </c>
      <c r="U23" s="484"/>
      <c r="V23" s="484"/>
      <c r="W23" s="484">
        <f>IF(C23="","",$W$22)</f>
        <v>1709.4019288788054</v>
      </c>
      <c r="X23" s="484"/>
      <c r="Y23" s="484"/>
    </row>
    <row r="24" spans="1:25">
      <c r="A24" s="74">
        <v>2</v>
      </c>
      <c r="B24" s="244">
        <f t="shared" ref="B24:B69" si="7">IF(C24="","",EDATE($B$22,A24))</f>
        <v>44403</v>
      </c>
      <c r="C24" s="490">
        <f>IF(C23="","",T23)</f>
        <v>58922.741464436367</v>
      </c>
      <c r="D24" s="490"/>
      <c r="E24" s="490"/>
      <c r="F24" s="484">
        <f t="shared" si="0"/>
        <v>1031.1479756276365</v>
      </c>
      <c r="G24" s="484"/>
      <c r="H24" s="484">
        <f t="shared" si="1"/>
        <v>123.73775707531637</v>
      </c>
      <c r="I24" s="484"/>
      <c r="J24" s="484">
        <f>F24+H24</f>
        <v>1154.8857327029527</v>
      </c>
      <c r="K24" s="484"/>
      <c r="L24" s="484">
        <f t="shared" si="2"/>
        <v>1709.4019288788054</v>
      </c>
      <c r="M24" s="484"/>
      <c r="N24" s="484"/>
      <c r="O24" s="484">
        <f t="shared" si="3"/>
        <v>554.51619617585266</v>
      </c>
      <c r="P24" s="484"/>
      <c r="Q24" s="484"/>
      <c r="R24" s="182">
        <f t="shared" si="4"/>
        <v>0</v>
      </c>
      <c r="S24" s="182">
        <f t="shared" si="5"/>
        <v>0</v>
      </c>
      <c r="T24" s="484">
        <f t="shared" si="6"/>
        <v>58368.225268260518</v>
      </c>
      <c r="U24" s="484"/>
      <c r="V24" s="484"/>
      <c r="W24" s="484">
        <f t="shared" ref="W24:W39" si="8">IF(C24="","",$W$22)</f>
        <v>1709.4019288788054</v>
      </c>
      <c r="X24" s="484"/>
      <c r="Y24" s="484"/>
    </row>
    <row r="25" spans="1:25">
      <c r="A25" s="74">
        <v>3</v>
      </c>
      <c r="B25" s="244">
        <f t="shared" si="7"/>
        <v>44434</v>
      </c>
      <c r="C25" s="490">
        <f>IF(C24="","",T24)</f>
        <v>58368.225268260518</v>
      </c>
      <c r="D25" s="490"/>
      <c r="E25" s="490"/>
      <c r="F25" s="484">
        <f t="shared" si="0"/>
        <v>1021.4439421945591</v>
      </c>
      <c r="G25" s="484"/>
      <c r="H25" s="484">
        <f t="shared" si="1"/>
        <v>122.57327306334709</v>
      </c>
      <c r="I25" s="484"/>
      <c r="J25" s="484">
        <f>F25+H25</f>
        <v>1144.0172152579062</v>
      </c>
      <c r="K25" s="484"/>
      <c r="L25" s="484">
        <f t="shared" si="2"/>
        <v>1709.4019288788054</v>
      </c>
      <c r="M25" s="484"/>
      <c r="N25" s="484"/>
      <c r="O25" s="484">
        <f t="shared" si="3"/>
        <v>565.38471362089922</v>
      </c>
      <c r="P25" s="484"/>
      <c r="Q25" s="484"/>
      <c r="R25" s="182">
        <f t="shared" si="4"/>
        <v>0</v>
      </c>
      <c r="S25" s="182">
        <f t="shared" si="5"/>
        <v>0</v>
      </c>
      <c r="T25" s="484">
        <f t="shared" si="6"/>
        <v>57802.840554639617</v>
      </c>
      <c r="U25" s="484"/>
      <c r="V25" s="484"/>
      <c r="W25" s="484">
        <f t="shared" si="8"/>
        <v>1709.4019288788054</v>
      </c>
      <c r="X25" s="484"/>
      <c r="Y25" s="484"/>
    </row>
    <row r="26" spans="1:25">
      <c r="A26" s="74">
        <v>4</v>
      </c>
      <c r="B26" s="244">
        <f t="shared" si="7"/>
        <v>44465</v>
      </c>
      <c r="C26" s="490">
        <f>IF(C25="","",T25)</f>
        <v>57802.840554639617</v>
      </c>
      <c r="D26" s="490"/>
      <c r="E26" s="490"/>
      <c r="F26" s="484">
        <f t="shared" si="0"/>
        <v>1011.5497097061934</v>
      </c>
      <c r="G26" s="484"/>
      <c r="H26" s="484">
        <f t="shared" si="1"/>
        <v>121.38596516474321</v>
      </c>
      <c r="I26" s="484"/>
      <c r="J26" s="484">
        <f>F26+H26</f>
        <v>1132.9356748709367</v>
      </c>
      <c r="K26" s="484"/>
      <c r="L26" s="484">
        <f t="shared" si="2"/>
        <v>1709.4019288788054</v>
      </c>
      <c r="M26" s="484"/>
      <c r="N26" s="484"/>
      <c r="O26" s="484">
        <f t="shared" si="3"/>
        <v>576.46625400786866</v>
      </c>
      <c r="P26" s="484"/>
      <c r="Q26" s="484"/>
      <c r="R26" s="182">
        <f t="shared" si="4"/>
        <v>0</v>
      </c>
      <c r="S26" s="182">
        <f t="shared" si="5"/>
        <v>0</v>
      </c>
      <c r="T26" s="484">
        <f t="shared" si="6"/>
        <v>57226.374300631745</v>
      </c>
      <c r="U26" s="484"/>
      <c r="V26" s="484"/>
      <c r="W26" s="484">
        <f t="shared" si="8"/>
        <v>1709.4019288788054</v>
      </c>
      <c r="X26" s="484"/>
      <c r="Y26" s="484"/>
    </row>
    <row r="27" spans="1:25">
      <c r="A27" s="74">
        <v>5</v>
      </c>
      <c r="B27" s="244">
        <f t="shared" si="7"/>
        <v>44495</v>
      </c>
      <c r="C27" s="490">
        <f>IF(C26="","",T26)</f>
        <v>57226.374300631745</v>
      </c>
      <c r="D27" s="490"/>
      <c r="E27" s="490"/>
      <c r="F27" s="484">
        <f t="shared" si="0"/>
        <v>1001.4615502610557</v>
      </c>
      <c r="G27" s="484"/>
      <c r="H27" s="484">
        <f t="shared" si="1"/>
        <v>120.17538603132668</v>
      </c>
      <c r="I27" s="484"/>
      <c r="J27" s="484">
        <f>IF(F27="","",F27+H27)</f>
        <v>1121.6369362923824</v>
      </c>
      <c r="K27" s="484"/>
      <c r="L27" s="484">
        <f t="shared" si="2"/>
        <v>1709.4019288788054</v>
      </c>
      <c r="M27" s="484"/>
      <c r="N27" s="484"/>
      <c r="O27" s="484">
        <f t="shared" si="3"/>
        <v>587.76499258642298</v>
      </c>
      <c r="P27" s="484"/>
      <c r="Q27" s="484"/>
      <c r="R27" s="182">
        <f t="shared" si="4"/>
        <v>0</v>
      </c>
      <c r="S27" s="182">
        <f t="shared" si="5"/>
        <v>0</v>
      </c>
      <c r="T27" s="484">
        <f t="shared" si="6"/>
        <v>56638.609308045321</v>
      </c>
      <c r="U27" s="484"/>
      <c r="V27" s="484"/>
      <c r="W27" s="484">
        <f t="shared" si="8"/>
        <v>1709.4019288788054</v>
      </c>
      <c r="X27" s="484"/>
      <c r="Y27" s="484"/>
    </row>
    <row r="28" spans="1:25">
      <c r="A28" s="74">
        <v>6</v>
      </c>
      <c r="B28" s="244">
        <f t="shared" si="7"/>
        <v>44526</v>
      </c>
      <c r="C28" s="490">
        <f>IF(T27&lt;=0.1,"",T27)</f>
        <v>56638.609308045321</v>
      </c>
      <c r="D28" s="490"/>
      <c r="E28" s="490"/>
      <c r="F28" s="484">
        <f t="shared" ref="F28:F45" si="9">IF(C28="","",(C28*$J$12))</f>
        <v>991.17566289079321</v>
      </c>
      <c r="G28" s="484"/>
      <c r="H28" s="484">
        <f t="shared" ref="H28:H46" si="10">IF(F28="","",(F28*0.12))</f>
        <v>118.94107954689518</v>
      </c>
      <c r="I28" s="484"/>
      <c r="J28" s="484">
        <f t="shared" ref="J28:J47" si="11">IF(F28="","",F28+H28)</f>
        <v>1110.1167424376883</v>
      </c>
      <c r="K28" s="484"/>
      <c r="L28" s="484">
        <f>IF(C28="","",$J$16)</f>
        <v>1709.4019288788054</v>
      </c>
      <c r="M28" s="484"/>
      <c r="N28" s="484"/>
      <c r="O28" s="484">
        <f>IF(C28="","",L28-J28)</f>
        <v>599.28518644111705</v>
      </c>
      <c r="P28" s="484"/>
      <c r="Q28" s="484"/>
      <c r="R28" s="182">
        <f t="shared" si="4"/>
        <v>0</v>
      </c>
      <c r="S28" s="182">
        <f t="shared" si="5"/>
        <v>0</v>
      </c>
      <c r="T28" s="484">
        <f t="shared" ref="T28:T70" si="12">IF(C28="","",C28-O28)</f>
        <v>56039.324121604201</v>
      </c>
      <c r="U28" s="484"/>
      <c r="V28" s="484"/>
      <c r="W28" s="484">
        <f t="shared" si="8"/>
        <v>1709.4019288788054</v>
      </c>
      <c r="X28" s="484"/>
      <c r="Y28" s="484"/>
    </row>
    <row r="29" spans="1:25">
      <c r="A29" s="74">
        <v>7</v>
      </c>
      <c r="B29" s="244">
        <f t="shared" si="7"/>
        <v>44556</v>
      </c>
      <c r="C29" s="490">
        <f t="shared" ref="C29:C56" si="13">IF(T28&lt;=0.1,"",T28)</f>
        <v>56039.324121604201</v>
      </c>
      <c r="D29" s="490"/>
      <c r="E29" s="490"/>
      <c r="F29" s="484">
        <f t="shared" si="9"/>
        <v>980.68817212807357</v>
      </c>
      <c r="G29" s="484"/>
      <c r="H29" s="484">
        <f t="shared" si="10"/>
        <v>117.68258065536882</v>
      </c>
      <c r="I29" s="484"/>
      <c r="J29" s="484">
        <f t="shared" si="11"/>
        <v>1098.3707527834424</v>
      </c>
      <c r="K29" s="484"/>
      <c r="L29" s="484">
        <f t="shared" ref="L29:L70" si="14">IF(H29="","",$J$16)</f>
        <v>1709.4019288788054</v>
      </c>
      <c r="M29" s="484"/>
      <c r="N29" s="484"/>
      <c r="O29" s="484">
        <f t="shared" ref="O29:O54" si="15">IF(C29="","",L29-J29)</f>
        <v>611.03117609536298</v>
      </c>
      <c r="P29" s="484"/>
      <c r="Q29" s="484"/>
      <c r="R29" s="182">
        <f t="shared" si="4"/>
        <v>0</v>
      </c>
      <c r="S29" s="182">
        <f t="shared" si="5"/>
        <v>0</v>
      </c>
      <c r="T29" s="484">
        <f t="shared" si="12"/>
        <v>55428.292945508838</v>
      </c>
      <c r="U29" s="484"/>
      <c r="V29" s="484"/>
      <c r="W29" s="484">
        <f t="shared" si="8"/>
        <v>1709.4019288788054</v>
      </c>
      <c r="X29" s="484"/>
      <c r="Y29" s="484"/>
    </row>
    <row r="30" spans="1:25">
      <c r="A30" s="74">
        <v>8</v>
      </c>
      <c r="B30" s="244">
        <f t="shared" si="7"/>
        <v>44587</v>
      </c>
      <c r="C30" s="490">
        <f t="shared" si="13"/>
        <v>55428.292945508838</v>
      </c>
      <c r="D30" s="490"/>
      <c r="E30" s="490"/>
      <c r="F30" s="484">
        <f t="shared" si="9"/>
        <v>969.99512654640478</v>
      </c>
      <c r="G30" s="484"/>
      <c r="H30" s="484">
        <f t="shared" si="10"/>
        <v>116.39941518556857</v>
      </c>
      <c r="I30" s="484"/>
      <c r="J30" s="484">
        <f t="shared" si="11"/>
        <v>1086.3945417319733</v>
      </c>
      <c r="K30" s="484"/>
      <c r="L30" s="484">
        <f t="shared" si="14"/>
        <v>1709.4019288788054</v>
      </c>
      <c r="M30" s="484"/>
      <c r="N30" s="484"/>
      <c r="O30" s="484">
        <f t="shared" si="15"/>
        <v>623.00738714683212</v>
      </c>
      <c r="P30" s="484"/>
      <c r="Q30" s="484"/>
      <c r="R30" s="182">
        <f t="shared" si="4"/>
        <v>0</v>
      </c>
      <c r="S30" s="182">
        <f t="shared" si="5"/>
        <v>0</v>
      </c>
      <c r="T30" s="484">
        <f t="shared" si="12"/>
        <v>54805.285558362004</v>
      </c>
      <c r="U30" s="484"/>
      <c r="V30" s="484"/>
      <c r="W30" s="484">
        <f t="shared" si="8"/>
        <v>1709.4019288788054</v>
      </c>
      <c r="X30" s="484"/>
      <c r="Y30" s="484"/>
    </row>
    <row r="31" spans="1:25">
      <c r="A31" s="74">
        <v>9</v>
      </c>
      <c r="B31" s="244">
        <f t="shared" si="7"/>
        <v>44618</v>
      </c>
      <c r="C31" s="490">
        <f t="shared" si="13"/>
        <v>54805.285558362004</v>
      </c>
      <c r="D31" s="490"/>
      <c r="E31" s="490"/>
      <c r="F31" s="484">
        <f t="shared" si="9"/>
        <v>959.09249727133511</v>
      </c>
      <c r="G31" s="484"/>
      <c r="H31" s="484">
        <f t="shared" si="10"/>
        <v>115.0910996725602</v>
      </c>
      <c r="I31" s="484"/>
      <c r="J31" s="484">
        <f t="shared" si="11"/>
        <v>1074.1835969438953</v>
      </c>
      <c r="K31" s="484"/>
      <c r="L31" s="484">
        <f t="shared" si="14"/>
        <v>1709.4019288788054</v>
      </c>
      <c r="M31" s="484"/>
      <c r="N31" s="484"/>
      <c r="O31" s="484">
        <f t="shared" si="15"/>
        <v>635.21833193491011</v>
      </c>
      <c r="P31" s="484"/>
      <c r="Q31" s="484"/>
      <c r="R31" s="182">
        <f t="shared" si="4"/>
        <v>0</v>
      </c>
      <c r="S31" s="182">
        <f t="shared" si="5"/>
        <v>0</v>
      </c>
      <c r="T31" s="484">
        <f t="shared" si="12"/>
        <v>54170.067226427091</v>
      </c>
      <c r="U31" s="484"/>
      <c r="V31" s="484"/>
      <c r="W31" s="484">
        <f t="shared" si="8"/>
        <v>1709.4019288788054</v>
      </c>
      <c r="X31" s="484"/>
      <c r="Y31" s="484"/>
    </row>
    <row r="32" spans="1:25">
      <c r="A32" s="74">
        <v>10</v>
      </c>
      <c r="B32" s="244">
        <f t="shared" si="7"/>
        <v>44646</v>
      </c>
      <c r="C32" s="490">
        <f t="shared" si="13"/>
        <v>54170.067226427091</v>
      </c>
      <c r="D32" s="490"/>
      <c r="E32" s="490"/>
      <c r="F32" s="484">
        <f t="shared" si="9"/>
        <v>947.9761764624742</v>
      </c>
      <c r="G32" s="484"/>
      <c r="H32" s="484">
        <f t="shared" si="10"/>
        <v>113.7571411754969</v>
      </c>
      <c r="I32" s="484"/>
      <c r="J32" s="484">
        <f t="shared" si="11"/>
        <v>1061.7333176379711</v>
      </c>
      <c r="K32" s="484"/>
      <c r="L32" s="484">
        <f t="shared" si="14"/>
        <v>1709.4019288788054</v>
      </c>
      <c r="M32" s="484"/>
      <c r="N32" s="484"/>
      <c r="O32" s="491">
        <f>IF(C32="","",L32-J32)</f>
        <v>647.66861124083425</v>
      </c>
      <c r="P32" s="491"/>
      <c r="Q32" s="491"/>
      <c r="R32" s="182">
        <f t="shared" si="4"/>
        <v>0</v>
      </c>
      <c r="S32" s="182">
        <f t="shared" si="5"/>
        <v>0</v>
      </c>
      <c r="T32" s="484">
        <f t="shared" si="12"/>
        <v>53522.398615186255</v>
      </c>
      <c r="U32" s="484"/>
      <c r="V32" s="484"/>
      <c r="W32" s="484">
        <f t="shared" si="8"/>
        <v>1709.4019288788054</v>
      </c>
      <c r="X32" s="484"/>
      <c r="Y32" s="484"/>
    </row>
    <row r="33" spans="1:25">
      <c r="A33" s="74">
        <v>11</v>
      </c>
      <c r="B33" s="244">
        <f t="shared" si="7"/>
        <v>44677</v>
      </c>
      <c r="C33" s="490">
        <f t="shared" si="13"/>
        <v>53522.398615186255</v>
      </c>
      <c r="D33" s="490"/>
      <c r="E33" s="490"/>
      <c r="F33" s="484">
        <f t="shared" si="9"/>
        <v>936.64197576575953</v>
      </c>
      <c r="G33" s="484"/>
      <c r="H33" s="484">
        <f t="shared" si="10"/>
        <v>112.39703709189114</v>
      </c>
      <c r="I33" s="484"/>
      <c r="J33" s="484">
        <f t="shared" si="11"/>
        <v>1049.0390128576507</v>
      </c>
      <c r="K33" s="484"/>
      <c r="L33" s="484">
        <f t="shared" si="14"/>
        <v>1709.4019288788054</v>
      </c>
      <c r="M33" s="484"/>
      <c r="N33" s="484"/>
      <c r="O33" s="491">
        <f>IF(C33="","",L33-J33)</f>
        <v>660.36291602115466</v>
      </c>
      <c r="P33" s="491"/>
      <c r="Q33" s="491"/>
      <c r="R33" s="182">
        <f t="shared" si="4"/>
        <v>0</v>
      </c>
      <c r="S33" s="182">
        <f t="shared" si="5"/>
        <v>0</v>
      </c>
      <c r="T33" s="484">
        <f t="shared" si="12"/>
        <v>52862.035699165099</v>
      </c>
      <c r="U33" s="484"/>
      <c r="V33" s="484"/>
      <c r="W33" s="484">
        <f t="shared" si="8"/>
        <v>1709.4019288788054</v>
      </c>
      <c r="X33" s="484"/>
      <c r="Y33" s="484"/>
    </row>
    <row r="34" spans="1:25">
      <c r="A34" s="74">
        <v>12</v>
      </c>
      <c r="B34" s="244">
        <f t="shared" si="7"/>
        <v>44707</v>
      </c>
      <c r="C34" s="490">
        <f t="shared" si="13"/>
        <v>52862.035699165099</v>
      </c>
      <c r="D34" s="490"/>
      <c r="E34" s="490"/>
      <c r="F34" s="484">
        <f t="shared" si="9"/>
        <v>925.08562473538927</v>
      </c>
      <c r="G34" s="484"/>
      <c r="H34" s="484">
        <f t="shared" si="10"/>
        <v>111.0102749682467</v>
      </c>
      <c r="I34" s="484"/>
      <c r="J34" s="484">
        <f t="shared" si="11"/>
        <v>1036.095899703636</v>
      </c>
      <c r="K34" s="484"/>
      <c r="L34" s="484">
        <f t="shared" si="14"/>
        <v>1709.4019288788054</v>
      </c>
      <c r="M34" s="484"/>
      <c r="N34" s="484"/>
      <c r="O34" s="484">
        <f t="shared" si="15"/>
        <v>673.30602917516944</v>
      </c>
      <c r="P34" s="484"/>
      <c r="Q34" s="484"/>
      <c r="R34" s="182">
        <f t="shared" si="4"/>
        <v>0</v>
      </c>
      <c r="S34" s="182">
        <f t="shared" si="5"/>
        <v>0</v>
      </c>
      <c r="T34" s="484">
        <f t="shared" si="12"/>
        <v>52188.729669989931</v>
      </c>
      <c r="U34" s="484"/>
      <c r="V34" s="484"/>
      <c r="W34" s="484">
        <f t="shared" si="8"/>
        <v>1709.4019288788054</v>
      </c>
      <c r="X34" s="484"/>
      <c r="Y34" s="484"/>
    </row>
    <row r="35" spans="1:25">
      <c r="A35" s="74">
        <v>13</v>
      </c>
      <c r="B35" s="244">
        <f t="shared" si="7"/>
        <v>44738</v>
      </c>
      <c r="C35" s="490">
        <f t="shared" si="13"/>
        <v>52188.729669989931</v>
      </c>
      <c r="D35" s="490"/>
      <c r="E35" s="490"/>
      <c r="F35" s="484">
        <f t="shared" si="9"/>
        <v>913.30276922482392</v>
      </c>
      <c r="G35" s="484"/>
      <c r="H35" s="484">
        <f t="shared" si="10"/>
        <v>109.59633230697887</v>
      </c>
      <c r="I35" s="484"/>
      <c r="J35" s="484">
        <f t="shared" si="11"/>
        <v>1022.8991015318028</v>
      </c>
      <c r="K35" s="484"/>
      <c r="L35" s="484">
        <f t="shared" si="14"/>
        <v>1709.4019288788054</v>
      </c>
      <c r="M35" s="484"/>
      <c r="N35" s="484"/>
      <c r="O35" s="484">
        <f t="shared" si="15"/>
        <v>686.50282734700261</v>
      </c>
      <c r="P35" s="484"/>
      <c r="Q35" s="484"/>
      <c r="R35" s="182">
        <f t="shared" si="4"/>
        <v>0</v>
      </c>
      <c r="S35" s="182">
        <f t="shared" si="5"/>
        <v>0</v>
      </c>
      <c r="T35" s="484">
        <f t="shared" si="12"/>
        <v>51502.226842642929</v>
      </c>
      <c r="U35" s="484"/>
      <c r="V35" s="484"/>
      <c r="W35" s="484">
        <f t="shared" si="8"/>
        <v>1709.4019288788054</v>
      </c>
      <c r="X35" s="484"/>
      <c r="Y35" s="484"/>
    </row>
    <row r="36" spans="1:25">
      <c r="A36" s="74">
        <v>14</v>
      </c>
      <c r="B36" s="244">
        <f t="shared" si="7"/>
        <v>44768</v>
      </c>
      <c r="C36" s="490">
        <f t="shared" si="13"/>
        <v>51502.226842642929</v>
      </c>
      <c r="D36" s="490"/>
      <c r="E36" s="490"/>
      <c r="F36" s="484">
        <f t="shared" si="9"/>
        <v>901.28896974625138</v>
      </c>
      <c r="G36" s="484"/>
      <c r="H36" s="484">
        <f t="shared" si="10"/>
        <v>108.15467636955016</v>
      </c>
      <c r="I36" s="484"/>
      <c r="J36" s="484">
        <f t="shared" si="11"/>
        <v>1009.4436461158016</v>
      </c>
      <c r="K36" s="484"/>
      <c r="L36" s="484">
        <f t="shared" si="14"/>
        <v>1709.4019288788054</v>
      </c>
      <c r="M36" s="484"/>
      <c r="N36" s="484"/>
      <c r="O36" s="484">
        <f t="shared" si="15"/>
        <v>699.95828276300381</v>
      </c>
      <c r="P36" s="484"/>
      <c r="Q36" s="484"/>
      <c r="R36" s="182">
        <f t="shared" si="4"/>
        <v>0</v>
      </c>
      <c r="S36" s="182">
        <f t="shared" si="5"/>
        <v>0</v>
      </c>
      <c r="T36" s="484">
        <f t="shared" si="12"/>
        <v>50802.268559879929</v>
      </c>
      <c r="U36" s="484"/>
      <c r="V36" s="484"/>
      <c r="W36" s="484">
        <f t="shared" si="8"/>
        <v>1709.4019288788054</v>
      </c>
      <c r="X36" s="484"/>
      <c r="Y36" s="484"/>
    </row>
    <row r="37" spans="1:25">
      <c r="A37" s="74">
        <v>15</v>
      </c>
      <c r="B37" s="244">
        <f t="shared" si="7"/>
        <v>44799</v>
      </c>
      <c r="C37" s="490">
        <f t="shared" si="13"/>
        <v>50802.268559879929</v>
      </c>
      <c r="D37" s="490"/>
      <c r="E37" s="490"/>
      <c r="F37" s="484">
        <f t="shared" si="9"/>
        <v>889.03969979789883</v>
      </c>
      <c r="G37" s="484"/>
      <c r="H37" s="484">
        <f t="shared" si="10"/>
        <v>106.68476397574786</v>
      </c>
      <c r="I37" s="484"/>
      <c r="J37" s="484">
        <f t="shared" si="11"/>
        <v>995.72446377364668</v>
      </c>
      <c r="K37" s="484"/>
      <c r="L37" s="484">
        <f t="shared" si="14"/>
        <v>1709.4019288788054</v>
      </c>
      <c r="M37" s="484"/>
      <c r="N37" s="484"/>
      <c r="O37" s="484">
        <f t="shared" si="15"/>
        <v>713.67746510515872</v>
      </c>
      <c r="P37" s="484"/>
      <c r="Q37" s="484"/>
      <c r="R37" s="182">
        <f t="shared" si="4"/>
        <v>0</v>
      </c>
      <c r="S37" s="182">
        <f t="shared" si="5"/>
        <v>0</v>
      </c>
      <c r="T37" s="484">
        <f t="shared" si="12"/>
        <v>50088.591094774769</v>
      </c>
      <c r="U37" s="484"/>
      <c r="V37" s="484"/>
      <c r="W37" s="484">
        <f t="shared" si="8"/>
        <v>1709.4019288788054</v>
      </c>
      <c r="X37" s="484"/>
      <c r="Y37" s="484"/>
    </row>
    <row r="38" spans="1:25">
      <c r="A38" s="74">
        <v>16</v>
      </c>
      <c r="B38" s="244">
        <f t="shared" si="7"/>
        <v>44830</v>
      </c>
      <c r="C38" s="490">
        <f t="shared" si="13"/>
        <v>50088.591094774769</v>
      </c>
      <c r="D38" s="490"/>
      <c r="E38" s="490"/>
      <c r="F38" s="484">
        <f t="shared" si="9"/>
        <v>876.55034415855857</v>
      </c>
      <c r="G38" s="484"/>
      <c r="H38" s="484">
        <f t="shared" si="10"/>
        <v>105.18604129902702</v>
      </c>
      <c r="I38" s="484"/>
      <c r="J38" s="484">
        <f t="shared" si="11"/>
        <v>981.73638545758558</v>
      </c>
      <c r="K38" s="484"/>
      <c r="L38" s="484">
        <f t="shared" si="14"/>
        <v>1709.4019288788054</v>
      </c>
      <c r="M38" s="484"/>
      <c r="N38" s="484"/>
      <c r="O38" s="484">
        <f t="shared" si="15"/>
        <v>727.66554342121981</v>
      </c>
      <c r="P38" s="484"/>
      <c r="Q38" s="484"/>
      <c r="R38" s="182">
        <f t="shared" si="4"/>
        <v>0</v>
      </c>
      <c r="S38" s="182">
        <f t="shared" si="5"/>
        <v>0</v>
      </c>
      <c r="T38" s="484">
        <f t="shared" si="12"/>
        <v>49360.925551353546</v>
      </c>
      <c r="U38" s="484"/>
      <c r="V38" s="484"/>
      <c r="W38" s="484">
        <f t="shared" si="8"/>
        <v>1709.4019288788054</v>
      </c>
      <c r="X38" s="484"/>
      <c r="Y38" s="484"/>
    </row>
    <row r="39" spans="1:25">
      <c r="A39" s="74">
        <v>17</v>
      </c>
      <c r="B39" s="244">
        <f t="shared" si="7"/>
        <v>44860</v>
      </c>
      <c r="C39" s="490">
        <f t="shared" si="13"/>
        <v>49360.925551353546</v>
      </c>
      <c r="D39" s="490"/>
      <c r="E39" s="490"/>
      <c r="F39" s="484">
        <f t="shared" si="9"/>
        <v>863.81619714868714</v>
      </c>
      <c r="G39" s="484"/>
      <c r="H39" s="484">
        <f t="shared" si="10"/>
        <v>103.65794365784245</v>
      </c>
      <c r="I39" s="484"/>
      <c r="J39" s="484">
        <f t="shared" si="11"/>
        <v>967.47414080652959</v>
      </c>
      <c r="K39" s="484"/>
      <c r="L39" s="484">
        <f t="shared" si="14"/>
        <v>1709.4019288788054</v>
      </c>
      <c r="M39" s="484"/>
      <c r="N39" s="484"/>
      <c r="O39" s="484">
        <f t="shared" si="15"/>
        <v>741.9277880722758</v>
      </c>
      <c r="P39" s="484"/>
      <c r="Q39" s="484"/>
      <c r="R39" s="182">
        <f t="shared" si="4"/>
        <v>0</v>
      </c>
      <c r="S39" s="182">
        <f t="shared" si="5"/>
        <v>0</v>
      </c>
      <c r="T39" s="484">
        <f t="shared" si="12"/>
        <v>48618.997763281273</v>
      </c>
      <c r="U39" s="484"/>
      <c r="V39" s="484"/>
      <c r="W39" s="484">
        <f t="shared" si="8"/>
        <v>1709.4019288788054</v>
      </c>
      <c r="X39" s="484"/>
      <c r="Y39" s="484"/>
    </row>
    <row r="40" spans="1:25">
      <c r="A40" s="74">
        <v>18</v>
      </c>
      <c r="B40" s="244">
        <f t="shared" si="7"/>
        <v>44891</v>
      </c>
      <c r="C40" s="490">
        <f t="shared" si="13"/>
        <v>48618.997763281273</v>
      </c>
      <c r="D40" s="490"/>
      <c r="E40" s="490"/>
      <c r="F40" s="484">
        <f t="shared" si="9"/>
        <v>850.83246085742235</v>
      </c>
      <c r="G40" s="484"/>
      <c r="H40" s="484">
        <f t="shared" si="10"/>
        <v>102.09989530289067</v>
      </c>
      <c r="I40" s="484"/>
      <c r="J40" s="484">
        <f t="shared" si="11"/>
        <v>952.93235616031302</v>
      </c>
      <c r="K40" s="484"/>
      <c r="L40" s="484">
        <f t="shared" si="14"/>
        <v>1709.4019288788054</v>
      </c>
      <c r="M40" s="484"/>
      <c r="N40" s="484"/>
      <c r="O40" s="484">
        <f t="shared" si="15"/>
        <v>756.46957271849237</v>
      </c>
      <c r="P40" s="484"/>
      <c r="Q40" s="484"/>
      <c r="R40" s="182">
        <f t="shared" si="4"/>
        <v>0</v>
      </c>
      <c r="S40" s="182">
        <f t="shared" si="5"/>
        <v>0</v>
      </c>
      <c r="T40" s="484">
        <f t="shared" si="12"/>
        <v>47862.528190562778</v>
      </c>
      <c r="U40" s="484"/>
      <c r="V40" s="484"/>
      <c r="W40" s="484">
        <f>IF(C40="","",$W$22)</f>
        <v>1709.4019288788054</v>
      </c>
      <c r="X40" s="484"/>
      <c r="Y40" s="484"/>
    </row>
    <row r="41" spans="1:25">
      <c r="A41" s="74">
        <v>19</v>
      </c>
      <c r="B41" s="244">
        <f t="shared" si="7"/>
        <v>44921</v>
      </c>
      <c r="C41" s="490">
        <f t="shared" si="13"/>
        <v>47862.528190562778</v>
      </c>
      <c r="D41" s="490"/>
      <c r="E41" s="490"/>
      <c r="F41" s="484">
        <f t="shared" si="9"/>
        <v>837.59424333484867</v>
      </c>
      <c r="G41" s="484"/>
      <c r="H41" s="484">
        <f t="shared" si="10"/>
        <v>100.51130920018184</v>
      </c>
      <c r="I41" s="484"/>
      <c r="J41" s="484">
        <f t="shared" si="11"/>
        <v>938.10555253503048</v>
      </c>
      <c r="K41" s="484"/>
      <c r="L41" s="484">
        <f t="shared" si="14"/>
        <v>1709.4019288788054</v>
      </c>
      <c r="M41" s="484"/>
      <c r="N41" s="484"/>
      <c r="O41" s="484">
        <f t="shared" si="15"/>
        <v>771.29637634377491</v>
      </c>
      <c r="P41" s="484"/>
      <c r="Q41" s="484"/>
      <c r="R41" s="182">
        <f t="shared" si="4"/>
        <v>0</v>
      </c>
      <c r="S41" s="182">
        <f t="shared" si="5"/>
        <v>0</v>
      </c>
      <c r="T41" s="484">
        <f t="shared" si="12"/>
        <v>47091.231814219005</v>
      </c>
      <c r="U41" s="484"/>
      <c r="V41" s="484"/>
      <c r="W41" s="484">
        <f t="shared" ref="W41:W48" si="16">IF(C41="","",$W$22)</f>
        <v>1709.4019288788054</v>
      </c>
      <c r="X41" s="484"/>
      <c r="Y41" s="484"/>
    </row>
    <row r="42" spans="1:25">
      <c r="A42" s="74">
        <v>20</v>
      </c>
      <c r="B42" s="244">
        <f t="shared" si="7"/>
        <v>44952</v>
      </c>
      <c r="C42" s="490">
        <f t="shared" si="13"/>
        <v>47091.231814219005</v>
      </c>
      <c r="D42" s="490"/>
      <c r="E42" s="490"/>
      <c r="F42" s="484">
        <f t="shared" si="9"/>
        <v>824.09655674883265</v>
      </c>
      <c r="G42" s="484"/>
      <c r="H42" s="484">
        <f t="shared" si="10"/>
        <v>98.891586809859916</v>
      </c>
      <c r="I42" s="484"/>
      <c r="J42" s="484">
        <f t="shared" si="11"/>
        <v>922.98814355869263</v>
      </c>
      <c r="K42" s="484"/>
      <c r="L42" s="484">
        <f t="shared" si="14"/>
        <v>1709.4019288788054</v>
      </c>
      <c r="M42" s="484"/>
      <c r="N42" s="484"/>
      <c r="O42" s="484">
        <f t="shared" si="15"/>
        <v>786.41378532011277</v>
      </c>
      <c r="P42" s="484"/>
      <c r="Q42" s="484"/>
      <c r="R42" s="182">
        <f t="shared" si="4"/>
        <v>0</v>
      </c>
      <c r="S42" s="182">
        <f t="shared" si="5"/>
        <v>0</v>
      </c>
      <c r="T42" s="484">
        <f t="shared" si="12"/>
        <v>46304.818028898895</v>
      </c>
      <c r="U42" s="484"/>
      <c r="V42" s="484"/>
      <c r="W42" s="484">
        <f t="shared" si="16"/>
        <v>1709.4019288788054</v>
      </c>
      <c r="X42" s="484"/>
      <c r="Y42" s="484"/>
    </row>
    <row r="43" spans="1:25">
      <c r="A43" s="74">
        <v>21</v>
      </c>
      <c r="B43" s="244">
        <f t="shared" si="7"/>
        <v>44983</v>
      </c>
      <c r="C43" s="490">
        <f t="shared" si="13"/>
        <v>46304.818028898895</v>
      </c>
      <c r="D43" s="490"/>
      <c r="E43" s="490"/>
      <c r="F43" s="484">
        <f t="shared" si="9"/>
        <v>810.33431550573073</v>
      </c>
      <c r="G43" s="484"/>
      <c r="H43" s="484">
        <f t="shared" si="10"/>
        <v>97.24011786068769</v>
      </c>
      <c r="I43" s="484"/>
      <c r="J43" s="484">
        <f t="shared" si="11"/>
        <v>907.57443336641836</v>
      </c>
      <c r="K43" s="484"/>
      <c r="L43" s="484">
        <f t="shared" si="14"/>
        <v>1709.4019288788054</v>
      </c>
      <c r="M43" s="484"/>
      <c r="N43" s="484"/>
      <c r="O43" s="484">
        <f t="shared" si="15"/>
        <v>801.82749551238703</v>
      </c>
      <c r="P43" s="484"/>
      <c r="Q43" s="484"/>
      <c r="R43" s="182">
        <f t="shared" si="4"/>
        <v>0</v>
      </c>
      <c r="S43" s="182">
        <f t="shared" si="5"/>
        <v>0</v>
      </c>
      <c r="T43" s="484">
        <f t="shared" si="12"/>
        <v>45502.99053338651</v>
      </c>
      <c r="U43" s="484"/>
      <c r="V43" s="484"/>
      <c r="W43" s="484">
        <f t="shared" si="16"/>
        <v>1709.4019288788054</v>
      </c>
      <c r="X43" s="484"/>
      <c r="Y43" s="484"/>
    </row>
    <row r="44" spans="1:25">
      <c r="A44" s="74">
        <v>22</v>
      </c>
      <c r="B44" s="244">
        <f t="shared" si="7"/>
        <v>45011</v>
      </c>
      <c r="C44" s="490">
        <f t="shared" si="13"/>
        <v>45502.99053338651</v>
      </c>
      <c r="D44" s="490"/>
      <c r="E44" s="490"/>
      <c r="F44" s="484">
        <f t="shared" si="9"/>
        <v>796.30233433426395</v>
      </c>
      <c r="G44" s="484"/>
      <c r="H44" s="484">
        <f t="shared" si="10"/>
        <v>95.556280120111666</v>
      </c>
      <c r="I44" s="484"/>
      <c r="J44" s="484">
        <f t="shared" si="11"/>
        <v>891.85861445437558</v>
      </c>
      <c r="K44" s="484"/>
      <c r="L44" s="484">
        <f t="shared" si="14"/>
        <v>1709.4019288788054</v>
      </c>
      <c r="M44" s="484"/>
      <c r="N44" s="484"/>
      <c r="O44" s="491">
        <f>IF(C44="","",L44-J44)</f>
        <v>817.54331442442981</v>
      </c>
      <c r="P44" s="491"/>
      <c r="Q44" s="491"/>
      <c r="R44" s="182">
        <f t="shared" si="4"/>
        <v>0</v>
      </c>
      <c r="S44" s="182">
        <f t="shared" si="5"/>
        <v>0</v>
      </c>
      <c r="T44" s="484">
        <f t="shared" si="12"/>
        <v>44685.447218962079</v>
      </c>
      <c r="U44" s="484"/>
      <c r="V44" s="484"/>
      <c r="W44" s="484">
        <f t="shared" si="16"/>
        <v>1709.4019288788054</v>
      </c>
      <c r="X44" s="484"/>
      <c r="Y44" s="484"/>
    </row>
    <row r="45" spans="1:25">
      <c r="A45" s="74">
        <v>23</v>
      </c>
      <c r="B45" s="244">
        <f t="shared" si="7"/>
        <v>45042</v>
      </c>
      <c r="C45" s="490">
        <f t="shared" si="13"/>
        <v>44685.447218962079</v>
      </c>
      <c r="D45" s="490"/>
      <c r="E45" s="490"/>
      <c r="F45" s="484">
        <f t="shared" si="9"/>
        <v>781.99532633183651</v>
      </c>
      <c r="G45" s="484"/>
      <c r="H45" s="484">
        <f t="shared" si="10"/>
        <v>93.839439159820373</v>
      </c>
      <c r="I45" s="484"/>
      <c r="J45" s="484">
        <f t="shared" si="11"/>
        <v>875.83476549165687</v>
      </c>
      <c r="K45" s="484"/>
      <c r="L45" s="484">
        <f t="shared" si="14"/>
        <v>1709.4019288788054</v>
      </c>
      <c r="M45" s="484"/>
      <c r="N45" s="484"/>
      <c r="O45" s="491">
        <f>IF(C45="","",L45-J45)</f>
        <v>833.56716338714853</v>
      </c>
      <c r="P45" s="491"/>
      <c r="Q45" s="491"/>
      <c r="R45" s="182">
        <f t="shared" si="4"/>
        <v>0</v>
      </c>
      <c r="S45" s="182">
        <f t="shared" si="5"/>
        <v>0</v>
      </c>
      <c r="T45" s="484">
        <f t="shared" si="12"/>
        <v>43851.880055574933</v>
      </c>
      <c r="U45" s="484"/>
      <c r="V45" s="484"/>
      <c r="W45" s="484">
        <f t="shared" si="16"/>
        <v>1709.4019288788054</v>
      </c>
      <c r="X45" s="484"/>
      <c r="Y45" s="484"/>
    </row>
    <row r="46" spans="1:25">
      <c r="A46" s="74">
        <v>24</v>
      </c>
      <c r="B46" s="244">
        <f t="shared" si="7"/>
        <v>45072</v>
      </c>
      <c r="C46" s="490">
        <f t="shared" si="13"/>
        <v>43851.880055574933</v>
      </c>
      <c r="D46" s="490"/>
      <c r="E46" s="490"/>
      <c r="F46" s="484">
        <f>IF(C46="","",(C46*$J$12))</f>
        <v>767.40790097256138</v>
      </c>
      <c r="G46" s="484"/>
      <c r="H46" s="484">
        <f t="shared" si="10"/>
        <v>92.088948116707357</v>
      </c>
      <c r="I46" s="484"/>
      <c r="J46" s="484">
        <f t="shared" si="11"/>
        <v>859.49684908926872</v>
      </c>
      <c r="K46" s="484"/>
      <c r="L46" s="484">
        <f t="shared" si="14"/>
        <v>1709.4019288788054</v>
      </c>
      <c r="M46" s="484"/>
      <c r="N46" s="484"/>
      <c r="O46" s="484">
        <f t="shared" si="15"/>
        <v>849.90507978953667</v>
      </c>
      <c r="P46" s="484"/>
      <c r="Q46" s="484"/>
      <c r="R46" s="182">
        <f t="shared" si="4"/>
        <v>0</v>
      </c>
      <c r="S46" s="182">
        <f t="shared" si="5"/>
        <v>0</v>
      </c>
      <c r="T46" s="484">
        <f t="shared" si="12"/>
        <v>43001.974975785393</v>
      </c>
      <c r="U46" s="484"/>
      <c r="V46" s="484"/>
      <c r="W46" s="484">
        <f t="shared" si="16"/>
        <v>1709.4019288788054</v>
      </c>
      <c r="X46" s="484"/>
      <c r="Y46" s="484"/>
    </row>
    <row r="47" spans="1:25">
      <c r="A47" s="74">
        <v>25</v>
      </c>
      <c r="B47" s="244">
        <f t="shared" si="7"/>
        <v>45103</v>
      </c>
      <c r="C47" s="490">
        <f t="shared" si="13"/>
        <v>43001.974975785393</v>
      </c>
      <c r="D47" s="490"/>
      <c r="E47" s="490"/>
      <c r="F47" s="484">
        <f>IF(C47="","",(C47*$J$12))</f>
        <v>752.53456207624447</v>
      </c>
      <c r="G47" s="484"/>
      <c r="H47" s="484">
        <f>IF(F47="","",(F47*0.12))</f>
        <v>90.304147449149326</v>
      </c>
      <c r="I47" s="484"/>
      <c r="J47" s="484">
        <f t="shared" si="11"/>
        <v>842.83870952539382</v>
      </c>
      <c r="K47" s="484"/>
      <c r="L47" s="484">
        <f t="shared" si="14"/>
        <v>1709.4019288788054</v>
      </c>
      <c r="M47" s="484"/>
      <c r="N47" s="484"/>
      <c r="O47" s="484">
        <f t="shared" si="15"/>
        <v>866.56321935341157</v>
      </c>
      <c r="P47" s="484"/>
      <c r="Q47" s="484"/>
      <c r="R47" s="182">
        <f t="shared" si="4"/>
        <v>0</v>
      </c>
      <c r="S47" s="182">
        <f t="shared" si="5"/>
        <v>0</v>
      </c>
      <c r="T47" s="484">
        <f t="shared" si="12"/>
        <v>42135.411756431982</v>
      </c>
      <c r="U47" s="484"/>
      <c r="V47" s="484"/>
      <c r="W47" s="484">
        <f t="shared" si="16"/>
        <v>1709.4019288788054</v>
      </c>
      <c r="X47" s="484"/>
      <c r="Y47" s="484"/>
    </row>
    <row r="48" spans="1:25">
      <c r="A48" s="74">
        <v>26</v>
      </c>
      <c r="B48" s="244">
        <f t="shared" si="7"/>
        <v>45133</v>
      </c>
      <c r="C48" s="490">
        <f t="shared" si="13"/>
        <v>42135.411756431982</v>
      </c>
      <c r="D48" s="490"/>
      <c r="E48" s="490"/>
      <c r="F48" s="484">
        <f>IF(C48="","",(C48*$J$12))</f>
        <v>737.3697057375598</v>
      </c>
      <c r="G48" s="484"/>
      <c r="H48" s="484">
        <f>IF(F48="","",(F48*0.12))</f>
        <v>88.484364688507171</v>
      </c>
      <c r="I48" s="484"/>
      <c r="J48" s="484">
        <f>IF(F48="","",F48+H48)</f>
        <v>825.85407042606698</v>
      </c>
      <c r="K48" s="484"/>
      <c r="L48" s="484">
        <f t="shared" si="14"/>
        <v>1709.4019288788054</v>
      </c>
      <c r="M48" s="484"/>
      <c r="N48" s="484"/>
      <c r="O48" s="484">
        <f t="shared" si="15"/>
        <v>883.54785845273841</v>
      </c>
      <c r="P48" s="484"/>
      <c r="Q48" s="484"/>
      <c r="R48" s="182">
        <f t="shared" si="4"/>
        <v>0</v>
      </c>
      <c r="S48" s="182">
        <f t="shared" si="5"/>
        <v>0</v>
      </c>
      <c r="T48" s="484">
        <f t="shared" si="12"/>
        <v>41251.863897979245</v>
      </c>
      <c r="U48" s="484"/>
      <c r="V48" s="484"/>
      <c r="W48" s="484">
        <f t="shared" si="16"/>
        <v>1709.4019288788054</v>
      </c>
      <c r="X48" s="484"/>
      <c r="Y48" s="484"/>
    </row>
    <row r="49" spans="1:25">
      <c r="A49" s="74">
        <v>27</v>
      </c>
      <c r="B49" s="244">
        <f t="shared" si="7"/>
        <v>45164</v>
      </c>
      <c r="C49" s="490">
        <f t="shared" si="13"/>
        <v>41251.863897979245</v>
      </c>
      <c r="D49" s="490"/>
      <c r="E49" s="490"/>
      <c r="F49" s="484">
        <f>IF(C49="","",(C49*$J$12))</f>
        <v>721.90761821463684</v>
      </c>
      <c r="G49" s="484"/>
      <c r="H49" s="484">
        <f>IF(F49="","",(F49*0.12))</f>
        <v>86.628914185756415</v>
      </c>
      <c r="I49" s="484"/>
      <c r="J49" s="484">
        <f>IF(F49="","",F49+H49)</f>
        <v>808.5365324003933</v>
      </c>
      <c r="K49" s="484"/>
      <c r="L49" s="484">
        <f t="shared" si="14"/>
        <v>1709.4019288788054</v>
      </c>
      <c r="M49" s="484"/>
      <c r="N49" s="484"/>
      <c r="O49" s="484">
        <f t="shared" si="15"/>
        <v>900.86539647841209</v>
      </c>
      <c r="P49" s="484"/>
      <c r="Q49" s="484"/>
      <c r="R49" s="182">
        <f t="shared" si="4"/>
        <v>0</v>
      </c>
      <c r="S49" s="182">
        <f t="shared" si="5"/>
        <v>0</v>
      </c>
      <c r="T49" s="484">
        <f t="shared" si="12"/>
        <v>40350.998501500835</v>
      </c>
      <c r="U49" s="484"/>
      <c r="V49" s="484"/>
      <c r="W49" s="484">
        <f>IF(C49="","",$W$22)</f>
        <v>1709.4019288788054</v>
      </c>
      <c r="X49" s="484"/>
      <c r="Y49" s="484"/>
    </row>
    <row r="50" spans="1:25">
      <c r="A50" s="74">
        <v>28</v>
      </c>
      <c r="B50" s="244">
        <f t="shared" si="7"/>
        <v>45195</v>
      </c>
      <c r="C50" s="490">
        <f t="shared" si="13"/>
        <v>40350.998501500835</v>
      </c>
      <c r="D50" s="490"/>
      <c r="E50" s="490"/>
      <c r="F50" s="484">
        <f t="shared" ref="F50:F55" si="17">IF(C50="","",(C50*$J$12))</f>
        <v>706.14247377626464</v>
      </c>
      <c r="G50" s="484"/>
      <c r="H50" s="484">
        <f t="shared" ref="H50:H55" si="18">IF(F50="","",(F50*0.12))</f>
        <v>84.737096853151755</v>
      </c>
      <c r="I50" s="484"/>
      <c r="J50" s="484">
        <f>IF(F50="","",F50+H50)</f>
        <v>790.87957062941643</v>
      </c>
      <c r="K50" s="484"/>
      <c r="L50" s="484">
        <f t="shared" si="14"/>
        <v>1709.4019288788054</v>
      </c>
      <c r="M50" s="484"/>
      <c r="N50" s="484"/>
      <c r="O50" s="484">
        <f t="shared" si="15"/>
        <v>918.52235824938896</v>
      </c>
      <c r="P50" s="484"/>
      <c r="Q50" s="484"/>
      <c r="R50" s="182">
        <f t="shared" si="4"/>
        <v>0</v>
      </c>
      <c r="S50" s="182">
        <f t="shared" si="5"/>
        <v>0</v>
      </c>
      <c r="T50" s="484">
        <f t="shared" si="12"/>
        <v>39432.47614325145</v>
      </c>
      <c r="U50" s="484"/>
      <c r="V50" s="484"/>
      <c r="W50" s="484">
        <f t="shared" ref="W50:W69" si="19">IF(C50="","",$W$22)</f>
        <v>1709.4019288788054</v>
      </c>
      <c r="X50" s="484"/>
      <c r="Y50" s="484"/>
    </row>
    <row r="51" spans="1:25">
      <c r="A51" s="74">
        <v>29</v>
      </c>
      <c r="B51" s="244">
        <f t="shared" si="7"/>
        <v>45225</v>
      </c>
      <c r="C51" s="490">
        <f t="shared" si="13"/>
        <v>39432.47614325145</v>
      </c>
      <c r="D51" s="490"/>
      <c r="E51" s="490"/>
      <c r="F51" s="484">
        <f t="shared" si="17"/>
        <v>690.06833250690045</v>
      </c>
      <c r="G51" s="484"/>
      <c r="H51" s="484">
        <f t="shared" si="18"/>
        <v>82.808199900828058</v>
      </c>
      <c r="I51" s="484"/>
      <c r="J51" s="484">
        <f>IF(F51="","",F51+H51)</f>
        <v>772.87653240772852</v>
      </c>
      <c r="K51" s="484"/>
      <c r="L51" s="484">
        <f t="shared" si="14"/>
        <v>1709.4019288788054</v>
      </c>
      <c r="M51" s="484"/>
      <c r="N51" s="484"/>
      <c r="O51" s="484">
        <f t="shared" si="15"/>
        <v>936.52539647107687</v>
      </c>
      <c r="P51" s="484"/>
      <c r="Q51" s="484"/>
      <c r="R51" s="182">
        <f t="shared" si="4"/>
        <v>0</v>
      </c>
      <c r="S51" s="182">
        <f t="shared" si="5"/>
        <v>0</v>
      </c>
      <c r="T51" s="484">
        <f t="shared" si="12"/>
        <v>38495.950746780371</v>
      </c>
      <c r="U51" s="484"/>
      <c r="V51" s="484"/>
      <c r="W51" s="484">
        <f t="shared" si="19"/>
        <v>1709.4019288788054</v>
      </c>
      <c r="X51" s="484"/>
      <c r="Y51" s="484"/>
    </row>
    <row r="52" spans="1:25">
      <c r="A52" s="74">
        <v>30</v>
      </c>
      <c r="B52" s="244">
        <f t="shared" si="7"/>
        <v>45256</v>
      </c>
      <c r="C52" s="490">
        <f t="shared" si="13"/>
        <v>38495.950746780371</v>
      </c>
      <c r="D52" s="490"/>
      <c r="E52" s="490"/>
      <c r="F52" s="484">
        <f t="shared" si="17"/>
        <v>673.67913806865658</v>
      </c>
      <c r="G52" s="484"/>
      <c r="H52" s="484">
        <f t="shared" si="18"/>
        <v>80.841496568238782</v>
      </c>
      <c r="I52" s="484"/>
      <c r="J52" s="484">
        <f t="shared" ref="J52:J66" si="20">IF(F52="","",F52+H52)</f>
        <v>754.52063463689535</v>
      </c>
      <c r="K52" s="484"/>
      <c r="L52" s="484">
        <f t="shared" si="14"/>
        <v>1709.4019288788054</v>
      </c>
      <c r="M52" s="484"/>
      <c r="N52" s="484"/>
      <c r="O52" s="484">
        <f t="shared" si="15"/>
        <v>954.88129424191004</v>
      </c>
      <c r="P52" s="484"/>
      <c r="Q52" s="484"/>
      <c r="R52" s="182">
        <f t="shared" si="4"/>
        <v>0</v>
      </c>
      <c r="S52" s="182">
        <f t="shared" si="5"/>
        <v>0</v>
      </c>
      <c r="T52" s="484">
        <f t="shared" si="12"/>
        <v>37541.069452538461</v>
      </c>
      <c r="U52" s="484"/>
      <c r="V52" s="484"/>
      <c r="W52" s="484">
        <f t="shared" si="19"/>
        <v>1709.4019288788054</v>
      </c>
      <c r="X52" s="484"/>
      <c r="Y52" s="484"/>
    </row>
    <row r="53" spans="1:25">
      <c r="A53" s="74">
        <v>31</v>
      </c>
      <c r="B53" s="244">
        <f t="shared" si="7"/>
        <v>45286</v>
      </c>
      <c r="C53" s="490">
        <f t="shared" si="13"/>
        <v>37541.069452538461</v>
      </c>
      <c r="D53" s="490"/>
      <c r="E53" s="490"/>
      <c r="F53" s="484">
        <f t="shared" si="17"/>
        <v>656.96871541942312</v>
      </c>
      <c r="G53" s="484"/>
      <c r="H53" s="484">
        <f t="shared" si="18"/>
        <v>78.836245850330769</v>
      </c>
      <c r="I53" s="484"/>
      <c r="J53" s="484">
        <f t="shared" si="20"/>
        <v>735.8049612697539</v>
      </c>
      <c r="K53" s="484"/>
      <c r="L53" s="484">
        <f t="shared" si="14"/>
        <v>1709.4019288788054</v>
      </c>
      <c r="M53" s="484"/>
      <c r="N53" s="484"/>
      <c r="O53" s="484">
        <f t="shared" si="15"/>
        <v>973.59696760905149</v>
      </c>
      <c r="P53" s="484"/>
      <c r="Q53" s="484"/>
      <c r="R53" s="182">
        <f t="shared" si="4"/>
        <v>0</v>
      </c>
      <c r="S53" s="182">
        <f t="shared" si="5"/>
        <v>0</v>
      </c>
      <c r="T53" s="484">
        <f t="shared" si="12"/>
        <v>36567.472484929407</v>
      </c>
      <c r="U53" s="484"/>
      <c r="V53" s="484"/>
      <c r="W53" s="484">
        <f t="shared" si="19"/>
        <v>1709.4019288788054</v>
      </c>
      <c r="X53" s="484"/>
      <c r="Y53" s="484"/>
    </row>
    <row r="54" spans="1:25">
      <c r="A54" s="74">
        <v>32</v>
      </c>
      <c r="B54" s="244">
        <f t="shared" si="7"/>
        <v>45317</v>
      </c>
      <c r="C54" s="490">
        <f t="shared" si="13"/>
        <v>36567.472484929407</v>
      </c>
      <c r="D54" s="490"/>
      <c r="E54" s="490"/>
      <c r="F54" s="484">
        <f t="shared" si="17"/>
        <v>639.9307684862647</v>
      </c>
      <c r="G54" s="484"/>
      <c r="H54" s="484">
        <f t="shared" si="18"/>
        <v>76.791692218351756</v>
      </c>
      <c r="I54" s="484"/>
      <c r="J54" s="484">
        <f t="shared" si="20"/>
        <v>716.72246070461642</v>
      </c>
      <c r="K54" s="484"/>
      <c r="L54" s="484">
        <f t="shared" si="14"/>
        <v>1709.4019288788054</v>
      </c>
      <c r="M54" s="484"/>
      <c r="N54" s="484"/>
      <c r="O54" s="484">
        <f t="shared" si="15"/>
        <v>992.67946817418897</v>
      </c>
      <c r="P54" s="484"/>
      <c r="Q54" s="484"/>
      <c r="R54" s="182">
        <f t="shared" ref="R54:R70" si="21">IF(C54="","",$J$14)</f>
        <v>0</v>
      </c>
      <c r="S54" s="182">
        <f t="shared" ref="S54:S70" si="22">IF(C54="","",$J$15)</f>
        <v>0</v>
      </c>
      <c r="T54" s="484">
        <f t="shared" si="12"/>
        <v>35574.793016755219</v>
      </c>
      <c r="U54" s="484"/>
      <c r="V54" s="484"/>
      <c r="W54" s="484">
        <f t="shared" si="19"/>
        <v>1709.4019288788054</v>
      </c>
      <c r="X54" s="484"/>
      <c r="Y54" s="484"/>
    </row>
    <row r="55" spans="1:25">
      <c r="A55" s="74">
        <v>33</v>
      </c>
      <c r="B55" s="244">
        <f t="shared" si="7"/>
        <v>45348</v>
      </c>
      <c r="C55" s="490">
        <f t="shared" si="13"/>
        <v>35574.793016755219</v>
      </c>
      <c r="D55" s="490"/>
      <c r="E55" s="490"/>
      <c r="F55" s="484">
        <f t="shared" si="17"/>
        <v>622.55887779321642</v>
      </c>
      <c r="G55" s="484"/>
      <c r="H55" s="484">
        <f t="shared" si="18"/>
        <v>74.707065335185973</v>
      </c>
      <c r="I55" s="484"/>
      <c r="J55" s="484">
        <f t="shared" si="20"/>
        <v>697.26594312840234</v>
      </c>
      <c r="K55" s="484"/>
      <c r="L55" s="484">
        <f t="shared" si="14"/>
        <v>1709.4019288788054</v>
      </c>
      <c r="M55" s="484"/>
      <c r="N55" s="484"/>
      <c r="O55" s="484">
        <f>IF(C55="","",L55-J55)</f>
        <v>1012.1359857504031</v>
      </c>
      <c r="P55" s="484"/>
      <c r="Q55" s="484"/>
      <c r="R55" s="182">
        <f t="shared" si="21"/>
        <v>0</v>
      </c>
      <c r="S55" s="182">
        <f t="shared" si="22"/>
        <v>0</v>
      </c>
      <c r="T55" s="484">
        <f t="shared" si="12"/>
        <v>34562.657031004812</v>
      </c>
      <c r="U55" s="484"/>
      <c r="V55" s="484"/>
      <c r="W55" s="484">
        <f t="shared" si="19"/>
        <v>1709.4019288788054</v>
      </c>
      <c r="X55" s="484"/>
      <c r="Y55" s="484"/>
    </row>
    <row r="56" spans="1:25">
      <c r="A56" s="74">
        <v>34</v>
      </c>
      <c r="B56" s="244">
        <f t="shared" si="7"/>
        <v>45377</v>
      </c>
      <c r="C56" s="490">
        <f t="shared" si="13"/>
        <v>34562.657031004812</v>
      </c>
      <c r="D56" s="490"/>
      <c r="E56" s="490"/>
      <c r="F56" s="484">
        <f>IF(C56="","",(C56*$J$12))</f>
        <v>604.84649804258424</v>
      </c>
      <c r="G56" s="484"/>
      <c r="H56" s="484">
        <f>IF(F56="","",(F56*0.12))</f>
        <v>72.581579765110106</v>
      </c>
      <c r="I56" s="484"/>
      <c r="J56" s="484">
        <f t="shared" si="20"/>
        <v>677.42807780769431</v>
      </c>
      <c r="K56" s="484"/>
      <c r="L56" s="484">
        <f t="shared" si="14"/>
        <v>1709.4019288788054</v>
      </c>
      <c r="M56" s="484"/>
      <c r="N56" s="484"/>
      <c r="O56" s="491">
        <f>IF(C56="","",L56-J56)</f>
        <v>1031.9738510711111</v>
      </c>
      <c r="P56" s="491"/>
      <c r="Q56" s="491"/>
      <c r="R56" s="182">
        <f t="shared" si="21"/>
        <v>0</v>
      </c>
      <c r="S56" s="182">
        <f t="shared" si="22"/>
        <v>0</v>
      </c>
      <c r="T56" s="484">
        <f t="shared" si="12"/>
        <v>33530.683179933701</v>
      </c>
      <c r="U56" s="484"/>
      <c r="V56" s="484"/>
      <c r="W56" s="484">
        <f t="shared" si="19"/>
        <v>1709.4019288788054</v>
      </c>
      <c r="X56" s="484"/>
      <c r="Y56" s="484"/>
    </row>
    <row r="57" spans="1:25">
      <c r="A57" s="74">
        <v>35</v>
      </c>
      <c r="B57" s="244">
        <f t="shared" si="7"/>
        <v>45408</v>
      </c>
      <c r="C57" s="490">
        <f>IF(T56&lt;=0.1,"",T56)</f>
        <v>33530.683179933701</v>
      </c>
      <c r="D57" s="490"/>
      <c r="E57" s="490"/>
      <c r="F57" s="484">
        <f>IF(C57="","",(C57*$J$12))</f>
        <v>586.78695564883981</v>
      </c>
      <c r="G57" s="484"/>
      <c r="H57" s="484">
        <f>IF(F57="","",(F57*0.12))</f>
        <v>70.414434677860768</v>
      </c>
      <c r="I57" s="484"/>
      <c r="J57" s="484">
        <f t="shared" si="20"/>
        <v>657.20139032670056</v>
      </c>
      <c r="K57" s="484"/>
      <c r="L57" s="484">
        <f t="shared" si="14"/>
        <v>1709.4019288788054</v>
      </c>
      <c r="M57" s="484"/>
      <c r="N57" s="484"/>
      <c r="O57" s="491">
        <f>IF(C57="","",L57-J57)</f>
        <v>1052.2005385521047</v>
      </c>
      <c r="P57" s="491"/>
      <c r="Q57" s="491"/>
      <c r="R57" s="182">
        <f t="shared" si="21"/>
        <v>0</v>
      </c>
      <c r="S57" s="182">
        <f t="shared" si="22"/>
        <v>0</v>
      </c>
      <c r="T57" s="484">
        <f t="shared" si="12"/>
        <v>32478.482641381597</v>
      </c>
      <c r="U57" s="484"/>
      <c r="V57" s="484"/>
      <c r="W57" s="484">
        <f t="shared" si="19"/>
        <v>1709.4019288788054</v>
      </c>
      <c r="X57" s="484"/>
      <c r="Y57" s="484"/>
    </row>
    <row r="58" spans="1:25">
      <c r="A58" s="74">
        <v>36</v>
      </c>
      <c r="B58" s="244">
        <f t="shared" si="7"/>
        <v>45438</v>
      </c>
      <c r="C58" s="490">
        <f t="shared" ref="C58:C66" si="23">IF(T57&lt;=0.1,"",T57)</f>
        <v>32478.482641381597</v>
      </c>
      <c r="D58" s="490"/>
      <c r="E58" s="490"/>
      <c r="F58" s="484">
        <f t="shared" ref="F58:F69" si="24">IF(C58="","",(C58*$J$12))</f>
        <v>568.373446224178</v>
      </c>
      <c r="G58" s="484"/>
      <c r="H58" s="484">
        <f t="shared" ref="H58:H69" si="25">IF(F58="","",(F58*0.12))</f>
        <v>68.204813546901363</v>
      </c>
      <c r="I58" s="484"/>
      <c r="J58" s="484">
        <f t="shared" si="20"/>
        <v>636.57825977107939</v>
      </c>
      <c r="K58" s="484"/>
      <c r="L58" s="484">
        <f t="shared" si="14"/>
        <v>1709.4019288788054</v>
      </c>
      <c r="M58" s="484"/>
      <c r="N58" s="484"/>
      <c r="O58" s="491">
        <f t="shared" ref="O58:O68" si="26">IF(C58="","",L58-J58)</f>
        <v>1072.8236691077259</v>
      </c>
      <c r="P58" s="491"/>
      <c r="Q58" s="491"/>
      <c r="R58" s="182">
        <f t="shared" si="21"/>
        <v>0</v>
      </c>
      <c r="S58" s="182">
        <f t="shared" si="22"/>
        <v>0</v>
      </c>
      <c r="T58" s="484">
        <f t="shared" si="12"/>
        <v>31405.658972273872</v>
      </c>
      <c r="U58" s="484"/>
      <c r="V58" s="484"/>
      <c r="W58" s="484">
        <f t="shared" si="19"/>
        <v>1709.4019288788054</v>
      </c>
      <c r="X58" s="484"/>
      <c r="Y58" s="484"/>
    </row>
    <row r="59" spans="1:25">
      <c r="A59" s="74">
        <v>37</v>
      </c>
      <c r="B59" s="244">
        <f t="shared" si="7"/>
        <v>45469</v>
      </c>
      <c r="C59" s="490">
        <f t="shared" si="23"/>
        <v>31405.658972273872</v>
      </c>
      <c r="D59" s="490"/>
      <c r="E59" s="490"/>
      <c r="F59" s="484">
        <f t="shared" si="24"/>
        <v>549.59903201479278</v>
      </c>
      <c r="G59" s="484"/>
      <c r="H59" s="484">
        <f t="shared" si="25"/>
        <v>65.951883841775128</v>
      </c>
      <c r="I59" s="484"/>
      <c r="J59" s="484">
        <f t="shared" si="20"/>
        <v>615.55091585656794</v>
      </c>
      <c r="K59" s="484"/>
      <c r="L59" s="484">
        <f t="shared" si="14"/>
        <v>1709.4019288788054</v>
      </c>
      <c r="M59" s="484"/>
      <c r="N59" s="484"/>
      <c r="O59" s="491">
        <f t="shared" si="26"/>
        <v>1093.8510130222376</v>
      </c>
      <c r="P59" s="491"/>
      <c r="Q59" s="491"/>
      <c r="R59" s="182">
        <f t="shared" si="21"/>
        <v>0</v>
      </c>
      <c r="S59" s="182">
        <f t="shared" si="22"/>
        <v>0</v>
      </c>
      <c r="T59" s="484">
        <f t="shared" si="12"/>
        <v>30311.807959251633</v>
      </c>
      <c r="U59" s="484"/>
      <c r="V59" s="484"/>
      <c r="W59" s="484">
        <f t="shared" si="19"/>
        <v>1709.4019288788054</v>
      </c>
      <c r="X59" s="484"/>
      <c r="Y59" s="484"/>
    </row>
    <row r="60" spans="1:25">
      <c r="A60" s="74">
        <v>38</v>
      </c>
      <c r="B60" s="244">
        <f t="shared" si="7"/>
        <v>45499</v>
      </c>
      <c r="C60" s="490">
        <f t="shared" si="23"/>
        <v>30311.807959251633</v>
      </c>
      <c r="D60" s="490"/>
      <c r="E60" s="490"/>
      <c r="F60" s="484">
        <f t="shared" si="24"/>
        <v>530.45663928690362</v>
      </c>
      <c r="G60" s="484"/>
      <c r="H60" s="484">
        <f t="shared" si="25"/>
        <v>63.654796714428436</v>
      </c>
      <c r="I60" s="484"/>
      <c r="J60" s="484">
        <f t="shared" si="20"/>
        <v>594.11143600133209</v>
      </c>
      <c r="K60" s="484"/>
      <c r="L60" s="484">
        <f t="shared" si="14"/>
        <v>1709.4019288788054</v>
      </c>
      <c r="M60" s="484"/>
      <c r="N60" s="484"/>
      <c r="O60" s="491">
        <f t="shared" si="26"/>
        <v>1115.2904928774733</v>
      </c>
      <c r="P60" s="491"/>
      <c r="Q60" s="491"/>
      <c r="R60" s="182">
        <f t="shared" si="21"/>
        <v>0</v>
      </c>
      <c r="S60" s="182">
        <f t="shared" si="22"/>
        <v>0</v>
      </c>
      <c r="T60" s="484">
        <f t="shared" si="12"/>
        <v>29196.51746637416</v>
      </c>
      <c r="U60" s="484"/>
      <c r="V60" s="484"/>
      <c r="W60" s="484">
        <f t="shared" si="19"/>
        <v>1709.4019288788054</v>
      </c>
      <c r="X60" s="484"/>
      <c r="Y60" s="484"/>
    </row>
    <row r="61" spans="1:25">
      <c r="A61" s="74">
        <v>39</v>
      </c>
      <c r="B61" s="244">
        <f t="shared" si="7"/>
        <v>45530</v>
      </c>
      <c r="C61" s="490">
        <f t="shared" si="23"/>
        <v>29196.51746637416</v>
      </c>
      <c r="D61" s="490"/>
      <c r="E61" s="490"/>
      <c r="F61" s="484">
        <f t="shared" si="24"/>
        <v>510.93905566154785</v>
      </c>
      <c r="G61" s="484"/>
      <c r="H61" s="484">
        <f t="shared" si="25"/>
        <v>61.312686679385742</v>
      </c>
      <c r="I61" s="484"/>
      <c r="J61" s="484">
        <f t="shared" si="20"/>
        <v>572.25174234093356</v>
      </c>
      <c r="K61" s="484"/>
      <c r="L61" s="484">
        <f t="shared" si="14"/>
        <v>1709.4019288788054</v>
      </c>
      <c r="M61" s="484"/>
      <c r="N61" s="484"/>
      <c r="O61" s="491">
        <f t="shared" si="26"/>
        <v>1137.1501865378718</v>
      </c>
      <c r="P61" s="491"/>
      <c r="Q61" s="491"/>
      <c r="R61" s="182">
        <f t="shared" si="21"/>
        <v>0</v>
      </c>
      <c r="S61" s="182">
        <f t="shared" si="22"/>
        <v>0</v>
      </c>
      <c r="T61" s="484">
        <f t="shared" si="12"/>
        <v>28059.36727983629</v>
      </c>
      <c r="U61" s="484"/>
      <c r="V61" s="484"/>
      <c r="W61" s="484">
        <f t="shared" si="19"/>
        <v>1709.4019288788054</v>
      </c>
      <c r="X61" s="484"/>
      <c r="Y61" s="484"/>
    </row>
    <row r="62" spans="1:25">
      <c r="A62" s="74">
        <v>40</v>
      </c>
      <c r="B62" s="244">
        <f t="shared" si="7"/>
        <v>45561</v>
      </c>
      <c r="C62" s="490">
        <f t="shared" si="23"/>
        <v>28059.36727983629</v>
      </c>
      <c r="D62" s="490"/>
      <c r="E62" s="490"/>
      <c r="F62" s="484">
        <f t="shared" si="24"/>
        <v>491.03892739713513</v>
      </c>
      <c r="G62" s="484"/>
      <c r="H62" s="484">
        <f t="shared" si="25"/>
        <v>58.92467128765621</v>
      </c>
      <c r="I62" s="484"/>
      <c r="J62" s="484">
        <f t="shared" si="20"/>
        <v>549.96359868479135</v>
      </c>
      <c r="K62" s="484"/>
      <c r="L62" s="484">
        <f t="shared" si="14"/>
        <v>1709.4019288788054</v>
      </c>
      <c r="M62" s="484"/>
      <c r="N62" s="484"/>
      <c r="O62" s="491">
        <f t="shared" si="26"/>
        <v>1159.438330194014</v>
      </c>
      <c r="P62" s="491"/>
      <c r="Q62" s="491"/>
      <c r="R62" s="182">
        <f t="shared" si="21"/>
        <v>0</v>
      </c>
      <c r="S62" s="182">
        <f t="shared" si="22"/>
        <v>0</v>
      </c>
      <c r="T62" s="484">
        <f t="shared" si="12"/>
        <v>26899.928949642275</v>
      </c>
      <c r="U62" s="484"/>
      <c r="V62" s="484"/>
      <c r="W62" s="484">
        <f t="shared" si="19"/>
        <v>1709.4019288788054</v>
      </c>
      <c r="X62" s="484"/>
      <c r="Y62" s="484"/>
    </row>
    <row r="63" spans="1:25">
      <c r="A63" s="74">
        <v>41</v>
      </c>
      <c r="B63" s="244">
        <f t="shared" si="7"/>
        <v>45591</v>
      </c>
      <c r="C63" s="490">
        <f t="shared" si="23"/>
        <v>26899.928949642275</v>
      </c>
      <c r="D63" s="490"/>
      <c r="E63" s="490"/>
      <c r="F63" s="484">
        <f t="shared" si="24"/>
        <v>470.74875661873989</v>
      </c>
      <c r="G63" s="484"/>
      <c r="H63" s="484">
        <f t="shared" si="25"/>
        <v>56.489850794248788</v>
      </c>
      <c r="I63" s="484"/>
      <c r="J63" s="484">
        <f t="shared" si="20"/>
        <v>527.2386074129887</v>
      </c>
      <c r="K63" s="484"/>
      <c r="L63" s="484">
        <f t="shared" si="14"/>
        <v>1709.4019288788054</v>
      </c>
      <c r="M63" s="484"/>
      <c r="N63" s="484"/>
      <c r="O63" s="491">
        <f t="shared" si="26"/>
        <v>1182.1633214658168</v>
      </c>
      <c r="P63" s="491"/>
      <c r="Q63" s="491"/>
      <c r="R63" s="182">
        <f t="shared" si="21"/>
        <v>0</v>
      </c>
      <c r="S63" s="182">
        <f t="shared" si="22"/>
        <v>0</v>
      </c>
      <c r="T63" s="484">
        <f t="shared" si="12"/>
        <v>25717.765628176458</v>
      </c>
      <c r="U63" s="484"/>
      <c r="V63" s="484"/>
      <c r="W63" s="484">
        <f t="shared" si="19"/>
        <v>1709.4019288788054</v>
      </c>
      <c r="X63" s="484"/>
      <c r="Y63" s="484"/>
    </row>
    <row r="64" spans="1:25">
      <c r="A64" s="74">
        <v>42</v>
      </c>
      <c r="B64" s="244">
        <f t="shared" si="7"/>
        <v>45622</v>
      </c>
      <c r="C64" s="490">
        <f t="shared" si="23"/>
        <v>25717.765628176458</v>
      </c>
      <c r="D64" s="490"/>
      <c r="E64" s="490"/>
      <c r="F64" s="484">
        <f t="shared" si="24"/>
        <v>450.06089849308808</v>
      </c>
      <c r="G64" s="484"/>
      <c r="H64" s="484">
        <f t="shared" si="25"/>
        <v>54.00730781917057</v>
      </c>
      <c r="I64" s="484"/>
      <c r="J64" s="484">
        <f t="shared" si="20"/>
        <v>504.06820631225867</v>
      </c>
      <c r="K64" s="484"/>
      <c r="L64" s="484">
        <f t="shared" si="14"/>
        <v>1709.4019288788054</v>
      </c>
      <c r="M64" s="484"/>
      <c r="N64" s="484"/>
      <c r="O64" s="491">
        <f t="shared" si="26"/>
        <v>1205.3337225665468</v>
      </c>
      <c r="P64" s="491"/>
      <c r="Q64" s="491"/>
      <c r="R64" s="182">
        <f t="shared" si="21"/>
        <v>0</v>
      </c>
      <c r="S64" s="182">
        <f t="shared" si="22"/>
        <v>0</v>
      </c>
      <c r="T64" s="484">
        <f t="shared" si="12"/>
        <v>24512.431905609912</v>
      </c>
      <c r="U64" s="484"/>
      <c r="V64" s="484"/>
      <c r="W64" s="484">
        <f t="shared" si="19"/>
        <v>1709.4019288788054</v>
      </c>
      <c r="X64" s="484"/>
      <c r="Y64" s="484"/>
    </row>
    <row r="65" spans="1:25">
      <c r="A65" s="74">
        <v>43</v>
      </c>
      <c r="B65" s="244">
        <f t="shared" si="7"/>
        <v>45652</v>
      </c>
      <c r="C65" s="490">
        <f t="shared" si="23"/>
        <v>24512.431905609912</v>
      </c>
      <c r="D65" s="490"/>
      <c r="E65" s="490"/>
      <c r="F65" s="484">
        <f t="shared" si="24"/>
        <v>428.9675583481735</v>
      </c>
      <c r="G65" s="484"/>
      <c r="H65" s="484">
        <f t="shared" si="25"/>
        <v>51.476107001780818</v>
      </c>
      <c r="I65" s="484"/>
      <c r="J65" s="484">
        <f t="shared" si="20"/>
        <v>480.4436653499543</v>
      </c>
      <c r="K65" s="484"/>
      <c r="L65" s="484">
        <f t="shared" si="14"/>
        <v>1709.4019288788054</v>
      </c>
      <c r="M65" s="484"/>
      <c r="N65" s="484"/>
      <c r="O65" s="491">
        <f t="shared" si="26"/>
        <v>1228.9582635288511</v>
      </c>
      <c r="P65" s="491"/>
      <c r="Q65" s="491"/>
      <c r="R65" s="182">
        <f t="shared" si="21"/>
        <v>0</v>
      </c>
      <c r="S65" s="182">
        <f t="shared" si="22"/>
        <v>0</v>
      </c>
      <c r="T65" s="484">
        <f t="shared" si="12"/>
        <v>23283.473642081062</v>
      </c>
      <c r="U65" s="484"/>
      <c r="V65" s="484"/>
      <c r="W65" s="484">
        <f t="shared" si="19"/>
        <v>1709.4019288788054</v>
      </c>
      <c r="X65" s="484"/>
      <c r="Y65" s="484"/>
    </row>
    <row r="66" spans="1:25">
      <c r="A66" s="74">
        <v>44</v>
      </c>
      <c r="B66" s="244">
        <f t="shared" si="7"/>
        <v>45683</v>
      </c>
      <c r="C66" s="490">
        <f t="shared" si="23"/>
        <v>23283.473642081062</v>
      </c>
      <c r="D66" s="490"/>
      <c r="E66" s="490"/>
      <c r="F66" s="484">
        <f t="shared" si="24"/>
        <v>407.46078873641864</v>
      </c>
      <c r="G66" s="484"/>
      <c r="H66" s="484">
        <f t="shared" si="25"/>
        <v>48.895294648370232</v>
      </c>
      <c r="I66" s="484"/>
      <c r="J66" s="484">
        <f t="shared" si="20"/>
        <v>456.35608338478886</v>
      </c>
      <c r="K66" s="484"/>
      <c r="L66" s="484">
        <f t="shared" si="14"/>
        <v>1709.4019288788054</v>
      </c>
      <c r="M66" s="484"/>
      <c r="N66" s="484"/>
      <c r="O66" s="491">
        <f t="shared" si="26"/>
        <v>1253.0458454940165</v>
      </c>
      <c r="P66" s="491"/>
      <c r="Q66" s="491"/>
      <c r="R66" s="182">
        <f t="shared" si="21"/>
        <v>0</v>
      </c>
      <c r="S66" s="182">
        <f t="shared" si="22"/>
        <v>0</v>
      </c>
      <c r="T66" s="484">
        <f t="shared" si="12"/>
        <v>22030.427796587046</v>
      </c>
      <c r="U66" s="484"/>
      <c r="V66" s="484"/>
      <c r="W66" s="484">
        <f t="shared" si="19"/>
        <v>1709.4019288788054</v>
      </c>
      <c r="X66" s="484"/>
      <c r="Y66" s="484"/>
    </row>
    <row r="67" spans="1:25">
      <c r="A67" s="74">
        <v>45</v>
      </c>
      <c r="B67" s="244">
        <f t="shared" si="7"/>
        <v>45714</v>
      </c>
      <c r="C67" s="490">
        <f>IF(T66&lt;=0.1,"",T66)</f>
        <v>22030.427796587046</v>
      </c>
      <c r="D67" s="490"/>
      <c r="E67" s="490"/>
      <c r="F67" s="484">
        <f t="shared" si="24"/>
        <v>385.53248644027332</v>
      </c>
      <c r="G67" s="484"/>
      <c r="H67" s="484">
        <f t="shared" si="25"/>
        <v>46.263898372832799</v>
      </c>
      <c r="I67" s="484"/>
      <c r="J67" s="484">
        <f>IF(F67="","",F67+H67)</f>
        <v>431.7963848131061</v>
      </c>
      <c r="K67" s="484"/>
      <c r="L67" s="484">
        <f t="shared" si="14"/>
        <v>1709.4019288788054</v>
      </c>
      <c r="M67" s="484"/>
      <c r="N67" s="484"/>
      <c r="O67" s="491">
        <f t="shared" si="26"/>
        <v>1277.6055440656992</v>
      </c>
      <c r="P67" s="491"/>
      <c r="Q67" s="491"/>
      <c r="R67" s="182">
        <f t="shared" si="21"/>
        <v>0</v>
      </c>
      <c r="S67" s="182">
        <f t="shared" si="22"/>
        <v>0</v>
      </c>
      <c r="T67" s="484">
        <f t="shared" si="12"/>
        <v>20752.822252521346</v>
      </c>
      <c r="U67" s="484"/>
      <c r="V67" s="484"/>
      <c r="W67" s="484">
        <f t="shared" si="19"/>
        <v>1709.4019288788054</v>
      </c>
      <c r="X67" s="484"/>
      <c r="Y67" s="484"/>
    </row>
    <row r="68" spans="1:25">
      <c r="A68" s="74">
        <v>46</v>
      </c>
      <c r="B68" s="244">
        <f t="shared" si="7"/>
        <v>45742</v>
      </c>
      <c r="C68" s="490">
        <f>IF(T67&lt;=0.1,"",T67)</f>
        <v>20752.822252521346</v>
      </c>
      <c r="D68" s="490"/>
      <c r="E68" s="490"/>
      <c r="F68" s="484">
        <f t="shared" si="24"/>
        <v>363.1743894191236</v>
      </c>
      <c r="G68" s="484"/>
      <c r="H68" s="484">
        <f t="shared" si="25"/>
        <v>43.580926730294827</v>
      </c>
      <c r="I68" s="484"/>
      <c r="J68" s="484">
        <f>IF(F68="","",F68+H68)</f>
        <v>406.75531614941843</v>
      </c>
      <c r="K68" s="484"/>
      <c r="L68" s="484">
        <f t="shared" si="14"/>
        <v>1709.4019288788054</v>
      </c>
      <c r="M68" s="484"/>
      <c r="N68" s="484"/>
      <c r="O68" s="491">
        <f t="shared" si="26"/>
        <v>1302.646612729387</v>
      </c>
      <c r="P68" s="491"/>
      <c r="Q68" s="491"/>
      <c r="R68" s="182">
        <f t="shared" si="21"/>
        <v>0</v>
      </c>
      <c r="S68" s="182">
        <f t="shared" si="22"/>
        <v>0</v>
      </c>
      <c r="T68" s="484">
        <f t="shared" si="12"/>
        <v>19450.17563979196</v>
      </c>
      <c r="U68" s="484"/>
      <c r="V68" s="484"/>
      <c r="W68" s="484">
        <f t="shared" si="19"/>
        <v>1709.4019288788054</v>
      </c>
      <c r="X68" s="484"/>
      <c r="Y68" s="484"/>
    </row>
    <row r="69" spans="1:25">
      <c r="A69" s="74">
        <v>47</v>
      </c>
      <c r="B69" s="244">
        <f t="shared" si="7"/>
        <v>45773</v>
      </c>
      <c r="C69" s="490">
        <f>IF(T68&lt;=0.1,"",T68)</f>
        <v>19450.17563979196</v>
      </c>
      <c r="D69" s="490"/>
      <c r="E69" s="490"/>
      <c r="F69" s="484">
        <f t="shared" si="24"/>
        <v>340.37807369635931</v>
      </c>
      <c r="G69" s="484"/>
      <c r="H69" s="484">
        <f t="shared" si="25"/>
        <v>40.845368843563115</v>
      </c>
      <c r="I69" s="484"/>
      <c r="J69" s="484">
        <f>IF(F69="","",F69+H69)</f>
        <v>381.22344253992242</v>
      </c>
      <c r="K69" s="484"/>
      <c r="L69" s="484">
        <f t="shared" si="14"/>
        <v>1709.4019288788054</v>
      </c>
      <c r="M69" s="484"/>
      <c r="N69" s="484"/>
      <c r="O69" s="491">
        <f>IF(C69="","",L69-J69)</f>
        <v>1328.178486338883</v>
      </c>
      <c r="P69" s="491"/>
      <c r="Q69" s="491"/>
      <c r="R69" s="182">
        <f t="shared" si="21"/>
        <v>0</v>
      </c>
      <c r="S69" s="182">
        <f t="shared" si="22"/>
        <v>0</v>
      </c>
      <c r="T69" s="484">
        <f t="shared" si="12"/>
        <v>18121.997153453078</v>
      </c>
      <c r="U69" s="484"/>
      <c r="V69" s="484"/>
      <c r="W69" s="484">
        <f t="shared" si="19"/>
        <v>1709.4019288788054</v>
      </c>
      <c r="X69" s="484"/>
      <c r="Y69" s="484"/>
    </row>
    <row r="70" spans="1:25">
      <c r="L70" s="484" t="str">
        <f t="shared" si="14"/>
        <v/>
      </c>
      <c r="M70" s="484"/>
      <c r="N70" s="484"/>
      <c r="R70" s="182" t="str">
        <f t="shared" si="21"/>
        <v/>
      </c>
      <c r="S70" s="182" t="str">
        <f t="shared" si="22"/>
        <v/>
      </c>
      <c r="T70" s="484" t="str">
        <f t="shared" si="12"/>
        <v/>
      </c>
      <c r="U70" s="484"/>
      <c r="V70" s="484"/>
    </row>
    <row r="71" spans="1:25">
      <c r="O71" s="483"/>
      <c r="P71" s="483"/>
      <c r="Q71" s="483"/>
      <c r="T71" s="484"/>
      <c r="U71" s="484"/>
      <c r="V71" s="484"/>
    </row>
    <row r="73" spans="1:25">
      <c r="T73" s="483"/>
      <c r="U73" s="483"/>
      <c r="V73" s="483"/>
      <c r="W73" s="483"/>
      <c r="X73" s="483"/>
      <c r="Y73" s="483"/>
    </row>
  </sheetData>
  <sheetProtection algorithmName="SHA-512" hashValue="Y09+z6UXvHh/8TL84dQCaw3UBzKm/ev/3xZJkF21Qe+bn7Nz+nqTRfAWY6RlbI09zMl39HRC89xUa33jEpXSRg==" saltValue="vntTncGNLT0SJO1/0pftsQ==" spinCount="100000" sheet="1" objects="1" scenarios="1" selectLockedCells="1"/>
  <mergeCells count="428">
    <mergeCell ref="O21:Q21"/>
    <mergeCell ref="T19:V19"/>
    <mergeCell ref="T20:V20"/>
    <mergeCell ref="T21:V21"/>
    <mergeCell ref="W19:Y19"/>
    <mergeCell ref="W20:Y20"/>
    <mergeCell ref="W21:Y21"/>
    <mergeCell ref="L70:N70"/>
    <mergeCell ref="T70:V70"/>
    <mergeCell ref="T66:V66"/>
    <mergeCell ref="W66:Y66"/>
    <mergeCell ref="T64:V64"/>
    <mergeCell ref="W64:Y64"/>
    <mergeCell ref="T62:V62"/>
    <mergeCell ref="W62:Y62"/>
    <mergeCell ref="T60:V60"/>
    <mergeCell ref="W60:Y60"/>
    <mergeCell ref="T58:V58"/>
    <mergeCell ref="W58:Y58"/>
    <mergeCell ref="T56:V56"/>
    <mergeCell ref="W56:Y56"/>
    <mergeCell ref="T54:V54"/>
    <mergeCell ref="W54:Y54"/>
    <mergeCell ref="T52:V52"/>
    <mergeCell ref="O71:Q71"/>
    <mergeCell ref="T71:V71"/>
    <mergeCell ref="T73:V73"/>
    <mergeCell ref="W73:Y73"/>
    <mergeCell ref="T68:V68"/>
    <mergeCell ref="W68:Y68"/>
    <mergeCell ref="C69:E69"/>
    <mergeCell ref="F69:G69"/>
    <mergeCell ref="H69:I69"/>
    <mergeCell ref="J69:K69"/>
    <mergeCell ref="L69:N69"/>
    <mergeCell ref="O69:Q69"/>
    <mergeCell ref="T69:V69"/>
    <mergeCell ref="W69:Y69"/>
    <mergeCell ref="C68:E68"/>
    <mergeCell ref="F68:G68"/>
    <mergeCell ref="H68:I68"/>
    <mergeCell ref="J68:K68"/>
    <mergeCell ref="L68:N68"/>
    <mergeCell ref="O68:Q68"/>
    <mergeCell ref="C67:E67"/>
    <mergeCell ref="F67:G67"/>
    <mergeCell ref="H67:I67"/>
    <mergeCell ref="J67:K67"/>
    <mergeCell ref="L67:N67"/>
    <mergeCell ref="O67:Q67"/>
    <mergeCell ref="T67:V67"/>
    <mergeCell ref="W67:Y67"/>
    <mergeCell ref="C66:E66"/>
    <mergeCell ref="F66:G66"/>
    <mergeCell ref="H66:I66"/>
    <mergeCell ref="J66:K66"/>
    <mergeCell ref="L66:N66"/>
    <mergeCell ref="O66:Q66"/>
    <mergeCell ref="C65:E65"/>
    <mergeCell ref="F65:G65"/>
    <mergeCell ref="H65:I65"/>
    <mergeCell ref="J65:K65"/>
    <mergeCell ref="L65:N65"/>
    <mergeCell ref="O65:Q65"/>
    <mergeCell ref="T65:V65"/>
    <mergeCell ref="W65:Y65"/>
    <mergeCell ref="C64:E64"/>
    <mergeCell ref="F64:G64"/>
    <mergeCell ref="H64:I64"/>
    <mergeCell ref="J64:K64"/>
    <mergeCell ref="L64:N64"/>
    <mergeCell ref="O64:Q64"/>
    <mergeCell ref="C63:E63"/>
    <mergeCell ref="F63:G63"/>
    <mergeCell ref="H63:I63"/>
    <mergeCell ref="J63:K63"/>
    <mergeCell ref="L63:N63"/>
    <mergeCell ref="O63:Q63"/>
    <mergeCell ref="T63:V63"/>
    <mergeCell ref="W63:Y63"/>
    <mergeCell ref="C62:E62"/>
    <mergeCell ref="F62:G62"/>
    <mergeCell ref="H62:I62"/>
    <mergeCell ref="J62:K62"/>
    <mergeCell ref="L62:N62"/>
    <mergeCell ref="O62:Q62"/>
    <mergeCell ref="C61:E61"/>
    <mergeCell ref="F61:G61"/>
    <mergeCell ref="H61:I61"/>
    <mergeCell ref="J61:K61"/>
    <mergeCell ref="L61:N61"/>
    <mergeCell ref="O61:Q61"/>
    <mergeCell ref="T61:V61"/>
    <mergeCell ref="W61:Y61"/>
    <mergeCell ref="C60:E60"/>
    <mergeCell ref="F60:G60"/>
    <mergeCell ref="H60:I60"/>
    <mergeCell ref="J60:K60"/>
    <mergeCell ref="L60:N60"/>
    <mergeCell ref="O60:Q60"/>
    <mergeCell ref="C59:E59"/>
    <mergeCell ref="F59:G59"/>
    <mergeCell ref="H59:I59"/>
    <mergeCell ref="J59:K59"/>
    <mergeCell ref="L59:N59"/>
    <mergeCell ref="O59:Q59"/>
    <mergeCell ref="T59:V59"/>
    <mergeCell ref="W59:Y59"/>
    <mergeCell ref="C58:E58"/>
    <mergeCell ref="F58:G58"/>
    <mergeCell ref="H58:I58"/>
    <mergeCell ref="J58:K58"/>
    <mergeCell ref="L58:N58"/>
    <mergeCell ref="O58:Q58"/>
    <mergeCell ref="C57:E57"/>
    <mergeCell ref="F57:G57"/>
    <mergeCell ref="H57:I57"/>
    <mergeCell ref="J57:K57"/>
    <mergeCell ref="L57:N57"/>
    <mergeCell ref="O57:Q57"/>
    <mergeCell ref="T57:V57"/>
    <mergeCell ref="W57:Y57"/>
    <mergeCell ref="C56:E56"/>
    <mergeCell ref="F56:G56"/>
    <mergeCell ref="H56:I56"/>
    <mergeCell ref="J56:K56"/>
    <mergeCell ref="L56:N56"/>
    <mergeCell ref="O56:Q56"/>
    <mergeCell ref="C55:E55"/>
    <mergeCell ref="F55:G55"/>
    <mergeCell ref="H55:I55"/>
    <mergeCell ref="J55:K55"/>
    <mergeCell ref="L55:N55"/>
    <mergeCell ref="O55:Q55"/>
    <mergeCell ref="T55:V55"/>
    <mergeCell ref="W55:Y55"/>
    <mergeCell ref="C54:E54"/>
    <mergeCell ref="F54:G54"/>
    <mergeCell ref="H54:I54"/>
    <mergeCell ref="J54:K54"/>
    <mergeCell ref="L54:N54"/>
    <mergeCell ref="O54:Q54"/>
    <mergeCell ref="W52:Y52"/>
    <mergeCell ref="C53:E53"/>
    <mergeCell ref="F53:G53"/>
    <mergeCell ref="H53:I53"/>
    <mergeCell ref="J53:K53"/>
    <mergeCell ref="L53:N53"/>
    <mergeCell ref="O53:Q53"/>
    <mergeCell ref="T53:V53"/>
    <mergeCell ref="W53:Y53"/>
    <mergeCell ref="C52:E52"/>
    <mergeCell ref="F52:G52"/>
    <mergeCell ref="H52:I52"/>
    <mergeCell ref="J52:K52"/>
    <mergeCell ref="L52:N52"/>
    <mergeCell ref="O52:Q52"/>
    <mergeCell ref="T50:V50"/>
    <mergeCell ref="W50:Y50"/>
    <mergeCell ref="C51:E51"/>
    <mergeCell ref="F51:G51"/>
    <mergeCell ref="H51:I51"/>
    <mergeCell ref="J51:K51"/>
    <mergeCell ref="L51:N51"/>
    <mergeCell ref="O51:Q51"/>
    <mergeCell ref="T51:V51"/>
    <mergeCell ref="W51:Y51"/>
    <mergeCell ref="C50:E50"/>
    <mergeCell ref="F50:G50"/>
    <mergeCell ref="H50:I50"/>
    <mergeCell ref="J50:K50"/>
    <mergeCell ref="L50:N50"/>
    <mergeCell ref="O50:Q50"/>
    <mergeCell ref="T48:V48"/>
    <mergeCell ref="W48:Y48"/>
    <mergeCell ref="C49:E49"/>
    <mergeCell ref="F49:G49"/>
    <mergeCell ref="H49:I49"/>
    <mergeCell ref="J49:K49"/>
    <mergeCell ref="L49:N49"/>
    <mergeCell ref="O49:Q49"/>
    <mergeCell ref="T49:V49"/>
    <mergeCell ref="W49:Y49"/>
    <mergeCell ref="C48:E48"/>
    <mergeCell ref="F48:G48"/>
    <mergeCell ref="H48:I48"/>
    <mergeCell ref="J48:K48"/>
    <mergeCell ref="L48:N48"/>
    <mergeCell ref="O48:Q48"/>
    <mergeCell ref="T46:V46"/>
    <mergeCell ref="W46:Y46"/>
    <mergeCell ref="C47:E47"/>
    <mergeCell ref="F47:G47"/>
    <mergeCell ref="H47:I47"/>
    <mergeCell ref="J47:K47"/>
    <mergeCell ref="L47:N47"/>
    <mergeCell ref="O47:Q47"/>
    <mergeCell ref="T47:V47"/>
    <mergeCell ref="W47:Y47"/>
    <mergeCell ref="C46:E46"/>
    <mergeCell ref="F46:G46"/>
    <mergeCell ref="H46:I46"/>
    <mergeCell ref="J46:K46"/>
    <mergeCell ref="L46:N46"/>
    <mergeCell ref="O46:Q46"/>
    <mergeCell ref="T44:V44"/>
    <mergeCell ref="W44:Y44"/>
    <mergeCell ref="C45:E45"/>
    <mergeCell ref="F45:G45"/>
    <mergeCell ref="H45:I45"/>
    <mergeCell ref="J45:K45"/>
    <mergeCell ref="L45:N45"/>
    <mergeCell ref="O45:Q45"/>
    <mergeCell ref="T45:V45"/>
    <mergeCell ref="W45:Y45"/>
    <mergeCell ref="C44:E44"/>
    <mergeCell ref="F44:G44"/>
    <mergeCell ref="H44:I44"/>
    <mergeCell ref="J44:K44"/>
    <mergeCell ref="L44:N44"/>
    <mergeCell ref="O44:Q44"/>
    <mergeCell ref="T42:V42"/>
    <mergeCell ref="W42:Y42"/>
    <mergeCell ref="C43:E43"/>
    <mergeCell ref="F43:G43"/>
    <mergeCell ref="H43:I43"/>
    <mergeCell ref="J43:K43"/>
    <mergeCell ref="L43:N43"/>
    <mergeCell ref="O43:Q43"/>
    <mergeCell ref="T43:V43"/>
    <mergeCell ref="W43:Y43"/>
    <mergeCell ref="C42:E42"/>
    <mergeCell ref="F42:G42"/>
    <mergeCell ref="H42:I42"/>
    <mergeCell ref="J42:K42"/>
    <mergeCell ref="L42:N42"/>
    <mergeCell ref="O42:Q42"/>
    <mergeCell ref="T40:V40"/>
    <mergeCell ref="W40:Y40"/>
    <mergeCell ref="C41:E41"/>
    <mergeCell ref="F41:G41"/>
    <mergeCell ref="H41:I41"/>
    <mergeCell ref="J41:K41"/>
    <mergeCell ref="L41:N41"/>
    <mergeCell ref="O41:Q41"/>
    <mergeCell ref="T41:V41"/>
    <mergeCell ref="W41:Y41"/>
    <mergeCell ref="C40:E40"/>
    <mergeCell ref="F40:G40"/>
    <mergeCell ref="H40:I40"/>
    <mergeCell ref="J40:K40"/>
    <mergeCell ref="L40:N40"/>
    <mergeCell ref="O40:Q40"/>
    <mergeCell ref="T38:V38"/>
    <mergeCell ref="W38:Y38"/>
    <mergeCell ref="C39:E39"/>
    <mergeCell ref="F39:G39"/>
    <mergeCell ref="H39:I39"/>
    <mergeCell ref="J39:K39"/>
    <mergeCell ref="L39:N39"/>
    <mergeCell ref="O39:Q39"/>
    <mergeCell ref="T39:V39"/>
    <mergeCell ref="W39:Y39"/>
    <mergeCell ref="C38:E38"/>
    <mergeCell ref="F38:G38"/>
    <mergeCell ref="H38:I38"/>
    <mergeCell ref="J38:K38"/>
    <mergeCell ref="L38:N38"/>
    <mergeCell ref="O38:Q38"/>
    <mergeCell ref="T36:V36"/>
    <mergeCell ref="W36:Y36"/>
    <mergeCell ref="C37:E37"/>
    <mergeCell ref="F37:G37"/>
    <mergeCell ref="H37:I37"/>
    <mergeCell ref="J37:K37"/>
    <mergeCell ref="L37:N37"/>
    <mergeCell ref="O37:Q37"/>
    <mergeCell ref="T37:V37"/>
    <mergeCell ref="W37:Y37"/>
    <mergeCell ref="C36:E36"/>
    <mergeCell ref="F36:G36"/>
    <mergeCell ref="H36:I36"/>
    <mergeCell ref="J36:K36"/>
    <mergeCell ref="L36:N36"/>
    <mergeCell ref="O36:Q36"/>
    <mergeCell ref="T34:V34"/>
    <mergeCell ref="W34:Y34"/>
    <mergeCell ref="C35:E35"/>
    <mergeCell ref="F35:G35"/>
    <mergeCell ref="H35:I35"/>
    <mergeCell ref="J35:K35"/>
    <mergeCell ref="L35:N35"/>
    <mergeCell ref="O35:Q35"/>
    <mergeCell ref="T35:V35"/>
    <mergeCell ref="W35:Y35"/>
    <mergeCell ref="C34:E34"/>
    <mergeCell ref="F34:G34"/>
    <mergeCell ref="H34:I34"/>
    <mergeCell ref="J34:K34"/>
    <mergeCell ref="L34:N34"/>
    <mergeCell ref="O34:Q34"/>
    <mergeCell ref="T32:V32"/>
    <mergeCell ref="W32:Y32"/>
    <mergeCell ref="C33:E33"/>
    <mergeCell ref="F33:G33"/>
    <mergeCell ref="H33:I33"/>
    <mergeCell ref="J33:K33"/>
    <mergeCell ref="L33:N33"/>
    <mergeCell ref="O33:Q33"/>
    <mergeCell ref="T33:V33"/>
    <mergeCell ref="W33:Y33"/>
    <mergeCell ref="C32:E32"/>
    <mergeCell ref="F32:G32"/>
    <mergeCell ref="H32:I32"/>
    <mergeCell ref="J32:K32"/>
    <mergeCell ref="L32:N32"/>
    <mergeCell ref="O32:Q32"/>
    <mergeCell ref="T30:V30"/>
    <mergeCell ref="W30:Y30"/>
    <mergeCell ref="C31:E31"/>
    <mergeCell ref="F31:G31"/>
    <mergeCell ref="H31:I31"/>
    <mergeCell ref="J31:K31"/>
    <mergeCell ref="L31:N31"/>
    <mergeCell ref="O31:Q31"/>
    <mergeCell ref="T31:V31"/>
    <mergeCell ref="W31:Y31"/>
    <mergeCell ref="C30:E30"/>
    <mergeCell ref="F30:G30"/>
    <mergeCell ref="H30:I30"/>
    <mergeCell ref="J30:K30"/>
    <mergeCell ref="L30:N30"/>
    <mergeCell ref="O30:Q30"/>
    <mergeCell ref="T28:V28"/>
    <mergeCell ref="W28:Y28"/>
    <mergeCell ref="C29:E29"/>
    <mergeCell ref="F29:G29"/>
    <mergeCell ref="H29:I29"/>
    <mergeCell ref="J29:K29"/>
    <mergeCell ref="L29:N29"/>
    <mergeCell ref="O29:Q29"/>
    <mergeCell ref="T29:V29"/>
    <mergeCell ref="W29:Y29"/>
    <mergeCell ref="C28:E28"/>
    <mergeCell ref="F28:G28"/>
    <mergeCell ref="H28:I28"/>
    <mergeCell ref="J28:K28"/>
    <mergeCell ref="L28:N28"/>
    <mergeCell ref="O28:Q28"/>
    <mergeCell ref="T26:V26"/>
    <mergeCell ref="W26:Y26"/>
    <mergeCell ref="C27:E27"/>
    <mergeCell ref="F27:G27"/>
    <mergeCell ref="H27:I27"/>
    <mergeCell ref="J27:K27"/>
    <mergeCell ref="L27:N27"/>
    <mergeCell ref="O27:Q27"/>
    <mergeCell ref="T27:V27"/>
    <mergeCell ref="W27:Y27"/>
    <mergeCell ref="C26:E26"/>
    <mergeCell ref="F26:G26"/>
    <mergeCell ref="H26:I26"/>
    <mergeCell ref="J26:K26"/>
    <mergeCell ref="L26:N26"/>
    <mergeCell ref="O26:Q26"/>
    <mergeCell ref="C25:E25"/>
    <mergeCell ref="F25:G25"/>
    <mergeCell ref="H25:I25"/>
    <mergeCell ref="J25:K25"/>
    <mergeCell ref="L25:N25"/>
    <mergeCell ref="O25:Q25"/>
    <mergeCell ref="T25:V25"/>
    <mergeCell ref="W25:Y25"/>
    <mergeCell ref="C24:E24"/>
    <mergeCell ref="F24:G24"/>
    <mergeCell ref="H24:I24"/>
    <mergeCell ref="J24:K24"/>
    <mergeCell ref="L24:N24"/>
    <mergeCell ref="O24:Q24"/>
    <mergeCell ref="C23:E23"/>
    <mergeCell ref="F23:G23"/>
    <mergeCell ref="H23:I23"/>
    <mergeCell ref="J23:K23"/>
    <mergeCell ref="L23:N23"/>
    <mergeCell ref="O23:Q23"/>
    <mergeCell ref="T23:V23"/>
    <mergeCell ref="W23:Y23"/>
    <mergeCell ref="T24:V24"/>
    <mergeCell ref="W24:Y24"/>
    <mergeCell ref="T18:V18"/>
    <mergeCell ref="W18:Y18"/>
    <mergeCell ref="C22:E22"/>
    <mergeCell ref="F22:G22"/>
    <mergeCell ref="H22:I22"/>
    <mergeCell ref="J22:K22"/>
    <mergeCell ref="L22:N22"/>
    <mergeCell ref="O22:Q22"/>
    <mergeCell ref="T22:V22"/>
    <mergeCell ref="W22:Y22"/>
    <mergeCell ref="C19:E19"/>
    <mergeCell ref="C20:E20"/>
    <mergeCell ref="C21:E21"/>
    <mergeCell ref="J19:K19"/>
    <mergeCell ref="J20:K20"/>
    <mergeCell ref="J21:K21"/>
    <mergeCell ref="H19:I19"/>
    <mergeCell ref="H20:I20"/>
    <mergeCell ref="H21:I21"/>
    <mergeCell ref="F21:G21"/>
    <mergeCell ref="F20:G20"/>
    <mergeCell ref="F19:G19"/>
    <mergeCell ref="O19:Q19"/>
    <mergeCell ref="O20:Q20"/>
    <mergeCell ref="B10:C10"/>
    <mergeCell ref="D10:O10"/>
    <mergeCell ref="J15:L15"/>
    <mergeCell ref="C18:E18"/>
    <mergeCell ref="F18:G18"/>
    <mergeCell ref="H18:I18"/>
    <mergeCell ref="J18:K18"/>
    <mergeCell ref="L18:N18"/>
    <mergeCell ref="J11:L11"/>
    <mergeCell ref="J12:L12"/>
    <mergeCell ref="M12:N12"/>
    <mergeCell ref="J13:L13"/>
    <mergeCell ref="J16:L16"/>
    <mergeCell ref="O18:Q18"/>
    <mergeCell ref="J14:K14"/>
  </mergeCells>
  <pageMargins left="0.83" right="0.8" top="1.06" bottom="0.95" header="0.49" footer="0.3"/>
  <pageSetup scale="69" orientation="portrait" horizontalDpi="4294967294" verticalDpi="4294967294" r:id="rId1"/>
  <headerFooter>
    <oddHeader>&amp;L&amp;G</oddHeader>
    <oddFooter>&amp;L&amp;G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4" tint="-0.249977111117893"/>
  </sheetPr>
  <dimension ref="A6:AE55"/>
  <sheetViews>
    <sheetView showGridLines="0" view="pageLayout" zoomScale="90" zoomScaleNormal="100" zoomScaleSheetLayoutView="100" zoomScalePageLayoutView="90" workbookViewId="0">
      <selection activeCell="E7" sqref="E7:G7"/>
    </sheetView>
  </sheetViews>
  <sheetFormatPr baseColWidth="10" defaultColWidth="11.28515625" defaultRowHeight="12.75"/>
  <cols>
    <col min="1" max="1" width="9.140625" style="74" customWidth="1"/>
    <col min="2" max="2" width="5" style="74" hidden="1" customWidth="1"/>
    <col min="3" max="3" width="14.42578125" style="74" customWidth="1"/>
    <col min="4" max="4" width="3.42578125" style="74" customWidth="1"/>
    <col min="5" max="5" width="5.140625" style="74" customWidth="1"/>
    <col min="6" max="6" width="5.28515625" style="74" customWidth="1"/>
    <col min="7" max="7" width="6.85546875" style="74" customWidth="1"/>
    <col min="8" max="8" width="5.28515625" style="74" customWidth="1"/>
    <col min="9" max="9" width="6.28515625" style="74" customWidth="1"/>
    <col min="10" max="10" width="7.7109375" style="74" customWidth="1"/>
    <col min="11" max="11" width="6.7109375" style="74" hidden="1" customWidth="1"/>
    <col min="12" max="12" width="6" style="74" hidden="1" customWidth="1"/>
    <col min="13" max="13" width="4" style="74" customWidth="1"/>
    <col min="14" max="18" width="4.28515625" style="74" customWidth="1"/>
    <col min="19" max="19" width="12.7109375" style="74" hidden="1" customWidth="1"/>
    <col min="20" max="20" width="10.7109375" style="74" hidden="1" customWidth="1"/>
    <col min="21" max="23" width="4.28515625" style="74" customWidth="1"/>
    <col min="24" max="26" width="4.28515625" style="74" hidden="1" customWidth="1"/>
    <col min="27" max="27" width="11.7109375" style="74" bestFit="1" customWidth="1"/>
    <col min="28" max="28" width="12.42578125" style="74" customWidth="1"/>
    <col min="29" max="29" width="11.42578125" style="74" customWidth="1"/>
    <col min="30" max="30" width="12.42578125" style="74" customWidth="1"/>
    <col min="31" max="31" width="11.7109375" style="74" bestFit="1" customWidth="1"/>
    <col min="32" max="258" width="11.28515625" style="74"/>
    <col min="259" max="259" width="4" style="74" customWidth="1"/>
    <col min="260" max="260" width="3.42578125" style="74" customWidth="1"/>
    <col min="261" max="261" width="5.140625" style="74" customWidth="1"/>
    <col min="262" max="262" width="5.28515625" style="74" customWidth="1"/>
    <col min="263" max="263" width="6.85546875" style="74" customWidth="1"/>
    <col min="264" max="264" width="5.28515625" style="74" customWidth="1"/>
    <col min="265" max="265" width="6.28515625" style="74" customWidth="1"/>
    <col min="266" max="266" width="7.7109375" style="74" customWidth="1"/>
    <col min="267" max="268" width="0" style="74" hidden="1" customWidth="1"/>
    <col min="269" max="269" width="4" style="74" customWidth="1"/>
    <col min="270" max="274" width="4.28515625" style="74" customWidth="1"/>
    <col min="275" max="276" width="0" style="74" hidden="1" customWidth="1"/>
    <col min="277" max="279" width="4.28515625" style="74" customWidth="1"/>
    <col min="280" max="282" width="0" style="74" hidden="1" customWidth="1"/>
    <col min="283" max="283" width="11.7109375" style="74" bestFit="1" customWidth="1"/>
    <col min="284" max="284" width="12.42578125" style="74" customWidth="1"/>
    <col min="285" max="285" width="11.42578125" style="74" customWidth="1"/>
    <col min="286" max="286" width="12.140625" style="74" customWidth="1"/>
    <col min="287" max="287" width="11.7109375" style="74" bestFit="1" customWidth="1"/>
    <col min="288" max="514" width="11.28515625" style="74"/>
    <col min="515" max="515" width="4" style="74" customWidth="1"/>
    <col min="516" max="516" width="3.42578125" style="74" customWidth="1"/>
    <col min="517" max="517" width="5.140625" style="74" customWidth="1"/>
    <col min="518" max="518" width="5.28515625" style="74" customWidth="1"/>
    <col min="519" max="519" width="6.85546875" style="74" customWidth="1"/>
    <col min="520" max="520" width="5.28515625" style="74" customWidth="1"/>
    <col min="521" max="521" width="6.28515625" style="74" customWidth="1"/>
    <col min="522" max="522" width="7.7109375" style="74" customWidth="1"/>
    <col min="523" max="524" width="0" style="74" hidden="1" customWidth="1"/>
    <col min="525" max="525" width="4" style="74" customWidth="1"/>
    <col min="526" max="530" width="4.28515625" style="74" customWidth="1"/>
    <col min="531" max="532" width="0" style="74" hidden="1" customWidth="1"/>
    <col min="533" max="535" width="4.28515625" style="74" customWidth="1"/>
    <col min="536" max="538" width="0" style="74" hidden="1" customWidth="1"/>
    <col min="539" max="539" width="11.7109375" style="74" bestFit="1" customWidth="1"/>
    <col min="540" max="540" width="12.42578125" style="74" customWidth="1"/>
    <col min="541" max="541" width="11.42578125" style="74" customWidth="1"/>
    <col min="542" max="542" width="12.140625" style="74" customWidth="1"/>
    <col min="543" max="543" width="11.7109375" style="74" bestFit="1" customWidth="1"/>
    <col min="544" max="770" width="11.28515625" style="74"/>
    <col min="771" max="771" width="4" style="74" customWidth="1"/>
    <col min="772" max="772" width="3.42578125" style="74" customWidth="1"/>
    <col min="773" max="773" width="5.140625" style="74" customWidth="1"/>
    <col min="774" max="774" width="5.28515625" style="74" customWidth="1"/>
    <col min="775" max="775" width="6.85546875" style="74" customWidth="1"/>
    <col min="776" max="776" width="5.28515625" style="74" customWidth="1"/>
    <col min="777" max="777" width="6.28515625" style="74" customWidth="1"/>
    <col min="778" max="778" width="7.7109375" style="74" customWidth="1"/>
    <col min="779" max="780" width="0" style="74" hidden="1" customWidth="1"/>
    <col min="781" max="781" width="4" style="74" customWidth="1"/>
    <col min="782" max="786" width="4.28515625" style="74" customWidth="1"/>
    <col min="787" max="788" width="0" style="74" hidden="1" customWidth="1"/>
    <col min="789" max="791" width="4.28515625" style="74" customWidth="1"/>
    <col min="792" max="794" width="0" style="74" hidden="1" customWidth="1"/>
    <col min="795" max="795" width="11.7109375" style="74" bestFit="1" customWidth="1"/>
    <col min="796" max="796" width="12.42578125" style="74" customWidth="1"/>
    <col min="797" max="797" width="11.42578125" style="74" customWidth="1"/>
    <col min="798" max="798" width="12.140625" style="74" customWidth="1"/>
    <col min="799" max="799" width="11.7109375" style="74" bestFit="1" customWidth="1"/>
    <col min="800" max="1026" width="11.28515625" style="74"/>
    <col min="1027" max="1027" width="4" style="74" customWidth="1"/>
    <col min="1028" max="1028" width="3.42578125" style="74" customWidth="1"/>
    <col min="1029" max="1029" width="5.140625" style="74" customWidth="1"/>
    <col min="1030" max="1030" width="5.28515625" style="74" customWidth="1"/>
    <col min="1031" max="1031" width="6.85546875" style="74" customWidth="1"/>
    <col min="1032" max="1032" width="5.28515625" style="74" customWidth="1"/>
    <col min="1033" max="1033" width="6.28515625" style="74" customWidth="1"/>
    <col min="1034" max="1034" width="7.7109375" style="74" customWidth="1"/>
    <col min="1035" max="1036" width="0" style="74" hidden="1" customWidth="1"/>
    <col min="1037" max="1037" width="4" style="74" customWidth="1"/>
    <col min="1038" max="1042" width="4.28515625" style="74" customWidth="1"/>
    <col min="1043" max="1044" width="0" style="74" hidden="1" customWidth="1"/>
    <col min="1045" max="1047" width="4.28515625" style="74" customWidth="1"/>
    <col min="1048" max="1050" width="0" style="74" hidden="1" customWidth="1"/>
    <col min="1051" max="1051" width="11.7109375" style="74" bestFit="1" customWidth="1"/>
    <col min="1052" max="1052" width="12.42578125" style="74" customWidth="1"/>
    <col min="1053" max="1053" width="11.42578125" style="74" customWidth="1"/>
    <col min="1054" max="1054" width="12.140625" style="74" customWidth="1"/>
    <col min="1055" max="1055" width="11.7109375" style="74" bestFit="1" customWidth="1"/>
    <col min="1056" max="1282" width="11.28515625" style="74"/>
    <col min="1283" max="1283" width="4" style="74" customWidth="1"/>
    <col min="1284" max="1284" width="3.42578125" style="74" customWidth="1"/>
    <col min="1285" max="1285" width="5.140625" style="74" customWidth="1"/>
    <col min="1286" max="1286" width="5.28515625" style="74" customWidth="1"/>
    <col min="1287" max="1287" width="6.85546875" style="74" customWidth="1"/>
    <col min="1288" max="1288" width="5.28515625" style="74" customWidth="1"/>
    <col min="1289" max="1289" width="6.28515625" style="74" customWidth="1"/>
    <col min="1290" max="1290" width="7.7109375" style="74" customWidth="1"/>
    <col min="1291" max="1292" width="0" style="74" hidden="1" customWidth="1"/>
    <col min="1293" max="1293" width="4" style="74" customWidth="1"/>
    <col min="1294" max="1298" width="4.28515625" style="74" customWidth="1"/>
    <col min="1299" max="1300" width="0" style="74" hidden="1" customWidth="1"/>
    <col min="1301" max="1303" width="4.28515625" style="74" customWidth="1"/>
    <col min="1304" max="1306" width="0" style="74" hidden="1" customWidth="1"/>
    <col min="1307" max="1307" width="11.7109375" style="74" bestFit="1" customWidth="1"/>
    <col min="1308" max="1308" width="12.42578125" style="74" customWidth="1"/>
    <col min="1309" max="1309" width="11.42578125" style="74" customWidth="1"/>
    <col min="1310" max="1310" width="12.140625" style="74" customWidth="1"/>
    <col min="1311" max="1311" width="11.7109375" style="74" bestFit="1" customWidth="1"/>
    <col min="1312" max="1538" width="11.28515625" style="74"/>
    <col min="1539" max="1539" width="4" style="74" customWidth="1"/>
    <col min="1540" max="1540" width="3.42578125" style="74" customWidth="1"/>
    <col min="1541" max="1541" width="5.140625" style="74" customWidth="1"/>
    <col min="1542" max="1542" width="5.28515625" style="74" customWidth="1"/>
    <col min="1543" max="1543" width="6.85546875" style="74" customWidth="1"/>
    <col min="1544" max="1544" width="5.28515625" style="74" customWidth="1"/>
    <col min="1545" max="1545" width="6.28515625" style="74" customWidth="1"/>
    <col min="1546" max="1546" width="7.7109375" style="74" customWidth="1"/>
    <col min="1547" max="1548" width="0" style="74" hidden="1" customWidth="1"/>
    <col min="1549" max="1549" width="4" style="74" customWidth="1"/>
    <col min="1550" max="1554" width="4.28515625" style="74" customWidth="1"/>
    <col min="1555" max="1556" width="0" style="74" hidden="1" customWidth="1"/>
    <col min="1557" max="1559" width="4.28515625" style="74" customWidth="1"/>
    <col min="1560" max="1562" width="0" style="74" hidden="1" customWidth="1"/>
    <col min="1563" max="1563" width="11.7109375" style="74" bestFit="1" customWidth="1"/>
    <col min="1564" max="1564" width="12.42578125" style="74" customWidth="1"/>
    <col min="1565" max="1565" width="11.42578125" style="74" customWidth="1"/>
    <col min="1566" max="1566" width="12.140625" style="74" customWidth="1"/>
    <col min="1567" max="1567" width="11.7109375" style="74" bestFit="1" customWidth="1"/>
    <col min="1568" max="1794" width="11.28515625" style="74"/>
    <col min="1795" max="1795" width="4" style="74" customWidth="1"/>
    <col min="1796" max="1796" width="3.42578125" style="74" customWidth="1"/>
    <col min="1797" max="1797" width="5.140625" style="74" customWidth="1"/>
    <col min="1798" max="1798" width="5.28515625" style="74" customWidth="1"/>
    <col min="1799" max="1799" width="6.85546875" style="74" customWidth="1"/>
    <col min="1800" max="1800" width="5.28515625" style="74" customWidth="1"/>
    <col min="1801" max="1801" width="6.28515625" style="74" customWidth="1"/>
    <col min="1802" max="1802" width="7.7109375" style="74" customWidth="1"/>
    <col min="1803" max="1804" width="0" style="74" hidden="1" customWidth="1"/>
    <col min="1805" max="1805" width="4" style="74" customWidth="1"/>
    <col min="1806" max="1810" width="4.28515625" style="74" customWidth="1"/>
    <col min="1811" max="1812" width="0" style="74" hidden="1" customWidth="1"/>
    <col min="1813" max="1815" width="4.28515625" style="74" customWidth="1"/>
    <col min="1816" max="1818" width="0" style="74" hidden="1" customWidth="1"/>
    <col min="1819" max="1819" width="11.7109375" style="74" bestFit="1" customWidth="1"/>
    <col min="1820" max="1820" width="12.42578125" style="74" customWidth="1"/>
    <col min="1821" max="1821" width="11.42578125" style="74" customWidth="1"/>
    <col min="1822" max="1822" width="12.140625" style="74" customWidth="1"/>
    <col min="1823" max="1823" width="11.7109375" style="74" bestFit="1" customWidth="1"/>
    <col min="1824" max="2050" width="11.28515625" style="74"/>
    <col min="2051" max="2051" width="4" style="74" customWidth="1"/>
    <col min="2052" max="2052" width="3.42578125" style="74" customWidth="1"/>
    <col min="2053" max="2053" width="5.140625" style="74" customWidth="1"/>
    <col min="2054" max="2054" width="5.28515625" style="74" customWidth="1"/>
    <col min="2055" max="2055" width="6.85546875" style="74" customWidth="1"/>
    <col min="2056" max="2056" width="5.28515625" style="74" customWidth="1"/>
    <col min="2057" max="2057" width="6.28515625" style="74" customWidth="1"/>
    <col min="2058" max="2058" width="7.7109375" style="74" customWidth="1"/>
    <col min="2059" max="2060" width="0" style="74" hidden="1" customWidth="1"/>
    <col min="2061" max="2061" width="4" style="74" customWidth="1"/>
    <col min="2062" max="2066" width="4.28515625" style="74" customWidth="1"/>
    <col min="2067" max="2068" width="0" style="74" hidden="1" customWidth="1"/>
    <col min="2069" max="2071" width="4.28515625" style="74" customWidth="1"/>
    <col min="2072" max="2074" width="0" style="74" hidden="1" customWidth="1"/>
    <col min="2075" max="2075" width="11.7109375" style="74" bestFit="1" customWidth="1"/>
    <col min="2076" max="2076" width="12.42578125" style="74" customWidth="1"/>
    <col min="2077" max="2077" width="11.42578125" style="74" customWidth="1"/>
    <col min="2078" max="2078" width="12.140625" style="74" customWidth="1"/>
    <col min="2079" max="2079" width="11.7109375" style="74" bestFit="1" customWidth="1"/>
    <col min="2080" max="2306" width="11.28515625" style="74"/>
    <col min="2307" max="2307" width="4" style="74" customWidth="1"/>
    <col min="2308" max="2308" width="3.42578125" style="74" customWidth="1"/>
    <col min="2309" max="2309" width="5.140625" style="74" customWidth="1"/>
    <col min="2310" max="2310" width="5.28515625" style="74" customWidth="1"/>
    <col min="2311" max="2311" width="6.85546875" style="74" customWidth="1"/>
    <col min="2312" max="2312" width="5.28515625" style="74" customWidth="1"/>
    <col min="2313" max="2313" width="6.28515625" style="74" customWidth="1"/>
    <col min="2314" max="2314" width="7.7109375" style="74" customWidth="1"/>
    <col min="2315" max="2316" width="0" style="74" hidden="1" customWidth="1"/>
    <col min="2317" max="2317" width="4" style="74" customWidth="1"/>
    <col min="2318" max="2322" width="4.28515625" style="74" customWidth="1"/>
    <col min="2323" max="2324" width="0" style="74" hidden="1" customWidth="1"/>
    <col min="2325" max="2327" width="4.28515625" style="74" customWidth="1"/>
    <col min="2328" max="2330" width="0" style="74" hidden="1" customWidth="1"/>
    <col min="2331" max="2331" width="11.7109375" style="74" bestFit="1" customWidth="1"/>
    <col min="2332" max="2332" width="12.42578125" style="74" customWidth="1"/>
    <col min="2333" max="2333" width="11.42578125" style="74" customWidth="1"/>
    <col min="2334" max="2334" width="12.140625" style="74" customWidth="1"/>
    <col min="2335" max="2335" width="11.7109375" style="74" bestFit="1" customWidth="1"/>
    <col min="2336" max="2562" width="11.28515625" style="74"/>
    <col min="2563" max="2563" width="4" style="74" customWidth="1"/>
    <col min="2564" max="2564" width="3.42578125" style="74" customWidth="1"/>
    <col min="2565" max="2565" width="5.140625" style="74" customWidth="1"/>
    <col min="2566" max="2566" width="5.28515625" style="74" customWidth="1"/>
    <col min="2567" max="2567" width="6.85546875" style="74" customWidth="1"/>
    <col min="2568" max="2568" width="5.28515625" style="74" customWidth="1"/>
    <col min="2569" max="2569" width="6.28515625" style="74" customWidth="1"/>
    <col min="2570" max="2570" width="7.7109375" style="74" customWidth="1"/>
    <col min="2571" max="2572" width="0" style="74" hidden="1" customWidth="1"/>
    <col min="2573" max="2573" width="4" style="74" customWidth="1"/>
    <col min="2574" max="2578" width="4.28515625" style="74" customWidth="1"/>
    <col min="2579" max="2580" width="0" style="74" hidden="1" customWidth="1"/>
    <col min="2581" max="2583" width="4.28515625" style="74" customWidth="1"/>
    <col min="2584" max="2586" width="0" style="74" hidden="1" customWidth="1"/>
    <col min="2587" max="2587" width="11.7109375" style="74" bestFit="1" customWidth="1"/>
    <col min="2588" max="2588" width="12.42578125" style="74" customWidth="1"/>
    <col min="2589" max="2589" width="11.42578125" style="74" customWidth="1"/>
    <col min="2590" max="2590" width="12.140625" style="74" customWidth="1"/>
    <col min="2591" max="2591" width="11.7109375" style="74" bestFit="1" customWidth="1"/>
    <col min="2592" max="2818" width="11.28515625" style="74"/>
    <col min="2819" max="2819" width="4" style="74" customWidth="1"/>
    <col min="2820" max="2820" width="3.42578125" style="74" customWidth="1"/>
    <col min="2821" max="2821" width="5.140625" style="74" customWidth="1"/>
    <col min="2822" max="2822" width="5.28515625" style="74" customWidth="1"/>
    <col min="2823" max="2823" width="6.85546875" style="74" customWidth="1"/>
    <col min="2824" max="2824" width="5.28515625" style="74" customWidth="1"/>
    <col min="2825" max="2825" width="6.28515625" style="74" customWidth="1"/>
    <col min="2826" max="2826" width="7.7109375" style="74" customWidth="1"/>
    <col min="2827" max="2828" width="0" style="74" hidden="1" customWidth="1"/>
    <col min="2829" max="2829" width="4" style="74" customWidth="1"/>
    <col min="2830" max="2834" width="4.28515625" style="74" customWidth="1"/>
    <col min="2835" max="2836" width="0" style="74" hidden="1" customWidth="1"/>
    <col min="2837" max="2839" width="4.28515625" style="74" customWidth="1"/>
    <col min="2840" max="2842" width="0" style="74" hidden="1" customWidth="1"/>
    <col min="2843" max="2843" width="11.7109375" style="74" bestFit="1" customWidth="1"/>
    <col min="2844" max="2844" width="12.42578125" style="74" customWidth="1"/>
    <col min="2845" max="2845" width="11.42578125" style="74" customWidth="1"/>
    <col min="2846" max="2846" width="12.140625" style="74" customWidth="1"/>
    <col min="2847" max="2847" width="11.7109375" style="74" bestFit="1" customWidth="1"/>
    <col min="2848" max="3074" width="11.28515625" style="74"/>
    <col min="3075" max="3075" width="4" style="74" customWidth="1"/>
    <col min="3076" max="3076" width="3.42578125" style="74" customWidth="1"/>
    <col min="3077" max="3077" width="5.140625" style="74" customWidth="1"/>
    <col min="3078" max="3078" width="5.28515625" style="74" customWidth="1"/>
    <col min="3079" max="3079" width="6.85546875" style="74" customWidth="1"/>
    <col min="3080" max="3080" width="5.28515625" style="74" customWidth="1"/>
    <col min="3081" max="3081" width="6.28515625" style="74" customWidth="1"/>
    <col min="3082" max="3082" width="7.7109375" style="74" customWidth="1"/>
    <col min="3083" max="3084" width="0" style="74" hidden="1" customWidth="1"/>
    <col min="3085" max="3085" width="4" style="74" customWidth="1"/>
    <col min="3086" max="3090" width="4.28515625" style="74" customWidth="1"/>
    <col min="3091" max="3092" width="0" style="74" hidden="1" customWidth="1"/>
    <col min="3093" max="3095" width="4.28515625" style="74" customWidth="1"/>
    <col min="3096" max="3098" width="0" style="74" hidden="1" customWidth="1"/>
    <col min="3099" max="3099" width="11.7109375" style="74" bestFit="1" customWidth="1"/>
    <col min="3100" max="3100" width="12.42578125" style="74" customWidth="1"/>
    <col min="3101" max="3101" width="11.42578125" style="74" customWidth="1"/>
    <col min="3102" max="3102" width="12.140625" style="74" customWidth="1"/>
    <col min="3103" max="3103" width="11.7109375" style="74" bestFit="1" customWidth="1"/>
    <col min="3104" max="3330" width="11.28515625" style="74"/>
    <col min="3331" max="3331" width="4" style="74" customWidth="1"/>
    <col min="3332" max="3332" width="3.42578125" style="74" customWidth="1"/>
    <col min="3333" max="3333" width="5.140625" style="74" customWidth="1"/>
    <col min="3334" max="3334" width="5.28515625" style="74" customWidth="1"/>
    <col min="3335" max="3335" width="6.85546875" style="74" customWidth="1"/>
    <col min="3336" max="3336" width="5.28515625" style="74" customWidth="1"/>
    <col min="3337" max="3337" width="6.28515625" style="74" customWidth="1"/>
    <col min="3338" max="3338" width="7.7109375" style="74" customWidth="1"/>
    <col min="3339" max="3340" width="0" style="74" hidden="1" customWidth="1"/>
    <col min="3341" max="3341" width="4" style="74" customWidth="1"/>
    <col min="3342" max="3346" width="4.28515625" style="74" customWidth="1"/>
    <col min="3347" max="3348" width="0" style="74" hidden="1" customWidth="1"/>
    <col min="3349" max="3351" width="4.28515625" style="74" customWidth="1"/>
    <col min="3352" max="3354" width="0" style="74" hidden="1" customWidth="1"/>
    <col min="3355" max="3355" width="11.7109375" style="74" bestFit="1" customWidth="1"/>
    <col min="3356" max="3356" width="12.42578125" style="74" customWidth="1"/>
    <col min="3357" max="3357" width="11.42578125" style="74" customWidth="1"/>
    <col min="3358" max="3358" width="12.140625" style="74" customWidth="1"/>
    <col min="3359" max="3359" width="11.7109375" style="74" bestFit="1" customWidth="1"/>
    <col min="3360" max="3586" width="11.28515625" style="74"/>
    <col min="3587" max="3587" width="4" style="74" customWidth="1"/>
    <col min="3588" max="3588" width="3.42578125" style="74" customWidth="1"/>
    <col min="3589" max="3589" width="5.140625" style="74" customWidth="1"/>
    <col min="3590" max="3590" width="5.28515625" style="74" customWidth="1"/>
    <col min="3591" max="3591" width="6.85546875" style="74" customWidth="1"/>
    <col min="3592" max="3592" width="5.28515625" style="74" customWidth="1"/>
    <col min="3593" max="3593" width="6.28515625" style="74" customWidth="1"/>
    <col min="3594" max="3594" width="7.7109375" style="74" customWidth="1"/>
    <col min="3595" max="3596" width="0" style="74" hidden="1" customWidth="1"/>
    <col min="3597" max="3597" width="4" style="74" customWidth="1"/>
    <col min="3598" max="3602" width="4.28515625" style="74" customWidth="1"/>
    <col min="3603" max="3604" width="0" style="74" hidden="1" customWidth="1"/>
    <col min="3605" max="3607" width="4.28515625" style="74" customWidth="1"/>
    <col min="3608" max="3610" width="0" style="74" hidden="1" customWidth="1"/>
    <col min="3611" max="3611" width="11.7109375" style="74" bestFit="1" customWidth="1"/>
    <col min="3612" max="3612" width="12.42578125" style="74" customWidth="1"/>
    <col min="3613" max="3613" width="11.42578125" style="74" customWidth="1"/>
    <col min="3614" max="3614" width="12.140625" style="74" customWidth="1"/>
    <col min="3615" max="3615" width="11.7109375" style="74" bestFit="1" customWidth="1"/>
    <col min="3616" max="3842" width="11.28515625" style="74"/>
    <col min="3843" max="3843" width="4" style="74" customWidth="1"/>
    <col min="3844" max="3844" width="3.42578125" style="74" customWidth="1"/>
    <col min="3845" max="3845" width="5.140625" style="74" customWidth="1"/>
    <col min="3846" max="3846" width="5.28515625" style="74" customWidth="1"/>
    <col min="3847" max="3847" width="6.85546875" style="74" customWidth="1"/>
    <col min="3848" max="3848" width="5.28515625" style="74" customWidth="1"/>
    <col min="3849" max="3849" width="6.28515625" style="74" customWidth="1"/>
    <col min="3850" max="3850" width="7.7109375" style="74" customWidth="1"/>
    <col min="3851" max="3852" width="0" style="74" hidden="1" customWidth="1"/>
    <col min="3853" max="3853" width="4" style="74" customWidth="1"/>
    <col min="3854" max="3858" width="4.28515625" style="74" customWidth="1"/>
    <col min="3859" max="3860" width="0" style="74" hidden="1" customWidth="1"/>
    <col min="3861" max="3863" width="4.28515625" style="74" customWidth="1"/>
    <col min="3864" max="3866" width="0" style="74" hidden="1" customWidth="1"/>
    <col min="3867" max="3867" width="11.7109375" style="74" bestFit="1" customWidth="1"/>
    <col min="3868" max="3868" width="12.42578125" style="74" customWidth="1"/>
    <col min="3869" max="3869" width="11.42578125" style="74" customWidth="1"/>
    <col min="3870" max="3870" width="12.140625" style="74" customWidth="1"/>
    <col min="3871" max="3871" width="11.7109375" style="74" bestFit="1" customWidth="1"/>
    <col min="3872" max="4098" width="11.28515625" style="74"/>
    <col min="4099" max="4099" width="4" style="74" customWidth="1"/>
    <col min="4100" max="4100" width="3.42578125" style="74" customWidth="1"/>
    <col min="4101" max="4101" width="5.140625" style="74" customWidth="1"/>
    <col min="4102" max="4102" width="5.28515625" style="74" customWidth="1"/>
    <col min="4103" max="4103" width="6.85546875" style="74" customWidth="1"/>
    <col min="4104" max="4104" width="5.28515625" style="74" customWidth="1"/>
    <col min="4105" max="4105" width="6.28515625" style="74" customWidth="1"/>
    <col min="4106" max="4106" width="7.7109375" style="74" customWidth="1"/>
    <col min="4107" max="4108" width="0" style="74" hidden="1" customWidth="1"/>
    <col min="4109" max="4109" width="4" style="74" customWidth="1"/>
    <col min="4110" max="4114" width="4.28515625" style="74" customWidth="1"/>
    <col min="4115" max="4116" width="0" style="74" hidden="1" customWidth="1"/>
    <col min="4117" max="4119" width="4.28515625" style="74" customWidth="1"/>
    <col min="4120" max="4122" width="0" style="74" hidden="1" customWidth="1"/>
    <col min="4123" max="4123" width="11.7109375" style="74" bestFit="1" customWidth="1"/>
    <col min="4124" max="4124" width="12.42578125" style="74" customWidth="1"/>
    <col min="4125" max="4125" width="11.42578125" style="74" customWidth="1"/>
    <col min="4126" max="4126" width="12.140625" style="74" customWidth="1"/>
    <col min="4127" max="4127" width="11.7109375" style="74" bestFit="1" customWidth="1"/>
    <col min="4128" max="4354" width="11.28515625" style="74"/>
    <col min="4355" max="4355" width="4" style="74" customWidth="1"/>
    <col min="4356" max="4356" width="3.42578125" style="74" customWidth="1"/>
    <col min="4357" max="4357" width="5.140625" style="74" customWidth="1"/>
    <col min="4358" max="4358" width="5.28515625" style="74" customWidth="1"/>
    <col min="4359" max="4359" width="6.85546875" style="74" customWidth="1"/>
    <col min="4360" max="4360" width="5.28515625" style="74" customWidth="1"/>
    <col min="4361" max="4361" width="6.28515625" style="74" customWidth="1"/>
    <col min="4362" max="4362" width="7.7109375" style="74" customWidth="1"/>
    <col min="4363" max="4364" width="0" style="74" hidden="1" customWidth="1"/>
    <col min="4365" max="4365" width="4" style="74" customWidth="1"/>
    <col min="4366" max="4370" width="4.28515625" style="74" customWidth="1"/>
    <col min="4371" max="4372" width="0" style="74" hidden="1" customWidth="1"/>
    <col min="4373" max="4375" width="4.28515625" style="74" customWidth="1"/>
    <col min="4376" max="4378" width="0" style="74" hidden="1" customWidth="1"/>
    <col min="4379" max="4379" width="11.7109375" style="74" bestFit="1" customWidth="1"/>
    <col min="4380" max="4380" width="12.42578125" style="74" customWidth="1"/>
    <col min="4381" max="4381" width="11.42578125" style="74" customWidth="1"/>
    <col min="4382" max="4382" width="12.140625" style="74" customWidth="1"/>
    <col min="4383" max="4383" width="11.7109375" style="74" bestFit="1" customWidth="1"/>
    <col min="4384" max="4610" width="11.28515625" style="74"/>
    <col min="4611" max="4611" width="4" style="74" customWidth="1"/>
    <col min="4612" max="4612" width="3.42578125" style="74" customWidth="1"/>
    <col min="4613" max="4613" width="5.140625" style="74" customWidth="1"/>
    <col min="4614" max="4614" width="5.28515625" style="74" customWidth="1"/>
    <col min="4615" max="4615" width="6.85546875" style="74" customWidth="1"/>
    <col min="4616" max="4616" width="5.28515625" style="74" customWidth="1"/>
    <col min="4617" max="4617" width="6.28515625" style="74" customWidth="1"/>
    <col min="4618" max="4618" width="7.7109375" style="74" customWidth="1"/>
    <col min="4619" max="4620" width="0" style="74" hidden="1" customWidth="1"/>
    <col min="4621" max="4621" width="4" style="74" customWidth="1"/>
    <col min="4622" max="4626" width="4.28515625" style="74" customWidth="1"/>
    <col min="4627" max="4628" width="0" style="74" hidden="1" customWidth="1"/>
    <col min="4629" max="4631" width="4.28515625" style="74" customWidth="1"/>
    <col min="4632" max="4634" width="0" style="74" hidden="1" customWidth="1"/>
    <col min="4635" max="4635" width="11.7109375" style="74" bestFit="1" customWidth="1"/>
    <col min="4636" max="4636" width="12.42578125" style="74" customWidth="1"/>
    <col min="4637" max="4637" width="11.42578125" style="74" customWidth="1"/>
    <col min="4638" max="4638" width="12.140625" style="74" customWidth="1"/>
    <col min="4639" max="4639" width="11.7109375" style="74" bestFit="1" customWidth="1"/>
    <col min="4640" max="4866" width="11.28515625" style="74"/>
    <col min="4867" max="4867" width="4" style="74" customWidth="1"/>
    <col min="4868" max="4868" width="3.42578125" style="74" customWidth="1"/>
    <col min="4869" max="4869" width="5.140625" style="74" customWidth="1"/>
    <col min="4870" max="4870" width="5.28515625" style="74" customWidth="1"/>
    <col min="4871" max="4871" width="6.85546875" style="74" customWidth="1"/>
    <col min="4872" max="4872" width="5.28515625" style="74" customWidth="1"/>
    <col min="4873" max="4873" width="6.28515625" style="74" customWidth="1"/>
    <col min="4874" max="4874" width="7.7109375" style="74" customWidth="1"/>
    <col min="4875" max="4876" width="0" style="74" hidden="1" customWidth="1"/>
    <col min="4877" max="4877" width="4" style="74" customWidth="1"/>
    <col min="4878" max="4882" width="4.28515625" style="74" customWidth="1"/>
    <col min="4883" max="4884" width="0" style="74" hidden="1" customWidth="1"/>
    <col min="4885" max="4887" width="4.28515625" style="74" customWidth="1"/>
    <col min="4888" max="4890" width="0" style="74" hidden="1" customWidth="1"/>
    <col min="4891" max="4891" width="11.7109375" style="74" bestFit="1" customWidth="1"/>
    <col min="4892" max="4892" width="12.42578125" style="74" customWidth="1"/>
    <col min="4893" max="4893" width="11.42578125" style="74" customWidth="1"/>
    <col min="4894" max="4894" width="12.140625" style="74" customWidth="1"/>
    <col min="4895" max="4895" width="11.7109375" style="74" bestFit="1" customWidth="1"/>
    <col min="4896" max="5122" width="11.28515625" style="74"/>
    <col min="5123" max="5123" width="4" style="74" customWidth="1"/>
    <col min="5124" max="5124" width="3.42578125" style="74" customWidth="1"/>
    <col min="5125" max="5125" width="5.140625" style="74" customWidth="1"/>
    <col min="5126" max="5126" width="5.28515625" style="74" customWidth="1"/>
    <col min="5127" max="5127" width="6.85546875" style="74" customWidth="1"/>
    <col min="5128" max="5128" width="5.28515625" style="74" customWidth="1"/>
    <col min="5129" max="5129" width="6.28515625" style="74" customWidth="1"/>
    <col min="5130" max="5130" width="7.7109375" style="74" customWidth="1"/>
    <col min="5131" max="5132" width="0" style="74" hidden="1" customWidth="1"/>
    <col min="5133" max="5133" width="4" style="74" customWidth="1"/>
    <col min="5134" max="5138" width="4.28515625" style="74" customWidth="1"/>
    <col min="5139" max="5140" width="0" style="74" hidden="1" customWidth="1"/>
    <col min="5141" max="5143" width="4.28515625" style="74" customWidth="1"/>
    <col min="5144" max="5146" width="0" style="74" hidden="1" customWidth="1"/>
    <col min="5147" max="5147" width="11.7109375" style="74" bestFit="1" customWidth="1"/>
    <col min="5148" max="5148" width="12.42578125" style="74" customWidth="1"/>
    <col min="5149" max="5149" width="11.42578125" style="74" customWidth="1"/>
    <col min="5150" max="5150" width="12.140625" style="74" customWidth="1"/>
    <col min="5151" max="5151" width="11.7109375" style="74" bestFit="1" customWidth="1"/>
    <col min="5152" max="5378" width="11.28515625" style="74"/>
    <col min="5379" max="5379" width="4" style="74" customWidth="1"/>
    <col min="5380" max="5380" width="3.42578125" style="74" customWidth="1"/>
    <col min="5381" max="5381" width="5.140625" style="74" customWidth="1"/>
    <col min="5382" max="5382" width="5.28515625" style="74" customWidth="1"/>
    <col min="5383" max="5383" width="6.85546875" style="74" customWidth="1"/>
    <col min="5384" max="5384" width="5.28515625" style="74" customWidth="1"/>
    <col min="5385" max="5385" width="6.28515625" style="74" customWidth="1"/>
    <col min="5386" max="5386" width="7.7109375" style="74" customWidth="1"/>
    <col min="5387" max="5388" width="0" style="74" hidden="1" customWidth="1"/>
    <col min="5389" max="5389" width="4" style="74" customWidth="1"/>
    <col min="5390" max="5394" width="4.28515625" style="74" customWidth="1"/>
    <col min="5395" max="5396" width="0" style="74" hidden="1" customWidth="1"/>
    <col min="5397" max="5399" width="4.28515625" style="74" customWidth="1"/>
    <col min="5400" max="5402" width="0" style="74" hidden="1" customWidth="1"/>
    <col min="5403" max="5403" width="11.7109375" style="74" bestFit="1" customWidth="1"/>
    <col min="5404" max="5404" width="12.42578125" style="74" customWidth="1"/>
    <col min="5405" max="5405" width="11.42578125" style="74" customWidth="1"/>
    <col min="5406" max="5406" width="12.140625" style="74" customWidth="1"/>
    <col min="5407" max="5407" width="11.7109375" style="74" bestFit="1" customWidth="1"/>
    <col min="5408" max="5634" width="11.28515625" style="74"/>
    <col min="5635" max="5635" width="4" style="74" customWidth="1"/>
    <col min="5636" max="5636" width="3.42578125" style="74" customWidth="1"/>
    <col min="5637" max="5637" width="5.140625" style="74" customWidth="1"/>
    <col min="5638" max="5638" width="5.28515625" style="74" customWidth="1"/>
    <col min="5639" max="5639" width="6.85546875" style="74" customWidth="1"/>
    <col min="5640" max="5640" width="5.28515625" style="74" customWidth="1"/>
    <col min="5641" max="5641" width="6.28515625" style="74" customWidth="1"/>
    <col min="5642" max="5642" width="7.7109375" style="74" customWidth="1"/>
    <col min="5643" max="5644" width="0" style="74" hidden="1" customWidth="1"/>
    <col min="5645" max="5645" width="4" style="74" customWidth="1"/>
    <col min="5646" max="5650" width="4.28515625" style="74" customWidth="1"/>
    <col min="5651" max="5652" width="0" style="74" hidden="1" customWidth="1"/>
    <col min="5653" max="5655" width="4.28515625" style="74" customWidth="1"/>
    <col min="5656" max="5658" width="0" style="74" hidden="1" customWidth="1"/>
    <col min="5659" max="5659" width="11.7109375" style="74" bestFit="1" customWidth="1"/>
    <col min="5660" max="5660" width="12.42578125" style="74" customWidth="1"/>
    <col min="5661" max="5661" width="11.42578125" style="74" customWidth="1"/>
    <col min="5662" max="5662" width="12.140625" style="74" customWidth="1"/>
    <col min="5663" max="5663" width="11.7109375" style="74" bestFit="1" customWidth="1"/>
    <col min="5664" max="5890" width="11.28515625" style="74"/>
    <col min="5891" max="5891" width="4" style="74" customWidth="1"/>
    <col min="5892" max="5892" width="3.42578125" style="74" customWidth="1"/>
    <col min="5893" max="5893" width="5.140625" style="74" customWidth="1"/>
    <col min="5894" max="5894" width="5.28515625" style="74" customWidth="1"/>
    <col min="5895" max="5895" width="6.85546875" style="74" customWidth="1"/>
    <col min="5896" max="5896" width="5.28515625" style="74" customWidth="1"/>
    <col min="5897" max="5897" width="6.28515625" style="74" customWidth="1"/>
    <col min="5898" max="5898" width="7.7109375" style="74" customWidth="1"/>
    <col min="5899" max="5900" width="0" style="74" hidden="1" customWidth="1"/>
    <col min="5901" max="5901" width="4" style="74" customWidth="1"/>
    <col min="5902" max="5906" width="4.28515625" style="74" customWidth="1"/>
    <col min="5907" max="5908" width="0" style="74" hidden="1" customWidth="1"/>
    <col min="5909" max="5911" width="4.28515625" style="74" customWidth="1"/>
    <col min="5912" max="5914" width="0" style="74" hidden="1" customWidth="1"/>
    <col min="5915" max="5915" width="11.7109375" style="74" bestFit="1" customWidth="1"/>
    <col min="5916" max="5916" width="12.42578125" style="74" customWidth="1"/>
    <col min="5917" max="5917" width="11.42578125" style="74" customWidth="1"/>
    <col min="5918" max="5918" width="12.140625" style="74" customWidth="1"/>
    <col min="5919" max="5919" width="11.7109375" style="74" bestFit="1" customWidth="1"/>
    <col min="5920" max="6146" width="11.28515625" style="74"/>
    <col min="6147" max="6147" width="4" style="74" customWidth="1"/>
    <col min="6148" max="6148" width="3.42578125" style="74" customWidth="1"/>
    <col min="6149" max="6149" width="5.140625" style="74" customWidth="1"/>
    <col min="6150" max="6150" width="5.28515625" style="74" customWidth="1"/>
    <col min="6151" max="6151" width="6.85546875" style="74" customWidth="1"/>
    <col min="6152" max="6152" width="5.28515625" style="74" customWidth="1"/>
    <col min="6153" max="6153" width="6.28515625" style="74" customWidth="1"/>
    <col min="6154" max="6154" width="7.7109375" style="74" customWidth="1"/>
    <col min="6155" max="6156" width="0" style="74" hidden="1" customWidth="1"/>
    <col min="6157" max="6157" width="4" style="74" customWidth="1"/>
    <col min="6158" max="6162" width="4.28515625" style="74" customWidth="1"/>
    <col min="6163" max="6164" width="0" style="74" hidden="1" customWidth="1"/>
    <col min="6165" max="6167" width="4.28515625" style="74" customWidth="1"/>
    <col min="6168" max="6170" width="0" style="74" hidden="1" customWidth="1"/>
    <col min="6171" max="6171" width="11.7109375" style="74" bestFit="1" customWidth="1"/>
    <col min="6172" max="6172" width="12.42578125" style="74" customWidth="1"/>
    <col min="6173" max="6173" width="11.42578125" style="74" customWidth="1"/>
    <col min="6174" max="6174" width="12.140625" style="74" customWidth="1"/>
    <col min="6175" max="6175" width="11.7109375" style="74" bestFit="1" customWidth="1"/>
    <col min="6176" max="6402" width="11.28515625" style="74"/>
    <col min="6403" max="6403" width="4" style="74" customWidth="1"/>
    <col min="6404" max="6404" width="3.42578125" style="74" customWidth="1"/>
    <col min="6405" max="6405" width="5.140625" style="74" customWidth="1"/>
    <col min="6406" max="6406" width="5.28515625" style="74" customWidth="1"/>
    <col min="6407" max="6407" width="6.85546875" style="74" customWidth="1"/>
    <col min="6408" max="6408" width="5.28515625" style="74" customWidth="1"/>
    <col min="6409" max="6409" width="6.28515625" style="74" customWidth="1"/>
    <col min="6410" max="6410" width="7.7109375" style="74" customWidth="1"/>
    <col min="6411" max="6412" width="0" style="74" hidden="1" customWidth="1"/>
    <col min="6413" max="6413" width="4" style="74" customWidth="1"/>
    <col min="6414" max="6418" width="4.28515625" style="74" customWidth="1"/>
    <col min="6419" max="6420" width="0" style="74" hidden="1" customWidth="1"/>
    <col min="6421" max="6423" width="4.28515625" style="74" customWidth="1"/>
    <col min="6424" max="6426" width="0" style="74" hidden="1" customWidth="1"/>
    <col min="6427" max="6427" width="11.7109375" style="74" bestFit="1" customWidth="1"/>
    <col min="6428" max="6428" width="12.42578125" style="74" customWidth="1"/>
    <col min="6429" max="6429" width="11.42578125" style="74" customWidth="1"/>
    <col min="6430" max="6430" width="12.140625" style="74" customWidth="1"/>
    <col min="6431" max="6431" width="11.7109375" style="74" bestFit="1" customWidth="1"/>
    <col min="6432" max="6658" width="11.28515625" style="74"/>
    <col min="6659" max="6659" width="4" style="74" customWidth="1"/>
    <col min="6660" max="6660" width="3.42578125" style="74" customWidth="1"/>
    <col min="6661" max="6661" width="5.140625" style="74" customWidth="1"/>
    <col min="6662" max="6662" width="5.28515625" style="74" customWidth="1"/>
    <col min="6663" max="6663" width="6.85546875" style="74" customWidth="1"/>
    <col min="6664" max="6664" width="5.28515625" style="74" customWidth="1"/>
    <col min="6665" max="6665" width="6.28515625" style="74" customWidth="1"/>
    <col min="6666" max="6666" width="7.7109375" style="74" customWidth="1"/>
    <col min="6667" max="6668" width="0" style="74" hidden="1" customWidth="1"/>
    <col min="6669" max="6669" width="4" style="74" customWidth="1"/>
    <col min="6670" max="6674" width="4.28515625" style="74" customWidth="1"/>
    <col min="6675" max="6676" width="0" style="74" hidden="1" customWidth="1"/>
    <col min="6677" max="6679" width="4.28515625" style="74" customWidth="1"/>
    <col min="6680" max="6682" width="0" style="74" hidden="1" customWidth="1"/>
    <col min="6683" max="6683" width="11.7109375" style="74" bestFit="1" customWidth="1"/>
    <col min="6684" max="6684" width="12.42578125" style="74" customWidth="1"/>
    <col min="6685" max="6685" width="11.42578125" style="74" customWidth="1"/>
    <col min="6686" max="6686" width="12.140625" style="74" customWidth="1"/>
    <col min="6687" max="6687" width="11.7109375" style="74" bestFit="1" customWidth="1"/>
    <col min="6688" max="6914" width="11.28515625" style="74"/>
    <col min="6915" max="6915" width="4" style="74" customWidth="1"/>
    <col min="6916" max="6916" width="3.42578125" style="74" customWidth="1"/>
    <col min="6917" max="6917" width="5.140625" style="74" customWidth="1"/>
    <col min="6918" max="6918" width="5.28515625" style="74" customWidth="1"/>
    <col min="6919" max="6919" width="6.85546875" style="74" customWidth="1"/>
    <col min="6920" max="6920" width="5.28515625" style="74" customWidth="1"/>
    <col min="6921" max="6921" width="6.28515625" style="74" customWidth="1"/>
    <col min="6922" max="6922" width="7.7109375" style="74" customWidth="1"/>
    <col min="6923" max="6924" width="0" style="74" hidden="1" customWidth="1"/>
    <col min="6925" max="6925" width="4" style="74" customWidth="1"/>
    <col min="6926" max="6930" width="4.28515625" style="74" customWidth="1"/>
    <col min="6931" max="6932" width="0" style="74" hidden="1" customWidth="1"/>
    <col min="6933" max="6935" width="4.28515625" style="74" customWidth="1"/>
    <col min="6936" max="6938" width="0" style="74" hidden="1" customWidth="1"/>
    <col min="6939" max="6939" width="11.7109375" style="74" bestFit="1" customWidth="1"/>
    <col min="6940" max="6940" width="12.42578125" style="74" customWidth="1"/>
    <col min="6941" max="6941" width="11.42578125" style="74" customWidth="1"/>
    <col min="6942" max="6942" width="12.140625" style="74" customWidth="1"/>
    <col min="6943" max="6943" width="11.7109375" style="74" bestFit="1" customWidth="1"/>
    <col min="6944" max="7170" width="11.28515625" style="74"/>
    <col min="7171" max="7171" width="4" style="74" customWidth="1"/>
    <col min="7172" max="7172" width="3.42578125" style="74" customWidth="1"/>
    <col min="7173" max="7173" width="5.140625" style="74" customWidth="1"/>
    <col min="7174" max="7174" width="5.28515625" style="74" customWidth="1"/>
    <col min="7175" max="7175" width="6.85546875" style="74" customWidth="1"/>
    <col min="7176" max="7176" width="5.28515625" style="74" customWidth="1"/>
    <col min="7177" max="7177" width="6.28515625" style="74" customWidth="1"/>
    <col min="7178" max="7178" width="7.7109375" style="74" customWidth="1"/>
    <col min="7179" max="7180" width="0" style="74" hidden="1" customWidth="1"/>
    <col min="7181" max="7181" width="4" style="74" customWidth="1"/>
    <col min="7182" max="7186" width="4.28515625" style="74" customWidth="1"/>
    <col min="7187" max="7188" width="0" style="74" hidden="1" customWidth="1"/>
    <col min="7189" max="7191" width="4.28515625" style="74" customWidth="1"/>
    <col min="7192" max="7194" width="0" style="74" hidden="1" customWidth="1"/>
    <col min="7195" max="7195" width="11.7109375" style="74" bestFit="1" customWidth="1"/>
    <col min="7196" max="7196" width="12.42578125" style="74" customWidth="1"/>
    <col min="7197" max="7197" width="11.42578125" style="74" customWidth="1"/>
    <col min="7198" max="7198" width="12.140625" style="74" customWidth="1"/>
    <col min="7199" max="7199" width="11.7109375" style="74" bestFit="1" customWidth="1"/>
    <col min="7200" max="7426" width="11.28515625" style="74"/>
    <col min="7427" max="7427" width="4" style="74" customWidth="1"/>
    <col min="7428" max="7428" width="3.42578125" style="74" customWidth="1"/>
    <col min="7429" max="7429" width="5.140625" style="74" customWidth="1"/>
    <col min="7430" max="7430" width="5.28515625" style="74" customWidth="1"/>
    <col min="7431" max="7431" width="6.85546875" style="74" customWidth="1"/>
    <col min="7432" max="7432" width="5.28515625" style="74" customWidth="1"/>
    <col min="7433" max="7433" width="6.28515625" style="74" customWidth="1"/>
    <col min="7434" max="7434" width="7.7109375" style="74" customWidth="1"/>
    <col min="7435" max="7436" width="0" style="74" hidden="1" customWidth="1"/>
    <col min="7437" max="7437" width="4" style="74" customWidth="1"/>
    <col min="7438" max="7442" width="4.28515625" style="74" customWidth="1"/>
    <col min="7443" max="7444" width="0" style="74" hidden="1" customWidth="1"/>
    <col min="7445" max="7447" width="4.28515625" style="74" customWidth="1"/>
    <col min="7448" max="7450" width="0" style="74" hidden="1" customWidth="1"/>
    <col min="7451" max="7451" width="11.7109375" style="74" bestFit="1" customWidth="1"/>
    <col min="7452" max="7452" width="12.42578125" style="74" customWidth="1"/>
    <col min="7453" max="7453" width="11.42578125" style="74" customWidth="1"/>
    <col min="7454" max="7454" width="12.140625" style="74" customWidth="1"/>
    <col min="7455" max="7455" width="11.7109375" style="74" bestFit="1" customWidth="1"/>
    <col min="7456" max="7682" width="11.28515625" style="74"/>
    <col min="7683" max="7683" width="4" style="74" customWidth="1"/>
    <col min="7684" max="7684" width="3.42578125" style="74" customWidth="1"/>
    <col min="7685" max="7685" width="5.140625" style="74" customWidth="1"/>
    <col min="7686" max="7686" width="5.28515625" style="74" customWidth="1"/>
    <col min="7687" max="7687" width="6.85546875" style="74" customWidth="1"/>
    <col min="7688" max="7688" width="5.28515625" style="74" customWidth="1"/>
    <col min="7689" max="7689" width="6.28515625" style="74" customWidth="1"/>
    <col min="7690" max="7690" width="7.7109375" style="74" customWidth="1"/>
    <col min="7691" max="7692" width="0" style="74" hidden="1" customWidth="1"/>
    <col min="7693" max="7693" width="4" style="74" customWidth="1"/>
    <col min="7694" max="7698" width="4.28515625" style="74" customWidth="1"/>
    <col min="7699" max="7700" width="0" style="74" hidden="1" customWidth="1"/>
    <col min="7701" max="7703" width="4.28515625" style="74" customWidth="1"/>
    <col min="7704" max="7706" width="0" style="74" hidden="1" customWidth="1"/>
    <col min="7707" max="7707" width="11.7109375" style="74" bestFit="1" customWidth="1"/>
    <col min="7708" max="7708" width="12.42578125" style="74" customWidth="1"/>
    <col min="7709" max="7709" width="11.42578125" style="74" customWidth="1"/>
    <col min="7710" max="7710" width="12.140625" style="74" customWidth="1"/>
    <col min="7711" max="7711" width="11.7109375" style="74" bestFit="1" customWidth="1"/>
    <col min="7712" max="7938" width="11.28515625" style="74"/>
    <col min="7939" max="7939" width="4" style="74" customWidth="1"/>
    <col min="7940" max="7940" width="3.42578125" style="74" customWidth="1"/>
    <col min="7941" max="7941" width="5.140625" style="74" customWidth="1"/>
    <col min="7942" max="7942" width="5.28515625" style="74" customWidth="1"/>
    <col min="7943" max="7943" width="6.85546875" style="74" customWidth="1"/>
    <col min="7944" max="7944" width="5.28515625" style="74" customWidth="1"/>
    <col min="7945" max="7945" width="6.28515625" style="74" customWidth="1"/>
    <col min="7946" max="7946" width="7.7109375" style="74" customWidth="1"/>
    <col min="7947" max="7948" width="0" style="74" hidden="1" customWidth="1"/>
    <col min="7949" max="7949" width="4" style="74" customWidth="1"/>
    <col min="7950" max="7954" width="4.28515625" style="74" customWidth="1"/>
    <col min="7955" max="7956" width="0" style="74" hidden="1" customWidth="1"/>
    <col min="7957" max="7959" width="4.28515625" style="74" customWidth="1"/>
    <col min="7960" max="7962" width="0" style="74" hidden="1" customWidth="1"/>
    <col min="7963" max="7963" width="11.7109375" style="74" bestFit="1" customWidth="1"/>
    <col min="7964" max="7964" width="12.42578125" style="74" customWidth="1"/>
    <col min="7965" max="7965" width="11.42578125" style="74" customWidth="1"/>
    <col min="7966" max="7966" width="12.140625" style="74" customWidth="1"/>
    <col min="7967" max="7967" width="11.7109375" style="74" bestFit="1" customWidth="1"/>
    <col min="7968" max="8194" width="11.28515625" style="74"/>
    <col min="8195" max="8195" width="4" style="74" customWidth="1"/>
    <col min="8196" max="8196" width="3.42578125" style="74" customWidth="1"/>
    <col min="8197" max="8197" width="5.140625" style="74" customWidth="1"/>
    <col min="8198" max="8198" width="5.28515625" style="74" customWidth="1"/>
    <col min="8199" max="8199" width="6.85546875" style="74" customWidth="1"/>
    <col min="8200" max="8200" width="5.28515625" style="74" customWidth="1"/>
    <col min="8201" max="8201" width="6.28515625" style="74" customWidth="1"/>
    <col min="8202" max="8202" width="7.7109375" style="74" customWidth="1"/>
    <col min="8203" max="8204" width="0" style="74" hidden="1" customWidth="1"/>
    <col min="8205" max="8205" width="4" style="74" customWidth="1"/>
    <col min="8206" max="8210" width="4.28515625" style="74" customWidth="1"/>
    <col min="8211" max="8212" width="0" style="74" hidden="1" customWidth="1"/>
    <col min="8213" max="8215" width="4.28515625" style="74" customWidth="1"/>
    <col min="8216" max="8218" width="0" style="74" hidden="1" customWidth="1"/>
    <col min="8219" max="8219" width="11.7109375" style="74" bestFit="1" customWidth="1"/>
    <col min="8220" max="8220" width="12.42578125" style="74" customWidth="1"/>
    <col min="8221" max="8221" width="11.42578125" style="74" customWidth="1"/>
    <col min="8222" max="8222" width="12.140625" style="74" customWidth="1"/>
    <col min="8223" max="8223" width="11.7109375" style="74" bestFit="1" customWidth="1"/>
    <col min="8224" max="8450" width="11.28515625" style="74"/>
    <col min="8451" max="8451" width="4" style="74" customWidth="1"/>
    <col min="8452" max="8452" width="3.42578125" style="74" customWidth="1"/>
    <col min="8453" max="8453" width="5.140625" style="74" customWidth="1"/>
    <col min="8454" max="8454" width="5.28515625" style="74" customWidth="1"/>
    <col min="8455" max="8455" width="6.85546875" style="74" customWidth="1"/>
    <col min="8456" max="8456" width="5.28515625" style="74" customWidth="1"/>
    <col min="8457" max="8457" width="6.28515625" style="74" customWidth="1"/>
    <col min="8458" max="8458" width="7.7109375" style="74" customWidth="1"/>
    <col min="8459" max="8460" width="0" style="74" hidden="1" customWidth="1"/>
    <col min="8461" max="8461" width="4" style="74" customWidth="1"/>
    <col min="8462" max="8466" width="4.28515625" style="74" customWidth="1"/>
    <col min="8467" max="8468" width="0" style="74" hidden="1" customWidth="1"/>
    <col min="8469" max="8471" width="4.28515625" style="74" customWidth="1"/>
    <col min="8472" max="8474" width="0" style="74" hidden="1" customWidth="1"/>
    <col min="8475" max="8475" width="11.7109375" style="74" bestFit="1" customWidth="1"/>
    <col min="8476" max="8476" width="12.42578125" style="74" customWidth="1"/>
    <col min="8477" max="8477" width="11.42578125" style="74" customWidth="1"/>
    <col min="8478" max="8478" width="12.140625" style="74" customWidth="1"/>
    <col min="8479" max="8479" width="11.7109375" style="74" bestFit="1" customWidth="1"/>
    <col min="8480" max="8706" width="11.28515625" style="74"/>
    <col min="8707" max="8707" width="4" style="74" customWidth="1"/>
    <col min="8708" max="8708" width="3.42578125" style="74" customWidth="1"/>
    <col min="8709" max="8709" width="5.140625" style="74" customWidth="1"/>
    <col min="8710" max="8710" width="5.28515625" style="74" customWidth="1"/>
    <col min="8711" max="8711" width="6.85546875" style="74" customWidth="1"/>
    <col min="8712" max="8712" width="5.28515625" style="74" customWidth="1"/>
    <col min="8713" max="8713" width="6.28515625" style="74" customWidth="1"/>
    <col min="8714" max="8714" width="7.7109375" style="74" customWidth="1"/>
    <col min="8715" max="8716" width="0" style="74" hidden="1" customWidth="1"/>
    <col min="8717" max="8717" width="4" style="74" customWidth="1"/>
    <col min="8718" max="8722" width="4.28515625" style="74" customWidth="1"/>
    <col min="8723" max="8724" width="0" style="74" hidden="1" customWidth="1"/>
    <col min="8725" max="8727" width="4.28515625" style="74" customWidth="1"/>
    <col min="8728" max="8730" width="0" style="74" hidden="1" customWidth="1"/>
    <col min="8731" max="8731" width="11.7109375" style="74" bestFit="1" customWidth="1"/>
    <col min="8732" max="8732" width="12.42578125" style="74" customWidth="1"/>
    <col min="8733" max="8733" width="11.42578125" style="74" customWidth="1"/>
    <col min="8734" max="8734" width="12.140625" style="74" customWidth="1"/>
    <col min="8735" max="8735" width="11.7109375" style="74" bestFit="1" customWidth="1"/>
    <col min="8736" max="8962" width="11.28515625" style="74"/>
    <col min="8963" max="8963" width="4" style="74" customWidth="1"/>
    <col min="8964" max="8964" width="3.42578125" style="74" customWidth="1"/>
    <col min="8965" max="8965" width="5.140625" style="74" customWidth="1"/>
    <col min="8966" max="8966" width="5.28515625" style="74" customWidth="1"/>
    <col min="8967" max="8967" width="6.85546875" style="74" customWidth="1"/>
    <col min="8968" max="8968" width="5.28515625" style="74" customWidth="1"/>
    <col min="8969" max="8969" width="6.28515625" style="74" customWidth="1"/>
    <col min="8970" max="8970" width="7.7109375" style="74" customWidth="1"/>
    <col min="8971" max="8972" width="0" style="74" hidden="1" customWidth="1"/>
    <col min="8973" max="8973" width="4" style="74" customWidth="1"/>
    <col min="8974" max="8978" width="4.28515625" style="74" customWidth="1"/>
    <col min="8979" max="8980" width="0" style="74" hidden="1" customWidth="1"/>
    <col min="8981" max="8983" width="4.28515625" style="74" customWidth="1"/>
    <col min="8984" max="8986" width="0" style="74" hidden="1" customWidth="1"/>
    <col min="8987" max="8987" width="11.7109375" style="74" bestFit="1" customWidth="1"/>
    <col min="8988" max="8988" width="12.42578125" style="74" customWidth="1"/>
    <col min="8989" max="8989" width="11.42578125" style="74" customWidth="1"/>
    <col min="8990" max="8990" width="12.140625" style="74" customWidth="1"/>
    <col min="8991" max="8991" width="11.7109375" style="74" bestFit="1" customWidth="1"/>
    <col min="8992" max="9218" width="11.28515625" style="74"/>
    <col min="9219" max="9219" width="4" style="74" customWidth="1"/>
    <col min="9220" max="9220" width="3.42578125" style="74" customWidth="1"/>
    <col min="9221" max="9221" width="5.140625" style="74" customWidth="1"/>
    <col min="9222" max="9222" width="5.28515625" style="74" customWidth="1"/>
    <col min="9223" max="9223" width="6.85546875" style="74" customWidth="1"/>
    <col min="9224" max="9224" width="5.28515625" style="74" customWidth="1"/>
    <col min="9225" max="9225" width="6.28515625" style="74" customWidth="1"/>
    <col min="9226" max="9226" width="7.7109375" style="74" customWidth="1"/>
    <col min="9227" max="9228" width="0" style="74" hidden="1" customWidth="1"/>
    <col min="9229" max="9229" width="4" style="74" customWidth="1"/>
    <col min="9230" max="9234" width="4.28515625" style="74" customWidth="1"/>
    <col min="9235" max="9236" width="0" style="74" hidden="1" customWidth="1"/>
    <col min="9237" max="9239" width="4.28515625" style="74" customWidth="1"/>
    <col min="9240" max="9242" width="0" style="74" hidden="1" customWidth="1"/>
    <col min="9243" max="9243" width="11.7109375" style="74" bestFit="1" customWidth="1"/>
    <col min="9244" max="9244" width="12.42578125" style="74" customWidth="1"/>
    <col min="9245" max="9245" width="11.42578125" style="74" customWidth="1"/>
    <col min="9246" max="9246" width="12.140625" style="74" customWidth="1"/>
    <col min="9247" max="9247" width="11.7109375" style="74" bestFit="1" customWidth="1"/>
    <col min="9248" max="9474" width="11.28515625" style="74"/>
    <col min="9475" max="9475" width="4" style="74" customWidth="1"/>
    <col min="9476" max="9476" width="3.42578125" style="74" customWidth="1"/>
    <col min="9477" max="9477" width="5.140625" style="74" customWidth="1"/>
    <col min="9478" max="9478" width="5.28515625" style="74" customWidth="1"/>
    <col min="9479" max="9479" width="6.85546875" style="74" customWidth="1"/>
    <col min="9480" max="9480" width="5.28515625" style="74" customWidth="1"/>
    <col min="9481" max="9481" width="6.28515625" style="74" customWidth="1"/>
    <col min="9482" max="9482" width="7.7109375" style="74" customWidth="1"/>
    <col min="9483" max="9484" width="0" style="74" hidden="1" customWidth="1"/>
    <col min="9485" max="9485" width="4" style="74" customWidth="1"/>
    <col min="9486" max="9490" width="4.28515625" style="74" customWidth="1"/>
    <col min="9491" max="9492" width="0" style="74" hidden="1" customWidth="1"/>
    <col min="9493" max="9495" width="4.28515625" style="74" customWidth="1"/>
    <col min="9496" max="9498" width="0" style="74" hidden="1" customWidth="1"/>
    <col min="9499" max="9499" width="11.7109375" style="74" bestFit="1" customWidth="1"/>
    <col min="9500" max="9500" width="12.42578125" style="74" customWidth="1"/>
    <col min="9501" max="9501" width="11.42578125" style="74" customWidth="1"/>
    <col min="9502" max="9502" width="12.140625" style="74" customWidth="1"/>
    <col min="9503" max="9503" width="11.7109375" style="74" bestFit="1" customWidth="1"/>
    <col min="9504" max="9730" width="11.28515625" style="74"/>
    <col min="9731" max="9731" width="4" style="74" customWidth="1"/>
    <col min="9732" max="9732" width="3.42578125" style="74" customWidth="1"/>
    <col min="9733" max="9733" width="5.140625" style="74" customWidth="1"/>
    <col min="9734" max="9734" width="5.28515625" style="74" customWidth="1"/>
    <col min="9735" max="9735" width="6.85546875" style="74" customWidth="1"/>
    <col min="9736" max="9736" width="5.28515625" style="74" customWidth="1"/>
    <col min="9737" max="9737" width="6.28515625" style="74" customWidth="1"/>
    <col min="9738" max="9738" width="7.7109375" style="74" customWidth="1"/>
    <col min="9739" max="9740" width="0" style="74" hidden="1" customWidth="1"/>
    <col min="9741" max="9741" width="4" style="74" customWidth="1"/>
    <col min="9742" max="9746" width="4.28515625" style="74" customWidth="1"/>
    <col min="9747" max="9748" width="0" style="74" hidden="1" customWidth="1"/>
    <col min="9749" max="9751" width="4.28515625" style="74" customWidth="1"/>
    <col min="9752" max="9754" width="0" style="74" hidden="1" customWidth="1"/>
    <col min="9755" max="9755" width="11.7109375" style="74" bestFit="1" customWidth="1"/>
    <col min="9756" max="9756" width="12.42578125" style="74" customWidth="1"/>
    <col min="9757" max="9757" width="11.42578125" style="74" customWidth="1"/>
    <col min="9758" max="9758" width="12.140625" style="74" customWidth="1"/>
    <col min="9759" max="9759" width="11.7109375" style="74" bestFit="1" customWidth="1"/>
    <col min="9760" max="9986" width="11.28515625" style="74"/>
    <col min="9987" max="9987" width="4" style="74" customWidth="1"/>
    <col min="9988" max="9988" width="3.42578125" style="74" customWidth="1"/>
    <col min="9989" max="9989" width="5.140625" style="74" customWidth="1"/>
    <col min="9990" max="9990" width="5.28515625" style="74" customWidth="1"/>
    <col min="9991" max="9991" width="6.85546875" style="74" customWidth="1"/>
    <col min="9992" max="9992" width="5.28515625" style="74" customWidth="1"/>
    <col min="9993" max="9993" width="6.28515625" style="74" customWidth="1"/>
    <col min="9994" max="9994" width="7.7109375" style="74" customWidth="1"/>
    <col min="9995" max="9996" width="0" style="74" hidden="1" customWidth="1"/>
    <col min="9997" max="9997" width="4" style="74" customWidth="1"/>
    <col min="9998" max="10002" width="4.28515625" style="74" customWidth="1"/>
    <col min="10003" max="10004" width="0" style="74" hidden="1" customWidth="1"/>
    <col min="10005" max="10007" width="4.28515625" style="74" customWidth="1"/>
    <col min="10008" max="10010" width="0" style="74" hidden="1" customWidth="1"/>
    <col min="10011" max="10011" width="11.7109375" style="74" bestFit="1" customWidth="1"/>
    <col min="10012" max="10012" width="12.42578125" style="74" customWidth="1"/>
    <col min="10013" max="10013" width="11.42578125" style="74" customWidth="1"/>
    <col min="10014" max="10014" width="12.140625" style="74" customWidth="1"/>
    <col min="10015" max="10015" width="11.7109375" style="74" bestFit="1" customWidth="1"/>
    <col min="10016" max="10242" width="11.28515625" style="74"/>
    <col min="10243" max="10243" width="4" style="74" customWidth="1"/>
    <col min="10244" max="10244" width="3.42578125" style="74" customWidth="1"/>
    <col min="10245" max="10245" width="5.140625" style="74" customWidth="1"/>
    <col min="10246" max="10246" width="5.28515625" style="74" customWidth="1"/>
    <col min="10247" max="10247" width="6.85546875" style="74" customWidth="1"/>
    <col min="10248" max="10248" width="5.28515625" style="74" customWidth="1"/>
    <col min="10249" max="10249" width="6.28515625" style="74" customWidth="1"/>
    <col min="10250" max="10250" width="7.7109375" style="74" customWidth="1"/>
    <col min="10251" max="10252" width="0" style="74" hidden="1" customWidth="1"/>
    <col min="10253" max="10253" width="4" style="74" customWidth="1"/>
    <col min="10254" max="10258" width="4.28515625" style="74" customWidth="1"/>
    <col min="10259" max="10260" width="0" style="74" hidden="1" customWidth="1"/>
    <col min="10261" max="10263" width="4.28515625" style="74" customWidth="1"/>
    <col min="10264" max="10266" width="0" style="74" hidden="1" customWidth="1"/>
    <col min="10267" max="10267" width="11.7109375" style="74" bestFit="1" customWidth="1"/>
    <col min="10268" max="10268" width="12.42578125" style="74" customWidth="1"/>
    <col min="10269" max="10269" width="11.42578125" style="74" customWidth="1"/>
    <col min="10270" max="10270" width="12.140625" style="74" customWidth="1"/>
    <col min="10271" max="10271" width="11.7109375" style="74" bestFit="1" customWidth="1"/>
    <col min="10272" max="10498" width="11.28515625" style="74"/>
    <col min="10499" max="10499" width="4" style="74" customWidth="1"/>
    <col min="10500" max="10500" width="3.42578125" style="74" customWidth="1"/>
    <col min="10501" max="10501" width="5.140625" style="74" customWidth="1"/>
    <col min="10502" max="10502" width="5.28515625" style="74" customWidth="1"/>
    <col min="10503" max="10503" width="6.85546875" style="74" customWidth="1"/>
    <col min="10504" max="10504" width="5.28515625" style="74" customWidth="1"/>
    <col min="10505" max="10505" width="6.28515625" style="74" customWidth="1"/>
    <col min="10506" max="10506" width="7.7109375" style="74" customWidth="1"/>
    <col min="10507" max="10508" width="0" style="74" hidden="1" customWidth="1"/>
    <col min="10509" max="10509" width="4" style="74" customWidth="1"/>
    <col min="10510" max="10514" width="4.28515625" style="74" customWidth="1"/>
    <col min="10515" max="10516" width="0" style="74" hidden="1" customWidth="1"/>
    <col min="10517" max="10519" width="4.28515625" style="74" customWidth="1"/>
    <col min="10520" max="10522" width="0" style="74" hidden="1" customWidth="1"/>
    <col min="10523" max="10523" width="11.7109375" style="74" bestFit="1" customWidth="1"/>
    <col min="10524" max="10524" width="12.42578125" style="74" customWidth="1"/>
    <col min="10525" max="10525" width="11.42578125" style="74" customWidth="1"/>
    <col min="10526" max="10526" width="12.140625" style="74" customWidth="1"/>
    <col min="10527" max="10527" width="11.7109375" style="74" bestFit="1" customWidth="1"/>
    <col min="10528" max="10754" width="11.28515625" style="74"/>
    <col min="10755" max="10755" width="4" style="74" customWidth="1"/>
    <col min="10756" max="10756" width="3.42578125" style="74" customWidth="1"/>
    <col min="10757" max="10757" width="5.140625" style="74" customWidth="1"/>
    <col min="10758" max="10758" width="5.28515625" style="74" customWidth="1"/>
    <col min="10759" max="10759" width="6.85546875" style="74" customWidth="1"/>
    <col min="10760" max="10760" width="5.28515625" style="74" customWidth="1"/>
    <col min="10761" max="10761" width="6.28515625" style="74" customWidth="1"/>
    <col min="10762" max="10762" width="7.7109375" style="74" customWidth="1"/>
    <col min="10763" max="10764" width="0" style="74" hidden="1" customWidth="1"/>
    <col min="10765" max="10765" width="4" style="74" customWidth="1"/>
    <col min="10766" max="10770" width="4.28515625" style="74" customWidth="1"/>
    <col min="10771" max="10772" width="0" style="74" hidden="1" customWidth="1"/>
    <col min="10773" max="10775" width="4.28515625" style="74" customWidth="1"/>
    <col min="10776" max="10778" width="0" style="74" hidden="1" customWidth="1"/>
    <col min="10779" max="10779" width="11.7109375" style="74" bestFit="1" customWidth="1"/>
    <col min="10780" max="10780" width="12.42578125" style="74" customWidth="1"/>
    <col min="10781" max="10781" width="11.42578125" style="74" customWidth="1"/>
    <col min="10782" max="10782" width="12.140625" style="74" customWidth="1"/>
    <col min="10783" max="10783" width="11.7109375" style="74" bestFit="1" customWidth="1"/>
    <col min="10784" max="11010" width="11.28515625" style="74"/>
    <col min="11011" max="11011" width="4" style="74" customWidth="1"/>
    <col min="11012" max="11012" width="3.42578125" style="74" customWidth="1"/>
    <col min="11013" max="11013" width="5.140625" style="74" customWidth="1"/>
    <col min="11014" max="11014" width="5.28515625" style="74" customWidth="1"/>
    <col min="11015" max="11015" width="6.85546875" style="74" customWidth="1"/>
    <col min="11016" max="11016" width="5.28515625" style="74" customWidth="1"/>
    <col min="11017" max="11017" width="6.28515625" style="74" customWidth="1"/>
    <col min="11018" max="11018" width="7.7109375" style="74" customWidth="1"/>
    <col min="11019" max="11020" width="0" style="74" hidden="1" customWidth="1"/>
    <col min="11021" max="11021" width="4" style="74" customWidth="1"/>
    <col min="11022" max="11026" width="4.28515625" style="74" customWidth="1"/>
    <col min="11027" max="11028" width="0" style="74" hidden="1" customWidth="1"/>
    <col min="11029" max="11031" width="4.28515625" style="74" customWidth="1"/>
    <col min="11032" max="11034" width="0" style="74" hidden="1" customWidth="1"/>
    <col min="11035" max="11035" width="11.7109375" style="74" bestFit="1" customWidth="1"/>
    <col min="11036" max="11036" width="12.42578125" style="74" customWidth="1"/>
    <col min="11037" max="11037" width="11.42578125" style="74" customWidth="1"/>
    <col min="11038" max="11038" width="12.140625" style="74" customWidth="1"/>
    <col min="11039" max="11039" width="11.7109375" style="74" bestFit="1" customWidth="1"/>
    <col min="11040" max="11266" width="11.28515625" style="74"/>
    <col min="11267" max="11267" width="4" style="74" customWidth="1"/>
    <col min="11268" max="11268" width="3.42578125" style="74" customWidth="1"/>
    <col min="11269" max="11269" width="5.140625" style="74" customWidth="1"/>
    <col min="11270" max="11270" width="5.28515625" style="74" customWidth="1"/>
    <col min="11271" max="11271" width="6.85546875" style="74" customWidth="1"/>
    <col min="11272" max="11272" width="5.28515625" style="74" customWidth="1"/>
    <col min="11273" max="11273" width="6.28515625" style="74" customWidth="1"/>
    <col min="11274" max="11274" width="7.7109375" style="74" customWidth="1"/>
    <col min="11275" max="11276" width="0" style="74" hidden="1" customWidth="1"/>
    <col min="11277" max="11277" width="4" style="74" customWidth="1"/>
    <col min="11278" max="11282" width="4.28515625" style="74" customWidth="1"/>
    <col min="11283" max="11284" width="0" style="74" hidden="1" customWidth="1"/>
    <col min="11285" max="11287" width="4.28515625" style="74" customWidth="1"/>
    <col min="11288" max="11290" width="0" style="74" hidden="1" customWidth="1"/>
    <col min="11291" max="11291" width="11.7109375" style="74" bestFit="1" customWidth="1"/>
    <col min="11292" max="11292" width="12.42578125" style="74" customWidth="1"/>
    <col min="11293" max="11293" width="11.42578125" style="74" customWidth="1"/>
    <col min="11294" max="11294" width="12.140625" style="74" customWidth="1"/>
    <col min="11295" max="11295" width="11.7109375" style="74" bestFit="1" customWidth="1"/>
    <col min="11296" max="11522" width="11.28515625" style="74"/>
    <col min="11523" max="11523" width="4" style="74" customWidth="1"/>
    <col min="11524" max="11524" width="3.42578125" style="74" customWidth="1"/>
    <col min="11525" max="11525" width="5.140625" style="74" customWidth="1"/>
    <col min="11526" max="11526" width="5.28515625" style="74" customWidth="1"/>
    <col min="11527" max="11527" width="6.85546875" style="74" customWidth="1"/>
    <col min="11528" max="11528" width="5.28515625" style="74" customWidth="1"/>
    <col min="11529" max="11529" width="6.28515625" style="74" customWidth="1"/>
    <col min="11530" max="11530" width="7.7109375" style="74" customWidth="1"/>
    <col min="11531" max="11532" width="0" style="74" hidden="1" customWidth="1"/>
    <col min="11533" max="11533" width="4" style="74" customWidth="1"/>
    <col min="11534" max="11538" width="4.28515625" style="74" customWidth="1"/>
    <col min="11539" max="11540" width="0" style="74" hidden="1" customWidth="1"/>
    <col min="11541" max="11543" width="4.28515625" style="74" customWidth="1"/>
    <col min="11544" max="11546" width="0" style="74" hidden="1" customWidth="1"/>
    <col min="11547" max="11547" width="11.7109375" style="74" bestFit="1" customWidth="1"/>
    <col min="11548" max="11548" width="12.42578125" style="74" customWidth="1"/>
    <col min="11549" max="11549" width="11.42578125" style="74" customWidth="1"/>
    <col min="11550" max="11550" width="12.140625" style="74" customWidth="1"/>
    <col min="11551" max="11551" width="11.7109375" style="74" bestFit="1" customWidth="1"/>
    <col min="11552" max="11778" width="11.28515625" style="74"/>
    <col min="11779" max="11779" width="4" style="74" customWidth="1"/>
    <col min="11780" max="11780" width="3.42578125" style="74" customWidth="1"/>
    <col min="11781" max="11781" width="5.140625" style="74" customWidth="1"/>
    <col min="11782" max="11782" width="5.28515625" style="74" customWidth="1"/>
    <col min="11783" max="11783" width="6.85546875" style="74" customWidth="1"/>
    <col min="11784" max="11784" width="5.28515625" style="74" customWidth="1"/>
    <col min="11785" max="11785" width="6.28515625" style="74" customWidth="1"/>
    <col min="11786" max="11786" width="7.7109375" style="74" customWidth="1"/>
    <col min="11787" max="11788" width="0" style="74" hidden="1" customWidth="1"/>
    <col min="11789" max="11789" width="4" style="74" customWidth="1"/>
    <col min="11790" max="11794" width="4.28515625" style="74" customWidth="1"/>
    <col min="11795" max="11796" width="0" style="74" hidden="1" customWidth="1"/>
    <col min="11797" max="11799" width="4.28515625" style="74" customWidth="1"/>
    <col min="11800" max="11802" width="0" style="74" hidden="1" customWidth="1"/>
    <col min="11803" max="11803" width="11.7109375" style="74" bestFit="1" customWidth="1"/>
    <col min="11804" max="11804" width="12.42578125" style="74" customWidth="1"/>
    <col min="11805" max="11805" width="11.42578125" style="74" customWidth="1"/>
    <col min="11806" max="11806" width="12.140625" style="74" customWidth="1"/>
    <col min="11807" max="11807" width="11.7109375" style="74" bestFit="1" customWidth="1"/>
    <col min="11808" max="12034" width="11.28515625" style="74"/>
    <col min="12035" max="12035" width="4" style="74" customWidth="1"/>
    <col min="12036" max="12036" width="3.42578125" style="74" customWidth="1"/>
    <col min="12037" max="12037" width="5.140625" style="74" customWidth="1"/>
    <col min="12038" max="12038" width="5.28515625" style="74" customWidth="1"/>
    <col min="12039" max="12039" width="6.85546875" style="74" customWidth="1"/>
    <col min="12040" max="12040" width="5.28515625" style="74" customWidth="1"/>
    <col min="12041" max="12041" width="6.28515625" style="74" customWidth="1"/>
    <col min="12042" max="12042" width="7.7109375" style="74" customWidth="1"/>
    <col min="12043" max="12044" width="0" style="74" hidden="1" customWidth="1"/>
    <col min="12045" max="12045" width="4" style="74" customWidth="1"/>
    <col min="12046" max="12050" width="4.28515625" style="74" customWidth="1"/>
    <col min="12051" max="12052" width="0" style="74" hidden="1" customWidth="1"/>
    <col min="12053" max="12055" width="4.28515625" style="74" customWidth="1"/>
    <col min="12056" max="12058" width="0" style="74" hidden="1" customWidth="1"/>
    <col min="12059" max="12059" width="11.7109375" style="74" bestFit="1" customWidth="1"/>
    <col min="12060" max="12060" width="12.42578125" style="74" customWidth="1"/>
    <col min="12061" max="12061" width="11.42578125" style="74" customWidth="1"/>
    <col min="12062" max="12062" width="12.140625" style="74" customWidth="1"/>
    <col min="12063" max="12063" width="11.7109375" style="74" bestFit="1" customWidth="1"/>
    <col min="12064" max="12290" width="11.28515625" style="74"/>
    <col min="12291" max="12291" width="4" style="74" customWidth="1"/>
    <col min="12292" max="12292" width="3.42578125" style="74" customWidth="1"/>
    <col min="12293" max="12293" width="5.140625" style="74" customWidth="1"/>
    <col min="12294" max="12294" width="5.28515625" style="74" customWidth="1"/>
    <col min="12295" max="12295" width="6.85546875" style="74" customWidth="1"/>
    <col min="12296" max="12296" width="5.28515625" style="74" customWidth="1"/>
    <col min="12297" max="12297" width="6.28515625" style="74" customWidth="1"/>
    <col min="12298" max="12298" width="7.7109375" style="74" customWidth="1"/>
    <col min="12299" max="12300" width="0" style="74" hidden="1" customWidth="1"/>
    <col min="12301" max="12301" width="4" style="74" customWidth="1"/>
    <col min="12302" max="12306" width="4.28515625" style="74" customWidth="1"/>
    <col min="12307" max="12308" width="0" style="74" hidden="1" customWidth="1"/>
    <col min="12309" max="12311" width="4.28515625" style="74" customWidth="1"/>
    <col min="12312" max="12314" width="0" style="74" hidden="1" customWidth="1"/>
    <col min="12315" max="12315" width="11.7109375" style="74" bestFit="1" customWidth="1"/>
    <col min="12316" max="12316" width="12.42578125" style="74" customWidth="1"/>
    <col min="12317" max="12317" width="11.42578125" style="74" customWidth="1"/>
    <col min="12318" max="12318" width="12.140625" style="74" customWidth="1"/>
    <col min="12319" max="12319" width="11.7109375" style="74" bestFit="1" customWidth="1"/>
    <col min="12320" max="12546" width="11.28515625" style="74"/>
    <col min="12547" max="12547" width="4" style="74" customWidth="1"/>
    <col min="12548" max="12548" width="3.42578125" style="74" customWidth="1"/>
    <col min="12549" max="12549" width="5.140625" style="74" customWidth="1"/>
    <col min="12550" max="12550" width="5.28515625" style="74" customWidth="1"/>
    <col min="12551" max="12551" width="6.85546875" style="74" customWidth="1"/>
    <col min="12552" max="12552" width="5.28515625" style="74" customWidth="1"/>
    <col min="12553" max="12553" width="6.28515625" style="74" customWidth="1"/>
    <col min="12554" max="12554" width="7.7109375" style="74" customWidth="1"/>
    <col min="12555" max="12556" width="0" style="74" hidden="1" customWidth="1"/>
    <col min="12557" max="12557" width="4" style="74" customWidth="1"/>
    <col min="12558" max="12562" width="4.28515625" style="74" customWidth="1"/>
    <col min="12563" max="12564" width="0" style="74" hidden="1" customWidth="1"/>
    <col min="12565" max="12567" width="4.28515625" style="74" customWidth="1"/>
    <col min="12568" max="12570" width="0" style="74" hidden="1" customWidth="1"/>
    <col min="12571" max="12571" width="11.7109375" style="74" bestFit="1" customWidth="1"/>
    <col min="12572" max="12572" width="12.42578125" style="74" customWidth="1"/>
    <col min="12573" max="12573" width="11.42578125" style="74" customWidth="1"/>
    <col min="12574" max="12574" width="12.140625" style="74" customWidth="1"/>
    <col min="12575" max="12575" width="11.7109375" style="74" bestFit="1" customWidth="1"/>
    <col min="12576" max="12802" width="11.28515625" style="74"/>
    <col min="12803" max="12803" width="4" style="74" customWidth="1"/>
    <col min="12804" max="12804" width="3.42578125" style="74" customWidth="1"/>
    <col min="12805" max="12805" width="5.140625" style="74" customWidth="1"/>
    <col min="12806" max="12806" width="5.28515625" style="74" customWidth="1"/>
    <col min="12807" max="12807" width="6.85546875" style="74" customWidth="1"/>
    <col min="12808" max="12808" width="5.28515625" style="74" customWidth="1"/>
    <col min="12809" max="12809" width="6.28515625" style="74" customWidth="1"/>
    <col min="12810" max="12810" width="7.7109375" style="74" customWidth="1"/>
    <col min="12811" max="12812" width="0" style="74" hidden="1" customWidth="1"/>
    <col min="12813" max="12813" width="4" style="74" customWidth="1"/>
    <col min="12814" max="12818" width="4.28515625" style="74" customWidth="1"/>
    <col min="12819" max="12820" width="0" style="74" hidden="1" customWidth="1"/>
    <col min="12821" max="12823" width="4.28515625" style="74" customWidth="1"/>
    <col min="12824" max="12826" width="0" style="74" hidden="1" customWidth="1"/>
    <col min="12827" max="12827" width="11.7109375" style="74" bestFit="1" customWidth="1"/>
    <col min="12828" max="12828" width="12.42578125" style="74" customWidth="1"/>
    <col min="12829" max="12829" width="11.42578125" style="74" customWidth="1"/>
    <col min="12830" max="12830" width="12.140625" style="74" customWidth="1"/>
    <col min="12831" max="12831" width="11.7109375" style="74" bestFit="1" customWidth="1"/>
    <col min="12832" max="13058" width="11.28515625" style="74"/>
    <col min="13059" max="13059" width="4" style="74" customWidth="1"/>
    <col min="13060" max="13060" width="3.42578125" style="74" customWidth="1"/>
    <col min="13061" max="13061" width="5.140625" style="74" customWidth="1"/>
    <col min="13062" max="13062" width="5.28515625" style="74" customWidth="1"/>
    <col min="13063" max="13063" width="6.85546875" style="74" customWidth="1"/>
    <col min="13064" max="13064" width="5.28515625" style="74" customWidth="1"/>
    <col min="13065" max="13065" width="6.28515625" style="74" customWidth="1"/>
    <col min="13066" max="13066" width="7.7109375" style="74" customWidth="1"/>
    <col min="13067" max="13068" width="0" style="74" hidden="1" customWidth="1"/>
    <col min="13069" max="13069" width="4" style="74" customWidth="1"/>
    <col min="13070" max="13074" width="4.28515625" style="74" customWidth="1"/>
    <col min="13075" max="13076" width="0" style="74" hidden="1" customWidth="1"/>
    <col min="13077" max="13079" width="4.28515625" style="74" customWidth="1"/>
    <col min="13080" max="13082" width="0" style="74" hidden="1" customWidth="1"/>
    <col min="13083" max="13083" width="11.7109375" style="74" bestFit="1" customWidth="1"/>
    <col min="13084" max="13084" width="12.42578125" style="74" customWidth="1"/>
    <col min="13085" max="13085" width="11.42578125" style="74" customWidth="1"/>
    <col min="13086" max="13086" width="12.140625" style="74" customWidth="1"/>
    <col min="13087" max="13087" width="11.7109375" style="74" bestFit="1" customWidth="1"/>
    <col min="13088" max="13314" width="11.28515625" style="74"/>
    <col min="13315" max="13315" width="4" style="74" customWidth="1"/>
    <col min="13316" max="13316" width="3.42578125" style="74" customWidth="1"/>
    <col min="13317" max="13317" width="5.140625" style="74" customWidth="1"/>
    <col min="13318" max="13318" width="5.28515625" style="74" customWidth="1"/>
    <col min="13319" max="13319" width="6.85546875" style="74" customWidth="1"/>
    <col min="13320" max="13320" width="5.28515625" style="74" customWidth="1"/>
    <col min="13321" max="13321" width="6.28515625" style="74" customWidth="1"/>
    <col min="13322" max="13322" width="7.7109375" style="74" customWidth="1"/>
    <col min="13323" max="13324" width="0" style="74" hidden="1" customWidth="1"/>
    <col min="13325" max="13325" width="4" style="74" customWidth="1"/>
    <col min="13326" max="13330" width="4.28515625" style="74" customWidth="1"/>
    <col min="13331" max="13332" width="0" style="74" hidden="1" customWidth="1"/>
    <col min="13333" max="13335" width="4.28515625" style="74" customWidth="1"/>
    <col min="13336" max="13338" width="0" style="74" hidden="1" customWidth="1"/>
    <col min="13339" max="13339" width="11.7109375" style="74" bestFit="1" customWidth="1"/>
    <col min="13340" max="13340" width="12.42578125" style="74" customWidth="1"/>
    <col min="13341" max="13341" width="11.42578125" style="74" customWidth="1"/>
    <col min="13342" max="13342" width="12.140625" style="74" customWidth="1"/>
    <col min="13343" max="13343" width="11.7109375" style="74" bestFit="1" customWidth="1"/>
    <col min="13344" max="13570" width="11.28515625" style="74"/>
    <col min="13571" max="13571" width="4" style="74" customWidth="1"/>
    <col min="13572" max="13572" width="3.42578125" style="74" customWidth="1"/>
    <col min="13573" max="13573" width="5.140625" style="74" customWidth="1"/>
    <col min="13574" max="13574" width="5.28515625" style="74" customWidth="1"/>
    <col min="13575" max="13575" width="6.85546875" style="74" customWidth="1"/>
    <col min="13576" max="13576" width="5.28515625" style="74" customWidth="1"/>
    <col min="13577" max="13577" width="6.28515625" style="74" customWidth="1"/>
    <col min="13578" max="13578" width="7.7109375" style="74" customWidth="1"/>
    <col min="13579" max="13580" width="0" style="74" hidden="1" customWidth="1"/>
    <col min="13581" max="13581" width="4" style="74" customWidth="1"/>
    <col min="13582" max="13586" width="4.28515625" style="74" customWidth="1"/>
    <col min="13587" max="13588" width="0" style="74" hidden="1" customWidth="1"/>
    <col min="13589" max="13591" width="4.28515625" style="74" customWidth="1"/>
    <col min="13592" max="13594" width="0" style="74" hidden="1" customWidth="1"/>
    <col min="13595" max="13595" width="11.7109375" style="74" bestFit="1" customWidth="1"/>
    <col min="13596" max="13596" width="12.42578125" style="74" customWidth="1"/>
    <col min="13597" max="13597" width="11.42578125" style="74" customWidth="1"/>
    <col min="13598" max="13598" width="12.140625" style="74" customWidth="1"/>
    <col min="13599" max="13599" width="11.7109375" style="74" bestFit="1" customWidth="1"/>
    <col min="13600" max="13826" width="11.28515625" style="74"/>
    <col min="13827" max="13827" width="4" style="74" customWidth="1"/>
    <col min="13828" max="13828" width="3.42578125" style="74" customWidth="1"/>
    <col min="13829" max="13829" width="5.140625" style="74" customWidth="1"/>
    <col min="13830" max="13830" width="5.28515625" style="74" customWidth="1"/>
    <col min="13831" max="13831" width="6.85546875" style="74" customWidth="1"/>
    <col min="13832" max="13832" width="5.28515625" style="74" customWidth="1"/>
    <col min="13833" max="13833" width="6.28515625" style="74" customWidth="1"/>
    <col min="13834" max="13834" width="7.7109375" style="74" customWidth="1"/>
    <col min="13835" max="13836" width="0" style="74" hidden="1" customWidth="1"/>
    <col min="13837" max="13837" width="4" style="74" customWidth="1"/>
    <col min="13838" max="13842" width="4.28515625" style="74" customWidth="1"/>
    <col min="13843" max="13844" width="0" style="74" hidden="1" customWidth="1"/>
    <col min="13845" max="13847" width="4.28515625" style="74" customWidth="1"/>
    <col min="13848" max="13850" width="0" style="74" hidden="1" customWidth="1"/>
    <col min="13851" max="13851" width="11.7109375" style="74" bestFit="1" customWidth="1"/>
    <col min="13852" max="13852" width="12.42578125" style="74" customWidth="1"/>
    <col min="13853" max="13853" width="11.42578125" style="74" customWidth="1"/>
    <col min="13854" max="13854" width="12.140625" style="74" customWidth="1"/>
    <col min="13855" max="13855" width="11.7109375" style="74" bestFit="1" customWidth="1"/>
    <col min="13856" max="14082" width="11.28515625" style="74"/>
    <col min="14083" max="14083" width="4" style="74" customWidth="1"/>
    <col min="14084" max="14084" width="3.42578125" style="74" customWidth="1"/>
    <col min="14085" max="14085" width="5.140625" style="74" customWidth="1"/>
    <col min="14086" max="14086" width="5.28515625" style="74" customWidth="1"/>
    <col min="14087" max="14087" width="6.85546875" style="74" customWidth="1"/>
    <col min="14088" max="14088" width="5.28515625" style="74" customWidth="1"/>
    <col min="14089" max="14089" width="6.28515625" style="74" customWidth="1"/>
    <col min="14090" max="14090" width="7.7109375" style="74" customWidth="1"/>
    <col min="14091" max="14092" width="0" style="74" hidden="1" customWidth="1"/>
    <col min="14093" max="14093" width="4" style="74" customWidth="1"/>
    <col min="14094" max="14098" width="4.28515625" style="74" customWidth="1"/>
    <col min="14099" max="14100" width="0" style="74" hidden="1" customWidth="1"/>
    <col min="14101" max="14103" width="4.28515625" style="74" customWidth="1"/>
    <col min="14104" max="14106" width="0" style="74" hidden="1" customWidth="1"/>
    <col min="14107" max="14107" width="11.7109375" style="74" bestFit="1" customWidth="1"/>
    <col min="14108" max="14108" width="12.42578125" style="74" customWidth="1"/>
    <col min="14109" max="14109" width="11.42578125" style="74" customWidth="1"/>
    <col min="14110" max="14110" width="12.140625" style="74" customWidth="1"/>
    <col min="14111" max="14111" width="11.7109375" style="74" bestFit="1" customWidth="1"/>
    <col min="14112" max="14338" width="11.28515625" style="74"/>
    <col min="14339" max="14339" width="4" style="74" customWidth="1"/>
    <col min="14340" max="14340" width="3.42578125" style="74" customWidth="1"/>
    <col min="14341" max="14341" width="5.140625" style="74" customWidth="1"/>
    <col min="14342" max="14342" width="5.28515625" style="74" customWidth="1"/>
    <col min="14343" max="14343" width="6.85546875" style="74" customWidth="1"/>
    <col min="14344" max="14344" width="5.28515625" style="74" customWidth="1"/>
    <col min="14345" max="14345" width="6.28515625" style="74" customWidth="1"/>
    <col min="14346" max="14346" width="7.7109375" style="74" customWidth="1"/>
    <col min="14347" max="14348" width="0" style="74" hidden="1" customWidth="1"/>
    <col min="14349" max="14349" width="4" style="74" customWidth="1"/>
    <col min="14350" max="14354" width="4.28515625" style="74" customWidth="1"/>
    <col min="14355" max="14356" width="0" style="74" hidden="1" customWidth="1"/>
    <col min="14357" max="14359" width="4.28515625" style="74" customWidth="1"/>
    <col min="14360" max="14362" width="0" style="74" hidden="1" customWidth="1"/>
    <col min="14363" max="14363" width="11.7109375" style="74" bestFit="1" customWidth="1"/>
    <col min="14364" max="14364" width="12.42578125" style="74" customWidth="1"/>
    <col min="14365" max="14365" width="11.42578125" style="74" customWidth="1"/>
    <col min="14366" max="14366" width="12.140625" style="74" customWidth="1"/>
    <col min="14367" max="14367" width="11.7109375" style="74" bestFit="1" customWidth="1"/>
    <col min="14368" max="14594" width="11.28515625" style="74"/>
    <col min="14595" max="14595" width="4" style="74" customWidth="1"/>
    <col min="14596" max="14596" width="3.42578125" style="74" customWidth="1"/>
    <col min="14597" max="14597" width="5.140625" style="74" customWidth="1"/>
    <col min="14598" max="14598" width="5.28515625" style="74" customWidth="1"/>
    <col min="14599" max="14599" width="6.85546875" style="74" customWidth="1"/>
    <col min="14600" max="14600" width="5.28515625" style="74" customWidth="1"/>
    <col min="14601" max="14601" width="6.28515625" style="74" customWidth="1"/>
    <col min="14602" max="14602" width="7.7109375" style="74" customWidth="1"/>
    <col min="14603" max="14604" width="0" style="74" hidden="1" customWidth="1"/>
    <col min="14605" max="14605" width="4" style="74" customWidth="1"/>
    <col min="14606" max="14610" width="4.28515625" style="74" customWidth="1"/>
    <col min="14611" max="14612" width="0" style="74" hidden="1" customWidth="1"/>
    <col min="14613" max="14615" width="4.28515625" style="74" customWidth="1"/>
    <col min="14616" max="14618" width="0" style="74" hidden="1" customWidth="1"/>
    <col min="14619" max="14619" width="11.7109375" style="74" bestFit="1" customWidth="1"/>
    <col min="14620" max="14620" width="12.42578125" style="74" customWidth="1"/>
    <col min="14621" max="14621" width="11.42578125" style="74" customWidth="1"/>
    <col min="14622" max="14622" width="12.140625" style="74" customWidth="1"/>
    <col min="14623" max="14623" width="11.7109375" style="74" bestFit="1" customWidth="1"/>
    <col min="14624" max="14850" width="11.28515625" style="74"/>
    <col min="14851" max="14851" width="4" style="74" customWidth="1"/>
    <col min="14852" max="14852" width="3.42578125" style="74" customWidth="1"/>
    <col min="14853" max="14853" width="5.140625" style="74" customWidth="1"/>
    <col min="14854" max="14854" width="5.28515625" style="74" customWidth="1"/>
    <col min="14855" max="14855" width="6.85546875" style="74" customWidth="1"/>
    <col min="14856" max="14856" width="5.28515625" style="74" customWidth="1"/>
    <col min="14857" max="14857" width="6.28515625" style="74" customWidth="1"/>
    <col min="14858" max="14858" width="7.7109375" style="74" customWidth="1"/>
    <col min="14859" max="14860" width="0" style="74" hidden="1" customWidth="1"/>
    <col min="14861" max="14861" width="4" style="74" customWidth="1"/>
    <col min="14862" max="14866" width="4.28515625" style="74" customWidth="1"/>
    <col min="14867" max="14868" width="0" style="74" hidden="1" customWidth="1"/>
    <col min="14869" max="14871" width="4.28515625" style="74" customWidth="1"/>
    <col min="14872" max="14874" width="0" style="74" hidden="1" customWidth="1"/>
    <col min="14875" max="14875" width="11.7109375" style="74" bestFit="1" customWidth="1"/>
    <col min="14876" max="14876" width="12.42578125" style="74" customWidth="1"/>
    <col min="14877" max="14877" width="11.42578125" style="74" customWidth="1"/>
    <col min="14878" max="14878" width="12.140625" style="74" customWidth="1"/>
    <col min="14879" max="14879" width="11.7109375" style="74" bestFit="1" customWidth="1"/>
    <col min="14880" max="15106" width="11.28515625" style="74"/>
    <col min="15107" max="15107" width="4" style="74" customWidth="1"/>
    <col min="15108" max="15108" width="3.42578125" style="74" customWidth="1"/>
    <col min="15109" max="15109" width="5.140625" style="74" customWidth="1"/>
    <col min="15110" max="15110" width="5.28515625" style="74" customWidth="1"/>
    <col min="15111" max="15111" width="6.85546875" style="74" customWidth="1"/>
    <col min="15112" max="15112" width="5.28515625" style="74" customWidth="1"/>
    <col min="15113" max="15113" width="6.28515625" style="74" customWidth="1"/>
    <col min="15114" max="15114" width="7.7109375" style="74" customWidth="1"/>
    <col min="15115" max="15116" width="0" style="74" hidden="1" customWidth="1"/>
    <col min="15117" max="15117" width="4" style="74" customWidth="1"/>
    <col min="15118" max="15122" width="4.28515625" style="74" customWidth="1"/>
    <col min="15123" max="15124" width="0" style="74" hidden="1" customWidth="1"/>
    <col min="15125" max="15127" width="4.28515625" style="74" customWidth="1"/>
    <col min="15128" max="15130" width="0" style="74" hidden="1" customWidth="1"/>
    <col min="15131" max="15131" width="11.7109375" style="74" bestFit="1" customWidth="1"/>
    <col min="15132" max="15132" width="12.42578125" style="74" customWidth="1"/>
    <col min="15133" max="15133" width="11.42578125" style="74" customWidth="1"/>
    <col min="15134" max="15134" width="12.140625" style="74" customWidth="1"/>
    <col min="15135" max="15135" width="11.7109375" style="74" bestFit="1" customWidth="1"/>
    <col min="15136" max="15362" width="11.28515625" style="74"/>
    <col min="15363" max="15363" width="4" style="74" customWidth="1"/>
    <col min="15364" max="15364" width="3.42578125" style="74" customWidth="1"/>
    <col min="15365" max="15365" width="5.140625" style="74" customWidth="1"/>
    <col min="15366" max="15366" width="5.28515625" style="74" customWidth="1"/>
    <col min="15367" max="15367" width="6.85546875" style="74" customWidth="1"/>
    <col min="15368" max="15368" width="5.28515625" style="74" customWidth="1"/>
    <col min="15369" max="15369" width="6.28515625" style="74" customWidth="1"/>
    <col min="15370" max="15370" width="7.7109375" style="74" customWidth="1"/>
    <col min="15371" max="15372" width="0" style="74" hidden="1" customWidth="1"/>
    <col min="15373" max="15373" width="4" style="74" customWidth="1"/>
    <col min="15374" max="15378" width="4.28515625" style="74" customWidth="1"/>
    <col min="15379" max="15380" width="0" style="74" hidden="1" customWidth="1"/>
    <col min="15381" max="15383" width="4.28515625" style="74" customWidth="1"/>
    <col min="15384" max="15386" width="0" style="74" hidden="1" customWidth="1"/>
    <col min="15387" max="15387" width="11.7109375" style="74" bestFit="1" customWidth="1"/>
    <col min="15388" max="15388" width="12.42578125" style="74" customWidth="1"/>
    <col min="15389" max="15389" width="11.42578125" style="74" customWidth="1"/>
    <col min="15390" max="15390" width="12.140625" style="74" customWidth="1"/>
    <col min="15391" max="15391" width="11.7109375" style="74" bestFit="1" customWidth="1"/>
    <col min="15392" max="15618" width="11.28515625" style="74"/>
    <col min="15619" max="15619" width="4" style="74" customWidth="1"/>
    <col min="15620" max="15620" width="3.42578125" style="74" customWidth="1"/>
    <col min="15621" max="15621" width="5.140625" style="74" customWidth="1"/>
    <col min="15622" max="15622" width="5.28515625" style="74" customWidth="1"/>
    <col min="15623" max="15623" width="6.85546875" style="74" customWidth="1"/>
    <col min="15624" max="15624" width="5.28515625" style="74" customWidth="1"/>
    <col min="15625" max="15625" width="6.28515625" style="74" customWidth="1"/>
    <col min="15626" max="15626" width="7.7109375" style="74" customWidth="1"/>
    <col min="15627" max="15628" width="0" style="74" hidden="1" customWidth="1"/>
    <col min="15629" max="15629" width="4" style="74" customWidth="1"/>
    <col min="15630" max="15634" width="4.28515625" style="74" customWidth="1"/>
    <col min="15635" max="15636" width="0" style="74" hidden="1" customWidth="1"/>
    <col min="15637" max="15639" width="4.28515625" style="74" customWidth="1"/>
    <col min="15640" max="15642" width="0" style="74" hidden="1" customWidth="1"/>
    <col min="15643" max="15643" width="11.7109375" style="74" bestFit="1" customWidth="1"/>
    <col min="15644" max="15644" width="12.42578125" style="74" customWidth="1"/>
    <col min="15645" max="15645" width="11.42578125" style="74" customWidth="1"/>
    <col min="15646" max="15646" width="12.140625" style="74" customWidth="1"/>
    <col min="15647" max="15647" width="11.7109375" style="74" bestFit="1" customWidth="1"/>
    <col min="15648" max="15874" width="11.28515625" style="74"/>
    <col min="15875" max="15875" width="4" style="74" customWidth="1"/>
    <col min="15876" max="15876" width="3.42578125" style="74" customWidth="1"/>
    <col min="15877" max="15877" width="5.140625" style="74" customWidth="1"/>
    <col min="15878" max="15878" width="5.28515625" style="74" customWidth="1"/>
    <col min="15879" max="15879" width="6.85546875" style="74" customWidth="1"/>
    <col min="15880" max="15880" width="5.28515625" style="74" customWidth="1"/>
    <col min="15881" max="15881" width="6.28515625" style="74" customWidth="1"/>
    <col min="15882" max="15882" width="7.7109375" style="74" customWidth="1"/>
    <col min="15883" max="15884" width="0" style="74" hidden="1" customWidth="1"/>
    <col min="15885" max="15885" width="4" style="74" customWidth="1"/>
    <col min="15886" max="15890" width="4.28515625" style="74" customWidth="1"/>
    <col min="15891" max="15892" width="0" style="74" hidden="1" customWidth="1"/>
    <col min="15893" max="15895" width="4.28515625" style="74" customWidth="1"/>
    <col min="15896" max="15898" width="0" style="74" hidden="1" customWidth="1"/>
    <col min="15899" max="15899" width="11.7109375" style="74" bestFit="1" customWidth="1"/>
    <col min="15900" max="15900" width="12.42578125" style="74" customWidth="1"/>
    <col min="15901" max="15901" width="11.42578125" style="74" customWidth="1"/>
    <col min="15902" max="15902" width="12.140625" style="74" customWidth="1"/>
    <col min="15903" max="15903" width="11.7109375" style="74" bestFit="1" customWidth="1"/>
    <col min="15904" max="16130" width="11.28515625" style="74"/>
    <col min="16131" max="16131" width="4" style="74" customWidth="1"/>
    <col min="16132" max="16132" width="3.42578125" style="74" customWidth="1"/>
    <col min="16133" max="16133" width="5.140625" style="74" customWidth="1"/>
    <col min="16134" max="16134" width="5.28515625" style="74" customWidth="1"/>
    <col min="16135" max="16135" width="6.85546875" style="74" customWidth="1"/>
    <col min="16136" max="16136" width="5.28515625" style="74" customWidth="1"/>
    <col min="16137" max="16137" width="6.28515625" style="74" customWidth="1"/>
    <col min="16138" max="16138" width="7.7109375" style="74" customWidth="1"/>
    <col min="16139" max="16140" width="0" style="74" hidden="1" customWidth="1"/>
    <col min="16141" max="16141" width="4" style="74" customWidth="1"/>
    <col min="16142" max="16146" width="4.28515625" style="74" customWidth="1"/>
    <col min="16147" max="16148" width="0" style="74" hidden="1" customWidth="1"/>
    <col min="16149" max="16151" width="4.28515625" style="74" customWidth="1"/>
    <col min="16152" max="16154" width="0" style="74" hidden="1" customWidth="1"/>
    <col min="16155" max="16155" width="11.7109375" style="74" bestFit="1" customWidth="1"/>
    <col min="16156" max="16156" width="12.42578125" style="74" customWidth="1"/>
    <col min="16157" max="16157" width="11.42578125" style="74" customWidth="1"/>
    <col min="16158" max="16158" width="12.140625" style="74" customWidth="1"/>
    <col min="16159" max="16159" width="11.7109375" style="74" bestFit="1" customWidth="1"/>
    <col min="16160" max="16384" width="11.28515625" style="74"/>
  </cols>
  <sheetData>
    <row r="6" spans="3:31" ht="18" customHeight="1"/>
    <row r="7" spans="3:31">
      <c r="C7" s="74" t="s">
        <v>422</v>
      </c>
      <c r="E7" s="477">
        <v>40000</v>
      </c>
      <c r="F7" s="477"/>
      <c r="G7" s="477"/>
      <c r="L7" s="173"/>
    </row>
    <row r="8" spans="3:31" ht="15">
      <c r="C8" s="74" t="s">
        <v>232</v>
      </c>
      <c r="E8" s="478">
        <v>0.05</v>
      </c>
      <c r="F8" s="478"/>
      <c r="G8" s="478"/>
      <c r="L8" s="492">
        <f>(E8*1.12)</f>
        <v>5.6000000000000008E-2</v>
      </c>
      <c r="M8" s="492"/>
      <c r="AA8" s="494" t="s">
        <v>423</v>
      </c>
      <c r="AB8" s="494"/>
      <c r="AC8" s="494"/>
    </row>
    <row r="9" spans="3:31">
      <c r="C9" s="74" t="s">
        <v>392</v>
      </c>
      <c r="E9" s="480">
        <v>6</v>
      </c>
      <c r="F9" s="480"/>
      <c r="G9" s="480"/>
      <c r="L9" s="173"/>
      <c r="AA9" s="241"/>
      <c r="AB9" s="242">
        <f>SUM(AD18:AD52)</f>
        <v>45570</v>
      </c>
      <c r="AC9" s="242"/>
    </row>
    <row r="10" spans="3:31" hidden="1">
      <c r="C10" s="74" t="s">
        <v>424</v>
      </c>
      <c r="E10" s="495">
        <f>G18+I18+E11+E12</f>
        <v>2735</v>
      </c>
      <c r="F10" s="495"/>
      <c r="G10" s="495"/>
      <c r="L10" s="173"/>
      <c r="U10" s="198"/>
      <c r="AD10" s="231"/>
    </row>
    <row r="11" spans="3:31">
      <c r="C11" s="74" t="s">
        <v>142</v>
      </c>
      <c r="E11" s="475">
        <v>350</v>
      </c>
      <c r="F11" s="475"/>
      <c r="G11" s="475"/>
      <c r="L11" s="173"/>
      <c r="U11" s="198"/>
      <c r="AD11" s="231"/>
    </row>
    <row r="12" spans="3:31">
      <c r="C12" s="74" t="s">
        <v>141</v>
      </c>
      <c r="E12" s="475">
        <v>145</v>
      </c>
      <c r="F12" s="475"/>
      <c r="G12" s="475"/>
      <c r="L12" s="173"/>
      <c r="T12" s="179"/>
      <c r="U12" s="198"/>
      <c r="AD12" s="231"/>
    </row>
    <row r="13" spans="3:31" hidden="1">
      <c r="C13" s="74" t="s">
        <v>400</v>
      </c>
      <c r="E13" s="496">
        <f>SUM(E10:G12)</f>
        <v>3230</v>
      </c>
      <c r="F13" s="496"/>
      <c r="G13" s="496"/>
      <c r="L13" s="173"/>
      <c r="T13" s="179"/>
      <c r="U13" s="198"/>
      <c r="AD13" s="179"/>
    </row>
    <row r="14" spans="3:31">
      <c r="C14" s="74" t="s">
        <v>343</v>
      </c>
      <c r="E14" s="497">
        <v>0.7</v>
      </c>
      <c r="F14" s="497"/>
      <c r="G14" s="196"/>
      <c r="L14" s="173"/>
      <c r="T14" s="179"/>
      <c r="U14" s="198"/>
      <c r="AA14" s="179"/>
      <c r="AD14" s="231"/>
    </row>
    <row r="15" spans="3:31">
      <c r="C15" s="74" t="s">
        <v>425</v>
      </c>
      <c r="E15" s="497">
        <v>0.3</v>
      </c>
      <c r="F15" s="497"/>
      <c r="G15" s="196"/>
      <c r="L15" s="173"/>
      <c r="T15" s="179"/>
      <c r="U15" s="198"/>
      <c r="V15" s="490"/>
      <c r="W15" s="490"/>
      <c r="X15" s="490"/>
      <c r="AA15" s="179"/>
      <c r="AD15" s="231"/>
    </row>
    <row r="16" spans="3:31">
      <c r="AB16" s="493" t="s">
        <v>426</v>
      </c>
      <c r="AC16" s="493"/>
      <c r="AD16" s="493" t="s">
        <v>427</v>
      </c>
      <c r="AE16" s="493"/>
    </row>
    <row r="17" spans="1:31" ht="27.75" customHeight="1">
      <c r="A17" s="180" t="s">
        <v>457</v>
      </c>
      <c r="B17" s="74" t="s">
        <v>394</v>
      </c>
      <c r="C17" s="180" t="s">
        <v>456</v>
      </c>
      <c r="D17" s="476" t="s">
        <v>395</v>
      </c>
      <c r="E17" s="476"/>
      <c r="F17" s="476"/>
      <c r="G17" s="476" t="s">
        <v>396</v>
      </c>
      <c r="H17" s="476"/>
      <c r="I17" s="476" t="s">
        <v>341</v>
      </c>
      <c r="J17" s="476"/>
      <c r="K17" s="476" t="s">
        <v>397</v>
      </c>
      <c r="L17" s="476"/>
      <c r="M17" s="476" t="s">
        <v>393</v>
      </c>
      <c r="N17" s="476"/>
      <c r="O17" s="476"/>
      <c r="P17" s="476" t="s">
        <v>398</v>
      </c>
      <c r="Q17" s="476"/>
      <c r="R17" s="476"/>
      <c r="S17" s="180" t="s">
        <v>142</v>
      </c>
      <c r="T17" s="180" t="s">
        <v>141</v>
      </c>
      <c r="U17" s="476" t="s">
        <v>399</v>
      </c>
      <c r="V17" s="476"/>
      <c r="W17" s="476"/>
      <c r="X17" s="482" t="s">
        <v>400</v>
      </c>
      <c r="Y17" s="482"/>
      <c r="Z17" s="482"/>
      <c r="AA17" s="195" t="s">
        <v>428</v>
      </c>
      <c r="AB17" s="195" t="s">
        <v>343</v>
      </c>
      <c r="AC17" s="195" t="s">
        <v>429</v>
      </c>
      <c r="AD17" s="195" t="s">
        <v>343</v>
      </c>
      <c r="AE17" s="195" t="s">
        <v>425</v>
      </c>
    </row>
    <row r="18" spans="1:31" ht="15">
      <c r="A18" s="181">
        <v>1</v>
      </c>
      <c r="C18" s="245">
        <v>43940</v>
      </c>
      <c r="D18" s="483">
        <f>E7</f>
        <v>40000</v>
      </c>
      <c r="E18" s="483"/>
      <c r="F18" s="483"/>
      <c r="G18" s="484">
        <f>D18*$E$8</f>
        <v>2000</v>
      </c>
      <c r="H18" s="484"/>
      <c r="I18" s="484">
        <f>G18*0.12</f>
        <v>240</v>
      </c>
      <c r="J18" s="484"/>
      <c r="K18" s="484">
        <f>G18+I18</f>
        <v>2240</v>
      </c>
      <c r="L18" s="484"/>
      <c r="M18" s="484">
        <f>G18+I18+$E$11+$E$12</f>
        <v>2735</v>
      </c>
      <c r="N18" s="484"/>
      <c r="O18" s="484"/>
      <c r="P18" s="487">
        <v>0</v>
      </c>
      <c r="Q18" s="487"/>
      <c r="R18" s="487"/>
      <c r="S18" s="182">
        <f>IF(D18="","",$E$11)</f>
        <v>350</v>
      </c>
      <c r="T18" s="182">
        <f>IF(D18="","",$E$12)</f>
        <v>145</v>
      </c>
      <c r="U18" s="484">
        <f>D18-P18</f>
        <v>40000</v>
      </c>
      <c r="V18" s="484"/>
      <c r="W18" s="484"/>
      <c r="X18" s="484">
        <f>IFERROR(M18+S18+T18,"")</f>
        <v>3230</v>
      </c>
      <c r="Y18" s="484"/>
      <c r="Z18" s="484"/>
      <c r="AA18" s="179">
        <f>G18*0.07</f>
        <v>140</v>
      </c>
      <c r="AB18" s="179">
        <f>(G18+I18)*$E$14</f>
        <v>1568</v>
      </c>
      <c r="AC18" s="179">
        <f>(G18+I18)*$E$15</f>
        <v>672</v>
      </c>
      <c r="AD18" s="179">
        <f>(G18-AA18)*$E$14</f>
        <v>1302</v>
      </c>
      <c r="AE18" s="155">
        <f>(G18-AA18)*$E$15</f>
        <v>558</v>
      </c>
    </row>
    <row r="19" spans="1:31">
      <c r="A19" s="181">
        <f>IF(D19="","",B19+1)</f>
        <v>2</v>
      </c>
      <c r="B19" s="74">
        <v>1</v>
      </c>
      <c r="C19" s="244">
        <f>IF(D19="","",EDATE(C18,B19))</f>
        <v>43970</v>
      </c>
      <c r="D19" s="490">
        <f t="shared" ref="D19:D34" si="0">IF(U18&lt;=0.1,"",U18)</f>
        <v>40000</v>
      </c>
      <c r="E19" s="490"/>
      <c r="F19" s="490"/>
      <c r="G19" s="484">
        <f t="shared" ref="G19:G33" si="1">IF(D19="","",(D19*$E$8))</f>
        <v>2000</v>
      </c>
      <c r="H19" s="484"/>
      <c r="I19" s="484">
        <f t="shared" ref="I19:I31" si="2">IF(G19="","",(G19*0.12))</f>
        <v>240</v>
      </c>
      <c r="J19" s="484"/>
      <c r="K19" s="484">
        <f t="shared" ref="K19:K31" si="3">IF(G19="","",G19+I19)</f>
        <v>2240</v>
      </c>
      <c r="L19" s="484"/>
      <c r="M19" s="484">
        <f t="shared" ref="M19:M33" si="4">IF(I19="","",G19+I19+$E$11+$E$12)</f>
        <v>2735</v>
      </c>
      <c r="N19" s="484"/>
      <c r="O19" s="484"/>
      <c r="P19" s="487">
        <v>0</v>
      </c>
      <c r="Q19" s="487"/>
      <c r="R19" s="487"/>
      <c r="S19" s="182">
        <f>IF(D19="","",$E$11)</f>
        <v>350</v>
      </c>
      <c r="T19" s="182">
        <f>IF(D19="","",$E$12)</f>
        <v>145</v>
      </c>
      <c r="U19" s="484">
        <f>IF(P19="","",D19-P19)</f>
        <v>40000</v>
      </c>
      <c r="V19" s="484"/>
      <c r="W19" s="484"/>
      <c r="X19" s="484">
        <f>IF(D19="","",$X$18)</f>
        <v>3230</v>
      </c>
      <c r="Y19" s="484"/>
      <c r="Z19" s="484"/>
      <c r="AA19" s="179">
        <f>IF(G19="","",(G19*0.07))</f>
        <v>140</v>
      </c>
      <c r="AB19" s="198">
        <f t="shared" ref="AB19:AB53" si="5">IF(G19="","",(G19+I19)*$E$14)</f>
        <v>1568</v>
      </c>
      <c r="AC19" s="198">
        <f t="shared" ref="AC19:AC53" si="6">IF(G19="","",(G19+I19)*$E$15)</f>
        <v>672</v>
      </c>
      <c r="AD19" s="198">
        <f t="shared" ref="AD19:AD53" si="7">IF(G19="","",(G19-AA19)*$E$14)</f>
        <v>1302</v>
      </c>
      <c r="AE19" s="198">
        <f t="shared" ref="AE19:AE53" si="8">IF(G19="","",(G19-AA19)*$E$15)</f>
        <v>558</v>
      </c>
    </row>
    <row r="20" spans="1:31">
      <c r="A20" s="181">
        <f t="shared" ref="A20:A53" si="9">IF(D20="","",B20+1)</f>
        <v>3</v>
      </c>
      <c r="B20" s="74">
        <v>2</v>
      </c>
      <c r="C20" s="244">
        <f t="shared" ref="C20:C53" si="10">IF(D20="","",EDATE(C19,B20))</f>
        <v>44031</v>
      </c>
      <c r="D20" s="490">
        <f t="shared" si="0"/>
        <v>40000</v>
      </c>
      <c r="E20" s="490"/>
      <c r="F20" s="490"/>
      <c r="G20" s="484">
        <f t="shared" si="1"/>
        <v>2000</v>
      </c>
      <c r="H20" s="484"/>
      <c r="I20" s="484">
        <f t="shared" si="2"/>
        <v>240</v>
      </c>
      <c r="J20" s="484"/>
      <c r="K20" s="484">
        <f t="shared" si="3"/>
        <v>2240</v>
      </c>
      <c r="L20" s="484"/>
      <c r="M20" s="484">
        <f t="shared" si="4"/>
        <v>2735</v>
      </c>
      <c r="N20" s="484"/>
      <c r="O20" s="484"/>
      <c r="P20" s="487">
        <v>0</v>
      </c>
      <c r="Q20" s="487"/>
      <c r="R20" s="487"/>
      <c r="S20" s="182">
        <f>IF(D20="","",$E$11)</f>
        <v>350</v>
      </c>
      <c r="T20" s="182">
        <f>IF(D20="","",$E$12)</f>
        <v>145</v>
      </c>
      <c r="U20" s="484">
        <f>IF(P20="","",D20-P20)</f>
        <v>40000</v>
      </c>
      <c r="V20" s="484"/>
      <c r="W20" s="484"/>
      <c r="X20" s="484">
        <f>IF(D20="","",$X$18)</f>
        <v>3230</v>
      </c>
      <c r="Y20" s="484"/>
      <c r="Z20" s="484"/>
      <c r="AA20" s="179">
        <f>IF(G20="","",(G20*0.07))</f>
        <v>140</v>
      </c>
      <c r="AB20" s="198">
        <f t="shared" si="5"/>
        <v>1568</v>
      </c>
      <c r="AC20" s="198">
        <f t="shared" si="6"/>
        <v>672</v>
      </c>
      <c r="AD20" s="198">
        <f t="shared" si="7"/>
        <v>1302</v>
      </c>
      <c r="AE20" s="198">
        <f t="shared" si="8"/>
        <v>558</v>
      </c>
    </row>
    <row r="21" spans="1:31">
      <c r="A21" s="181">
        <f t="shared" si="9"/>
        <v>4</v>
      </c>
      <c r="B21" s="74">
        <v>3</v>
      </c>
      <c r="C21" s="244">
        <f t="shared" si="10"/>
        <v>44123</v>
      </c>
      <c r="D21" s="490">
        <f t="shared" si="0"/>
        <v>40000</v>
      </c>
      <c r="E21" s="490"/>
      <c r="F21" s="490"/>
      <c r="G21" s="484">
        <f t="shared" si="1"/>
        <v>2000</v>
      </c>
      <c r="H21" s="484"/>
      <c r="I21" s="484">
        <f t="shared" si="2"/>
        <v>240</v>
      </c>
      <c r="J21" s="484"/>
      <c r="K21" s="484">
        <f t="shared" si="3"/>
        <v>2240</v>
      </c>
      <c r="L21" s="484"/>
      <c r="M21" s="484">
        <f t="shared" si="4"/>
        <v>2735</v>
      </c>
      <c r="N21" s="484"/>
      <c r="O21" s="484"/>
      <c r="P21" s="487">
        <v>0</v>
      </c>
      <c r="Q21" s="487"/>
      <c r="R21" s="487"/>
      <c r="S21" s="182">
        <f>IF(D21="","",$E$11)</f>
        <v>350</v>
      </c>
      <c r="T21" s="182">
        <f>IF(D21="","",$E$12)</f>
        <v>145</v>
      </c>
      <c r="U21" s="484">
        <f>IF(P21="","",D21-P21)</f>
        <v>40000</v>
      </c>
      <c r="V21" s="484"/>
      <c r="W21" s="484"/>
      <c r="X21" s="484">
        <f>IF(D21="","",$X$18)</f>
        <v>3230</v>
      </c>
      <c r="Y21" s="484"/>
      <c r="Z21" s="484"/>
      <c r="AA21" s="179">
        <f>IF(G21="","",(G21*0.07))</f>
        <v>140</v>
      </c>
      <c r="AB21" s="198">
        <f t="shared" si="5"/>
        <v>1568</v>
      </c>
      <c r="AC21" s="198">
        <f t="shared" si="6"/>
        <v>672</v>
      </c>
      <c r="AD21" s="198">
        <f t="shared" si="7"/>
        <v>1302</v>
      </c>
      <c r="AE21" s="198">
        <f t="shared" si="8"/>
        <v>558</v>
      </c>
    </row>
    <row r="22" spans="1:31">
      <c r="A22" s="181">
        <f t="shared" si="9"/>
        <v>5</v>
      </c>
      <c r="B22" s="74">
        <v>4</v>
      </c>
      <c r="C22" s="244">
        <f t="shared" si="10"/>
        <v>44246</v>
      </c>
      <c r="D22" s="490">
        <f t="shared" si="0"/>
        <v>40000</v>
      </c>
      <c r="E22" s="490"/>
      <c r="F22" s="490"/>
      <c r="G22" s="484">
        <f t="shared" si="1"/>
        <v>2000</v>
      </c>
      <c r="H22" s="484"/>
      <c r="I22" s="484">
        <f t="shared" si="2"/>
        <v>240</v>
      </c>
      <c r="J22" s="484"/>
      <c r="K22" s="484">
        <f t="shared" si="3"/>
        <v>2240</v>
      </c>
      <c r="L22" s="484"/>
      <c r="M22" s="484">
        <f t="shared" si="4"/>
        <v>2735</v>
      </c>
      <c r="N22" s="484"/>
      <c r="O22" s="484"/>
      <c r="P22" s="487">
        <v>0</v>
      </c>
      <c r="Q22" s="487"/>
      <c r="R22" s="487"/>
      <c r="S22" s="182">
        <f t="shared" ref="S22:S34" si="11">IF(P22="","",$E$11)</f>
        <v>350</v>
      </c>
      <c r="T22" s="182">
        <f t="shared" ref="T22:T35" si="12">IF(P22="","",$E$12)</f>
        <v>145</v>
      </c>
      <c r="U22" s="484">
        <f>IF(P22="","",D22-P22)</f>
        <v>40000</v>
      </c>
      <c r="V22" s="484"/>
      <c r="W22" s="484"/>
      <c r="X22" s="484">
        <f>IF(P22="","",$X$18)</f>
        <v>3230</v>
      </c>
      <c r="Y22" s="484"/>
      <c r="Z22" s="484"/>
      <c r="AA22" s="179">
        <f>IF(G22="","",(G22*0.07))</f>
        <v>140</v>
      </c>
      <c r="AB22" s="198">
        <f t="shared" si="5"/>
        <v>1568</v>
      </c>
      <c r="AC22" s="198">
        <f t="shared" si="6"/>
        <v>672</v>
      </c>
      <c r="AD22" s="198">
        <f t="shared" si="7"/>
        <v>1302</v>
      </c>
      <c r="AE22" s="198">
        <f t="shared" si="8"/>
        <v>558</v>
      </c>
    </row>
    <row r="23" spans="1:31">
      <c r="A23" s="181">
        <f t="shared" si="9"/>
        <v>6</v>
      </c>
      <c r="B23" s="74">
        <v>5</v>
      </c>
      <c r="C23" s="244">
        <f t="shared" si="10"/>
        <v>44396</v>
      </c>
      <c r="D23" s="490">
        <f t="shared" si="0"/>
        <v>40000</v>
      </c>
      <c r="E23" s="490"/>
      <c r="F23" s="490"/>
      <c r="G23" s="484">
        <f t="shared" si="1"/>
        <v>2000</v>
      </c>
      <c r="H23" s="484"/>
      <c r="I23" s="484">
        <f t="shared" si="2"/>
        <v>240</v>
      </c>
      <c r="J23" s="484"/>
      <c r="K23" s="484">
        <f t="shared" si="3"/>
        <v>2240</v>
      </c>
      <c r="L23" s="484"/>
      <c r="M23" s="484">
        <f t="shared" si="4"/>
        <v>2735</v>
      </c>
      <c r="N23" s="484"/>
      <c r="O23" s="484"/>
      <c r="P23" s="487">
        <v>0</v>
      </c>
      <c r="Q23" s="487"/>
      <c r="R23" s="487"/>
      <c r="S23" s="182">
        <f t="shared" si="11"/>
        <v>350</v>
      </c>
      <c r="T23" s="182">
        <f t="shared" si="12"/>
        <v>145</v>
      </c>
      <c r="U23" s="484">
        <f t="shared" ref="U23:U33" si="13">IF(P23="","",D23-P23)</f>
        <v>40000</v>
      </c>
      <c r="V23" s="484"/>
      <c r="W23" s="484"/>
      <c r="X23" s="484">
        <f t="shared" ref="X23:X35" si="14">IF(P23="","",$X$18)</f>
        <v>3230</v>
      </c>
      <c r="Y23" s="484"/>
      <c r="Z23" s="484"/>
      <c r="AA23" s="179">
        <f t="shared" ref="AA23:AA53" si="15">IF(G23="","",(G23*0.07))</f>
        <v>140</v>
      </c>
      <c r="AB23" s="198">
        <f t="shared" si="5"/>
        <v>1568</v>
      </c>
      <c r="AC23" s="198">
        <f t="shared" si="6"/>
        <v>672</v>
      </c>
      <c r="AD23" s="198">
        <f t="shared" si="7"/>
        <v>1302</v>
      </c>
      <c r="AE23" s="198">
        <f t="shared" si="8"/>
        <v>558</v>
      </c>
    </row>
    <row r="24" spans="1:31">
      <c r="A24" s="181">
        <f t="shared" si="9"/>
        <v>7</v>
      </c>
      <c r="B24" s="74">
        <v>6</v>
      </c>
      <c r="C24" s="244">
        <f t="shared" si="10"/>
        <v>44580</v>
      </c>
      <c r="D24" s="490">
        <f t="shared" si="0"/>
        <v>40000</v>
      </c>
      <c r="E24" s="490"/>
      <c r="F24" s="490"/>
      <c r="G24" s="484">
        <f t="shared" si="1"/>
        <v>2000</v>
      </c>
      <c r="H24" s="484"/>
      <c r="I24" s="484">
        <f t="shared" si="2"/>
        <v>240</v>
      </c>
      <c r="J24" s="484"/>
      <c r="K24" s="484">
        <f t="shared" si="3"/>
        <v>2240</v>
      </c>
      <c r="L24" s="484"/>
      <c r="M24" s="484">
        <f t="shared" si="4"/>
        <v>2735</v>
      </c>
      <c r="N24" s="484"/>
      <c r="O24" s="484"/>
      <c r="P24" s="487">
        <v>0</v>
      </c>
      <c r="Q24" s="487"/>
      <c r="R24" s="487"/>
      <c r="S24" s="182">
        <f t="shared" si="11"/>
        <v>350</v>
      </c>
      <c r="T24" s="182">
        <f t="shared" si="12"/>
        <v>145</v>
      </c>
      <c r="U24" s="484">
        <f t="shared" si="13"/>
        <v>40000</v>
      </c>
      <c r="V24" s="484"/>
      <c r="W24" s="484"/>
      <c r="X24" s="484">
        <f t="shared" si="14"/>
        <v>3230</v>
      </c>
      <c r="Y24" s="484"/>
      <c r="Z24" s="484"/>
      <c r="AA24" s="179">
        <f t="shared" si="15"/>
        <v>140</v>
      </c>
      <c r="AB24" s="198">
        <f t="shared" si="5"/>
        <v>1568</v>
      </c>
      <c r="AC24" s="198">
        <f t="shared" si="6"/>
        <v>672</v>
      </c>
      <c r="AD24" s="198">
        <f t="shared" si="7"/>
        <v>1302</v>
      </c>
      <c r="AE24" s="198">
        <f t="shared" si="8"/>
        <v>558</v>
      </c>
    </row>
    <row r="25" spans="1:31">
      <c r="A25" s="181">
        <f t="shared" si="9"/>
        <v>8</v>
      </c>
      <c r="B25" s="74">
        <v>7</v>
      </c>
      <c r="C25" s="244">
        <f t="shared" si="10"/>
        <v>44792</v>
      </c>
      <c r="D25" s="490">
        <f t="shared" si="0"/>
        <v>40000</v>
      </c>
      <c r="E25" s="490"/>
      <c r="F25" s="490"/>
      <c r="G25" s="484">
        <f t="shared" si="1"/>
        <v>2000</v>
      </c>
      <c r="H25" s="484"/>
      <c r="I25" s="484">
        <f t="shared" si="2"/>
        <v>240</v>
      </c>
      <c r="J25" s="484"/>
      <c r="K25" s="484">
        <f t="shared" si="3"/>
        <v>2240</v>
      </c>
      <c r="L25" s="484"/>
      <c r="M25" s="484">
        <f t="shared" si="4"/>
        <v>2735</v>
      </c>
      <c r="N25" s="484"/>
      <c r="O25" s="484"/>
      <c r="P25" s="487">
        <v>0</v>
      </c>
      <c r="Q25" s="487"/>
      <c r="R25" s="487"/>
      <c r="S25" s="182">
        <f t="shared" si="11"/>
        <v>350</v>
      </c>
      <c r="T25" s="182">
        <f t="shared" si="12"/>
        <v>145</v>
      </c>
      <c r="U25" s="484">
        <f t="shared" si="13"/>
        <v>40000</v>
      </c>
      <c r="V25" s="484"/>
      <c r="W25" s="484"/>
      <c r="X25" s="484">
        <f t="shared" si="14"/>
        <v>3230</v>
      </c>
      <c r="Y25" s="484"/>
      <c r="Z25" s="484"/>
      <c r="AA25" s="179">
        <f t="shared" si="15"/>
        <v>140</v>
      </c>
      <c r="AB25" s="198">
        <f t="shared" si="5"/>
        <v>1568</v>
      </c>
      <c r="AC25" s="198">
        <f t="shared" si="6"/>
        <v>672</v>
      </c>
      <c r="AD25" s="198">
        <f t="shared" si="7"/>
        <v>1302</v>
      </c>
      <c r="AE25" s="198">
        <f t="shared" si="8"/>
        <v>558</v>
      </c>
    </row>
    <row r="26" spans="1:31">
      <c r="A26" s="181">
        <f t="shared" si="9"/>
        <v>9</v>
      </c>
      <c r="B26" s="74">
        <v>8</v>
      </c>
      <c r="C26" s="244">
        <f t="shared" si="10"/>
        <v>45035</v>
      </c>
      <c r="D26" s="490">
        <f t="shared" si="0"/>
        <v>40000</v>
      </c>
      <c r="E26" s="490"/>
      <c r="F26" s="490"/>
      <c r="G26" s="484">
        <f t="shared" si="1"/>
        <v>2000</v>
      </c>
      <c r="H26" s="484"/>
      <c r="I26" s="484">
        <f t="shared" si="2"/>
        <v>240</v>
      </c>
      <c r="J26" s="484"/>
      <c r="K26" s="484">
        <f t="shared" si="3"/>
        <v>2240</v>
      </c>
      <c r="L26" s="484"/>
      <c r="M26" s="484">
        <f t="shared" si="4"/>
        <v>2735</v>
      </c>
      <c r="N26" s="484"/>
      <c r="O26" s="484"/>
      <c r="P26" s="487">
        <v>0</v>
      </c>
      <c r="Q26" s="487"/>
      <c r="R26" s="487"/>
      <c r="S26" s="182">
        <f t="shared" si="11"/>
        <v>350</v>
      </c>
      <c r="T26" s="182">
        <f t="shared" si="12"/>
        <v>145</v>
      </c>
      <c r="U26" s="484">
        <f t="shared" si="13"/>
        <v>40000</v>
      </c>
      <c r="V26" s="484"/>
      <c r="W26" s="484"/>
      <c r="X26" s="484">
        <f t="shared" si="14"/>
        <v>3230</v>
      </c>
      <c r="Y26" s="484"/>
      <c r="Z26" s="484"/>
      <c r="AA26" s="179">
        <f t="shared" si="15"/>
        <v>140</v>
      </c>
      <c r="AB26" s="198">
        <f t="shared" si="5"/>
        <v>1568</v>
      </c>
      <c r="AC26" s="198">
        <f t="shared" si="6"/>
        <v>672</v>
      </c>
      <c r="AD26" s="198">
        <f t="shared" si="7"/>
        <v>1302</v>
      </c>
      <c r="AE26" s="198">
        <f t="shared" si="8"/>
        <v>558</v>
      </c>
    </row>
    <row r="27" spans="1:31">
      <c r="A27" s="181">
        <f t="shared" si="9"/>
        <v>10</v>
      </c>
      <c r="B27" s="74">
        <v>9</v>
      </c>
      <c r="C27" s="244">
        <f t="shared" si="10"/>
        <v>45310</v>
      </c>
      <c r="D27" s="490">
        <f t="shared" si="0"/>
        <v>40000</v>
      </c>
      <c r="E27" s="490"/>
      <c r="F27" s="490"/>
      <c r="G27" s="484">
        <f t="shared" si="1"/>
        <v>2000</v>
      </c>
      <c r="H27" s="484"/>
      <c r="I27" s="484">
        <f t="shared" si="2"/>
        <v>240</v>
      </c>
      <c r="J27" s="484"/>
      <c r="K27" s="484">
        <f t="shared" si="3"/>
        <v>2240</v>
      </c>
      <c r="L27" s="484"/>
      <c r="M27" s="484">
        <f t="shared" si="4"/>
        <v>2735</v>
      </c>
      <c r="N27" s="484"/>
      <c r="O27" s="484"/>
      <c r="P27" s="487">
        <v>0</v>
      </c>
      <c r="Q27" s="487"/>
      <c r="R27" s="487"/>
      <c r="S27" s="182">
        <f t="shared" si="11"/>
        <v>350</v>
      </c>
      <c r="T27" s="182">
        <f t="shared" si="12"/>
        <v>145</v>
      </c>
      <c r="U27" s="484">
        <f t="shared" si="13"/>
        <v>40000</v>
      </c>
      <c r="V27" s="484"/>
      <c r="W27" s="484"/>
      <c r="X27" s="484">
        <f t="shared" si="14"/>
        <v>3230</v>
      </c>
      <c r="Y27" s="484"/>
      <c r="Z27" s="484"/>
      <c r="AA27" s="179">
        <f t="shared" si="15"/>
        <v>140</v>
      </c>
      <c r="AB27" s="198">
        <f t="shared" si="5"/>
        <v>1568</v>
      </c>
      <c r="AC27" s="198">
        <f t="shared" si="6"/>
        <v>672</v>
      </c>
      <c r="AD27" s="198">
        <f t="shared" si="7"/>
        <v>1302</v>
      </c>
      <c r="AE27" s="198">
        <f t="shared" si="8"/>
        <v>558</v>
      </c>
    </row>
    <row r="28" spans="1:31">
      <c r="A28" s="181">
        <f t="shared" si="9"/>
        <v>11</v>
      </c>
      <c r="B28" s="74">
        <v>10</v>
      </c>
      <c r="C28" s="244">
        <f t="shared" si="10"/>
        <v>45615</v>
      </c>
      <c r="D28" s="490">
        <f t="shared" si="0"/>
        <v>40000</v>
      </c>
      <c r="E28" s="490"/>
      <c r="F28" s="490"/>
      <c r="G28" s="484">
        <f t="shared" si="1"/>
        <v>2000</v>
      </c>
      <c r="H28" s="484"/>
      <c r="I28" s="484">
        <f t="shared" si="2"/>
        <v>240</v>
      </c>
      <c r="J28" s="484"/>
      <c r="K28" s="484">
        <f t="shared" si="3"/>
        <v>2240</v>
      </c>
      <c r="L28" s="484"/>
      <c r="M28" s="484">
        <f t="shared" si="4"/>
        <v>2735</v>
      </c>
      <c r="N28" s="484"/>
      <c r="O28" s="484"/>
      <c r="P28" s="498">
        <v>0</v>
      </c>
      <c r="Q28" s="498"/>
      <c r="R28" s="498"/>
      <c r="S28" s="182">
        <f t="shared" si="11"/>
        <v>350</v>
      </c>
      <c r="T28" s="182">
        <f t="shared" si="12"/>
        <v>145</v>
      </c>
      <c r="U28" s="484">
        <f t="shared" si="13"/>
        <v>40000</v>
      </c>
      <c r="V28" s="484"/>
      <c r="W28" s="484"/>
      <c r="X28" s="484">
        <f t="shared" si="14"/>
        <v>3230</v>
      </c>
      <c r="Y28" s="484"/>
      <c r="Z28" s="484"/>
      <c r="AA28" s="179">
        <f t="shared" si="15"/>
        <v>140</v>
      </c>
      <c r="AB28" s="198">
        <f t="shared" si="5"/>
        <v>1568</v>
      </c>
      <c r="AC28" s="198">
        <f t="shared" si="6"/>
        <v>672</v>
      </c>
      <c r="AD28" s="198">
        <f t="shared" si="7"/>
        <v>1302</v>
      </c>
      <c r="AE28" s="198">
        <f t="shared" si="8"/>
        <v>558</v>
      </c>
    </row>
    <row r="29" spans="1:31">
      <c r="A29" s="181">
        <f t="shared" si="9"/>
        <v>12</v>
      </c>
      <c r="B29" s="74">
        <v>11</v>
      </c>
      <c r="C29" s="244">
        <f t="shared" si="10"/>
        <v>45949</v>
      </c>
      <c r="D29" s="490">
        <f t="shared" si="0"/>
        <v>40000</v>
      </c>
      <c r="E29" s="490"/>
      <c r="F29" s="490"/>
      <c r="G29" s="484">
        <f t="shared" si="1"/>
        <v>2000</v>
      </c>
      <c r="H29" s="484"/>
      <c r="I29" s="484">
        <f t="shared" si="2"/>
        <v>240</v>
      </c>
      <c r="J29" s="484"/>
      <c r="K29" s="484">
        <f t="shared" si="3"/>
        <v>2240</v>
      </c>
      <c r="L29" s="484"/>
      <c r="M29" s="484">
        <f t="shared" si="4"/>
        <v>2735</v>
      </c>
      <c r="N29" s="484"/>
      <c r="O29" s="484"/>
      <c r="P29" s="498">
        <v>0</v>
      </c>
      <c r="Q29" s="498"/>
      <c r="R29" s="498"/>
      <c r="S29" s="182">
        <f t="shared" si="11"/>
        <v>350</v>
      </c>
      <c r="T29" s="182">
        <f t="shared" si="12"/>
        <v>145</v>
      </c>
      <c r="U29" s="484">
        <f t="shared" si="13"/>
        <v>40000</v>
      </c>
      <c r="V29" s="484"/>
      <c r="W29" s="484"/>
      <c r="X29" s="484">
        <f t="shared" si="14"/>
        <v>3230</v>
      </c>
      <c r="Y29" s="484"/>
      <c r="Z29" s="484"/>
      <c r="AA29" s="179">
        <f t="shared" si="15"/>
        <v>140</v>
      </c>
      <c r="AB29" s="198">
        <f t="shared" si="5"/>
        <v>1568</v>
      </c>
      <c r="AC29" s="198">
        <f t="shared" si="6"/>
        <v>672</v>
      </c>
      <c r="AD29" s="198">
        <f t="shared" si="7"/>
        <v>1302</v>
      </c>
      <c r="AE29" s="198">
        <f t="shared" si="8"/>
        <v>558</v>
      </c>
    </row>
    <row r="30" spans="1:31">
      <c r="A30" s="181">
        <f t="shared" si="9"/>
        <v>13</v>
      </c>
      <c r="B30" s="74">
        <v>12</v>
      </c>
      <c r="C30" s="244">
        <f t="shared" si="10"/>
        <v>46314</v>
      </c>
      <c r="D30" s="490">
        <f t="shared" si="0"/>
        <v>40000</v>
      </c>
      <c r="E30" s="490"/>
      <c r="F30" s="490"/>
      <c r="G30" s="484">
        <f t="shared" si="1"/>
        <v>2000</v>
      </c>
      <c r="H30" s="484"/>
      <c r="I30" s="484">
        <f t="shared" si="2"/>
        <v>240</v>
      </c>
      <c r="J30" s="484"/>
      <c r="K30" s="484">
        <f t="shared" si="3"/>
        <v>2240</v>
      </c>
      <c r="L30" s="484"/>
      <c r="M30" s="484">
        <f t="shared" si="4"/>
        <v>2735</v>
      </c>
      <c r="N30" s="484"/>
      <c r="O30" s="484"/>
      <c r="P30" s="487">
        <v>0</v>
      </c>
      <c r="Q30" s="487"/>
      <c r="R30" s="487"/>
      <c r="S30" s="182">
        <f t="shared" si="11"/>
        <v>350</v>
      </c>
      <c r="T30" s="182">
        <f t="shared" si="12"/>
        <v>145</v>
      </c>
      <c r="U30" s="484">
        <f t="shared" si="13"/>
        <v>40000</v>
      </c>
      <c r="V30" s="484"/>
      <c r="W30" s="484"/>
      <c r="X30" s="484">
        <f t="shared" si="14"/>
        <v>3230</v>
      </c>
      <c r="Y30" s="484"/>
      <c r="Z30" s="484"/>
      <c r="AA30" s="179">
        <f t="shared" si="15"/>
        <v>140</v>
      </c>
      <c r="AB30" s="198">
        <f t="shared" si="5"/>
        <v>1568</v>
      </c>
      <c r="AC30" s="198">
        <f t="shared" si="6"/>
        <v>672</v>
      </c>
      <c r="AD30" s="198">
        <f t="shared" si="7"/>
        <v>1302</v>
      </c>
      <c r="AE30" s="198">
        <f t="shared" si="8"/>
        <v>558</v>
      </c>
    </row>
    <row r="31" spans="1:31">
      <c r="A31" s="181">
        <f t="shared" si="9"/>
        <v>14</v>
      </c>
      <c r="B31" s="74">
        <v>13</v>
      </c>
      <c r="C31" s="244">
        <f t="shared" si="10"/>
        <v>46710</v>
      </c>
      <c r="D31" s="490">
        <f t="shared" si="0"/>
        <v>40000</v>
      </c>
      <c r="E31" s="490"/>
      <c r="F31" s="490"/>
      <c r="G31" s="484">
        <f t="shared" si="1"/>
        <v>2000</v>
      </c>
      <c r="H31" s="484"/>
      <c r="I31" s="484">
        <f t="shared" si="2"/>
        <v>240</v>
      </c>
      <c r="J31" s="484"/>
      <c r="K31" s="484">
        <f t="shared" si="3"/>
        <v>2240</v>
      </c>
      <c r="L31" s="484"/>
      <c r="M31" s="484">
        <f t="shared" si="4"/>
        <v>2735</v>
      </c>
      <c r="N31" s="484"/>
      <c r="O31" s="484"/>
      <c r="P31" s="487">
        <v>0</v>
      </c>
      <c r="Q31" s="487"/>
      <c r="R31" s="487"/>
      <c r="S31" s="182">
        <f t="shared" si="11"/>
        <v>350</v>
      </c>
      <c r="T31" s="182">
        <f t="shared" si="12"/>
        <v>145</v>
      </c>
      <c r="U31" s="484">
        <f t="shared" si="13"/>
        <v>40000</v>
      </c>
      <c r="V31" s="484"/>
      <c r="W31" s="484"/>
      <c r="X31" s="484">
        <f t="shared" si="14"/>
        <v>3230</v>
      </c>
      <c r="Y31" s="484"/>
      <c r="Z31" s="484"/>
      <c r="AA31" s="179">
        <f t="shared" si="15"/>
        <v>140</v>
      </c>
      <c r="AB31" s="198">
        <f t="shared" si="5"/>
        <v>1568</v>
      </c>
      <c r="AC31" s="198">
        <f t="shared" si="6"/>
        <v>672</v>
      </c>
      <c r="AD31" s="198">
        <f t="shared" si="7"/>
        <v>1302</v>
      </c>
      <c r="AE31" s="198">
        <f t="shared" si="8"/>
        <v>558</v>
      </c>
    </row>
    <row r="32" spans="1:31">
      <c r="A32" s="181">
        <f t="shared" si="9"/>
        <v>15</v>
      </c>
      <c r="B32" s="74">
        <v>14</v>
      </c>
      <c r="C32" s="244">
        <f t="shared" si="10"/>
        <v>47137</v>
      </c>
      <c r="D32" s="490">
        <f t="shared" si="0"/>
        <v>40000</v>
      </c>
      <c r="E32" s="490"/>
      <c r="F32" s="490"/>
      <c r="G32" s="484">
        <f t="shared" si="1"/>
        <v>2000</v>
      </c>
      <c r="H32" s="484"/>
      <c r="I32" s="484">
        <f>IF(G32="","",(G32*0.12))</f>
        <v>240</v>
      </c>
      <c r="J32" s="484"/>
      <c r="K32" s="484">
        <f>IF(G32="","",G32+I32)</f>
        <v>2240</v>
      </c>
      <c r="L32" s="484"/>
      <c r="M32" s="484">
        <f t="shared" si="4"/>
        <v>2735</v>
      </c>
      <c r="N32" s="484"/>
      <c r="O32" s="484"/>
      <c r="P32" s="487">
        <v>0</v>
      </c>
      <c r="Q32" s="487"/>
      <c r="R32" s="487"/>
      <c r="S32" s="182">
        <f t="shared" si="11"/>
        <v>350</v>
      </c>
      <c r="T32" s="182">
        <f t="shared" si="12"/>
        <v>145</v>
      </c>
      <c r="U32" s="484">
        <f t="shared" si="13"/>
        <v>40000</v>
      </c>
      <c r="V32" s="484"/>
      <c r="W32" s="484"/>
      <c r="X32" s="484">
        <f t="shared" si="14"/>
        <v>3230</v>
      </c>
      <c r="Y32" s="484"/>
      <c r="Z32" s="484"/>
      <c r="AA32" s="179">
        <f t="shared" si="15"/>
        <v>140</v>
      </c>
      <c r="AB32" s="198">
        <f t="shared" si="5"/>
        <v>1568</v>
      </c>
      <c r="AC32" s="198">
        <f t="shared" si="6"/>
        <v>672</v>
      </c>
      <c r="AD32" s="198">
        <f t="shared" si="7"/>
        <v>1302</v>
      </c>
      <c r="AE32" s="198">
        <f t="shared" si="8"/>
        <v>558</v>
      </c>
    </row>
    <row r="33" spans="1:31">
      <c r="A33" s="181">
        <f t="shared" si="9"/>
        <v>16</v>
      </c>
      <c r="B33" s="74">
        <v>15</v>
      </c>
      <c r="C33" s="244">
        <f t="shared" si="10"/>
        <v>47592</v>
      </c>
      <c r="D33" s="490">
        <f t="shared" si="0"/>
        <v>40000</v>
      </c>
      <c r="E33" s="490"/>
      <c r="F33" s="490"/>
      <c r="G33" s="484">
        <f t="shared" si="1"/>
        <v>2000</v>
      </c>
      <c r="H33" s="484"/>
      <c r="I33" s="484">
        <f>IF(G33="","",(G33*0.12))</f>
        <v>240</v>
      </c>
      <c r="J33" s="484"/>
      <c r="K33" s="484">
        <f>IF(G33="","",G33+I33)</f>
        <v>2240</v>
      </c>
      <c r="L33" s="484"/>
      <c r="M33" s="484">
        <f t="shared" si="4"/>
        <v>2735</v>
      </c>
      <c r="N33" s="484"/>
      <c r="O33" s="484"/>
      <c r="P33" s="487">
        <v>0</v>
      </c>
      <c r="Q33" s="487"/>
      <c r="R33" s="487"/>
      <c r="S33" s="182">
        <f t="shared" si="11"/>
        <v>350</v>
      </c>
      <c r="T33" s="182">
        <f t="shared" si="12"/>
        <v>145</v>
      </c>
      <c r="U33" s="484">
        <f t="shared" si="13"/>
        <v>40000</v>
      </c>
      <c r="V33" s="484"/>
      <c r="W33" s="484"/>
      <c r="X33" s="484">
        <f t="shared" si="14"/>
        <v>3230</v>
      </c>
      <c r="Y33" s="484"/>
      <c r="Z33" s="484"/>
      <c r="AA33" s="179">
        <f t="shared" si="15"/>
        <v>140</v>
      </c>
      <c r="AB33" s="198">
        <f t="shared" si="5"/>
        <v>1568</v>
      </c>
      <c r="AC33" s="198">
        <f t="shared" si="6"/>
        <v>672</v>
      </c>
      <c r="AD33" s="198">
        <f t="shared" si="7"/>
        <v>1302</v>
      </c>
      <c r="AE33" s="198">
        <f t="shared" si="8"/>
        <v>558</v>
      </c>
    </row>
    <row r="34" spans="1:31">
      <c r="A34" s="181">
        <f t="shared" si="9"/>
        <v>17</v>
      </c>
      <c r="B34" s="74">
        <v>16</v>
      </c>
      <c r="C34" s="244">
        <f t="shared" si="10"/>
        <v>48079</v>
      </c>
      <c r="D34" s="490">
        <f t="shared" si="0"/>
        <v>40000</v>
      </c>
      <c r="E34" s="490"/>
      <c r="F34" s="490"/>
      <c r="G34" s="484">
        <f t="shared" ref="G34:G46" si="16">IF(D34="","",(D34*$E$8))</f>
        <v>2000</v>
      </c>
      <c r="H34" s="484"/>
      <c r="I34" s="484">
        <f>IF(G34="","",(G34*0.12))</f>
        <v>240</v>
      </c>
      <c r="J34" s="484"/>
      <c r="K34" s="484">
        <f>IF(G34="","",G34+I34)</f>
        <v>2240</v>
      </c>
      <c r="L34" s="484"/>
      <c r="M34" s="484">
        <f t="shared" ref="M34:M53" si="17">IF(I34="","",G34+I34+$E$11+$E$12)</f>
        <v>2735</v>
      </c>
      <c r="N34" s="484"/>
      <c r="O34" s="484"/>
      <c r="P34" s="487">
        <v>0</v>
      </c>
      <c r="Q34" s="487"/>
      <c r="R34" s="487"/>
      <c r="S34" s="182">
        <f t="shared" si="11"/>
        <v>350</v>
      </c>
      <c r="T34" s="182">
        <f t="shared" si="12"/>
        <v>145</v>
      </c>
      <c r="U34" s="484">
        <f t="shared" ref="U34:U53" si="18">IF(P34="","",D34-P34)</f>
        <v>40000</v>
      </c>
      <c r="V34" s="484"/>
      <c r="W34" s="484"/>
      <c r="X34" s="484">
        <f t="shared" si="14"/>
        <v>3230</v>
      </c>
      <c r="Y34" s="484"/>
      <c r="Z34" s="484"/>
      <c r="AA34" s="179">
        <f t="shared" si="15"/>
        <v>140</v>
      </c>
      <c r="AB34" s="198">
        <f t="shared" si="5"/>
        <v>1568</v>
      </c>
      <c r="AC34" s="198">
        <f t="shared" si="6"/>
        <v>672</v>
      </c>
      <c r="AD34" s="198">
        <f t="shared" si="7"/>
        <v>1302</v>
      </c>
      <c r="AE34" s="198">
        <f t="shared" si="8"/>
        <v>558</v>
      </c>
    </row>
    <row r="35" spans="1:31">
      <c r="A35" s="181">
        <f t="shared" si="9"/>
        <v>18</v>
      </c>
      <c r="B35" s="74">
        <v>17</v>
      </c>
      <c r="C35" s="244">
        <f t="shared" si="10"/>
        <v>48598</v>
      </c>
      <c r="D35" s="490">
        <f t="shared" ref="D35:D53" si="19">IF(U34&lt;=0.1,"",U34)</f>
        <v>40000</v>
      </c>
      <c r="E35" s="490"/>
      <c r="F35" s="490"/>
      <c r="G35" s="484">
        <f t="shared" si="16"/>
        <v>2000</v>
      </c>
      <c r="H35" s="484"/>
      <c r="I35" s="484">
        <f t="shared" ref="I35:I47" si="20">IF(G35="","",(G35*0.12))</f>
        <v>240</v>
      </c>
      <c r="J35" s="484"/>
      <c r="K35" s="484">
        <f>IF(G35="","",G35+I35)</f>
        <v>2240</v>
      </c>
      <c r="L35" s="484"/>
      <c r="M35" s="484">
        <f t="shared" si="17"/>
        <v>2735</v>
      </c>
      <c r="N35" s="484"/>
      <c r="O35" s="484"/>
      <c r="P35" s="487">
        <v>0</v>
      </c>
      <c r="Q35" s="487"/>
      <c r="R35" s="487"/>
      <c r="S35" s="182">
        <f t="shared" ref="S35:S53" si="21">IF(D35="","",$E$11)</f>
        <v>350</v>
      </c>
      <c r="T35" s="182">
        <f t="shared" si="12"/>
        <v>145</v>
      </c>
      <c r="U35" s="484">
        <f t="shared" si="18"/>
        <v>40000</v>
      </c>
      <c r="V35" s="484"/>
      <c r="W35" s="484"/>
      <c r="X35" s="484">
        <f t="shared" si="14"/>
        <v>3230</v>
      </c>
      <c r="Y35" s="484"/>
      <c r="Z35" s="484"/>
      <c r="AA35" s="179">
        <f t="shared" si="15"/>
        <v>140</v>
      </c>
      <c r="AB35" s="198">
        <f t="shared" si="5"/>
        <v>1568</v>
      </c>
      <c r="AC35" s="198">
        <f t="shared" si="6"/>
        <v>672</v>
      </c>
      <c r="AD35" s="198">
        <f t="shared" si="7"/>
        <v>1302</v>
      </c>
      <c r="AE35" s="198">
        <f t="shared" si="8"/>
        <v>558</v>
      </c>
    </row>
    <row r="36" spans="1:31">
      <c r="A36" s="181">
        <f t="shared" si="9"/>
        <v>19</v>
      </c>
      <c r="B36" s="74">
        <v>18</v>
      </c>
      <c r="C36" s="244">
        <f t="shared" si="10"/>
        <v>49144</v>
      </c>
      <c r="D36" s="490">
        <f t="shared" si="19"/>
        <v>40000</v>
      </c>
      <c r="E36" s="490"/>
      <c r="F36" s="490"/>
      <c r="G36" s="484">
        <f t="shared" si="16"/>
        <v>2000</v>
      </c>
      <c r="H36" s="484"/>
      <c r="I36" s="484">
        <f t="shared" si="20"/>
        <v>240</v>
      </c>
      <c r="J36" s="484"/>
      <c r="K36" s="484">
        <f t="shared" ref="K36:K43" si="22">IF(G36="","",G36+I36)</f>
        <v>2240</v>
      </c>
      <c r="L36" s="484"/>
      <c r="M36" s="484">
        <f t="shared" si="17"/>
        <v>2735</v>
      </c>
      <c r="N36" s="484"/>
      <c r="O36" s="484"/>
      <c r="P36" s="487">
        <v>0</v>
      </c>
      <c r="Q36" s="487"/>
      <c r="R36" s="487"/>
      <c r="S36" s="182">
        <f t="shared" si="21"/>
        <v>350</v>
      </c>
      <c r="T36" s="182">
        <f t="shared" ref="T36:T53" si="23">IF(D36="","",$E$12)</f>
        <v>145</v>
      </c>
      <c r="U36" s="484">
        <f t="shared" si="18"/>
        <v>40000</v>
      </c>
      <c r="V36" s="484"/>
      <c r="W36" s="484"/>
      <c r="X36" s="484">
        <f>IF(D36="","",$X$18)</f>
        <v>3230</v>
      </c>
      <c r="Y36" s="484"/>
      <c r="Z36" s="484"/>
      <c r="AA36" s="179">
        <f t="shared" si="15"/>
        <v>140</v>
      </c>
      <c r="AB36" s="198">
        <f t="shared" si="5"/>
        <v>1568</v>
      </c>
      <c r="AC36" s="198">
        <f t="shared" si="6"/>
        <v>672</v>
      </c>
      <c r="AD36" s="198">
        <f t="shared" si="7"/>
        <v>1302</v>
      </c>
      <c r="AE36" s="198">
        <f t="shared" si="8"/>
        <v>558</v>
      </c>
    </row>
    <row r="37" spans="1:31">
      <c r="A37" s="181">
        <f t="shared" si="9"/>
        <v>20</v>
      </c>
      <c r="B37" s="74">
        <v>19</v>
      </c>
      <c r="C37" s="244">
        <f t="shared" si="10"/>
        <v>49724</v>
      </c>
      <c r="D37" s="490">
        <f t="shared" si="19"/>
        <v>40000</v>
      </c>
      <c r="E37" s="490"/>
      <c r="F37" s="490"/>
      <c r="G37" s="484">
        <f t="shared" si="16"/>
        <v>2000</v>
      </c>
      <c r="H37" s="484"/>
      <c r="I37" s="484">
        <f t="shared" si="20"/>
        <v>240</v>
      </c>
      <c r="J37" s="484"/>
      <c r="K37" s="484">
        <f t="shared" si="22"/>
        <v>2240</v>
      </c>
      <c r="L37" s="484"/>
      <c r="M37" s="484">
        <f t="shared" si="17"/>
        <v>2735</v>
      </c>
      <c r="N37" s="484"/>
      <c r="O37" s="484"/>
      <c r="P37" s="487">
        <v>0</v>
      </c>
      <c r="Q37" s="487"/>
      <c r="R37" s="487"/>
      <c r="S37" s="182">
        <f t="shared" si="21"/>
        <v>350</v>
      </c>
      <c r="T37" s="182">
        <f t="shared" si="23"/>
        <v>145</v>
      </c>
      <c r="U37" s="484">
        <f t="shared" si="18"/>
        <v>40000</v>
      </c>
      <c r="V37" s="484"/>
      <c r="W37" s="484"/>
      <c r="X37" s="484">
        <f t="shared" ref="X37:X44" si="24">IF(D37="","",$X$18)</f>
        <v>3230</v>
      </c>
      <c r="Y37" s="484"/>
      <c r="Z37" s="484"/>
      <c r="AA37" s="179">
        <f t="shared" si="15"/>
        <v>140</v>
      </c>
      <c r="AB37" s="198">
        <f t="shared" si="5"/>
        <v>1568</v>
      </c>
      <c r="AC37" s="198">
        <f t="shared" si="6"/>
        <v>672</v>
      </c>
      <c r="AD37" s="198">
        <f t="shared" si="7"/>
        <v>1302</v>
      </c>
      <c r="AE37" s="198">
        <f t="shared" si="8"/>
        <v>558</v>
      </c>
    </row>
    <row r="38" spans="1:31">
      <c r="A38" s="181">
        <f t="shared" si="9"/>
        <v>21</v>
      </c>
      <c r="B38" s="74">
        <v>20</v>
      </c>
      <c r="C38" s="244">
        <f t="shared" si="10"/>
        <v>50332</v>
      </c>
      <c r="D38" s="490">
        <f t="shared" si="19"/>
        <v>40000</v>
      </c>
      <c r="E38" s="490"/>
      <c r="F38" s="490"/>
      <c r="G38" s="484">
        <f t="shared" si="16"/>
        <v>2000</v>
      </c>
      <c r="H38" s="484"/>
      <c r="I38" s="484">
        <f t="shared" si="20"/>
        <v>240</v>
      </c>
      <c r="J38" s="484"/>
      <c r="K38" s="484">
        <f t="shared" si="22"/>
        <v>2240</v>
      </c>
      <c r="L38" s="484"/>
      <c r="M38" s="484">
        <f t="shared" si="17"/>
        <v>2735</v>
      </c>
      <c r="N38" s="484"/>
      <c r="O38" s="484"/>
      <c r="P38" s="487">
        <v>0</v>
      </c>
      <c r="Q38" s="487"/>
      <c r="R38" s="487"/>
      <c r="S38" s="182">
        <f t="shared" si="21"/>
        <v>350</v>
      </c>
      <c r="T38" s="182">
        <f t="shared" si="23"/>
        <v>145</v>
      </c>
      <c r="U38" s="484">
        <f t="shared" si="18"/>
        <v>40000</v>
      </c>
      <c r="V38" s="484"/>
      <c r="W38" s="484"/>
      <c r="X38" s="484">
        <f t="shared" si="24"/>
        <v>3230</v>
      </c>
      <c r="Y38" s="484"/>
      <c r="Z38" s="484"/>
      <c r="AA38" s="179">
        <f t="shared" si="15"/>
        <v>140</v>
      </c>
      <c r="AB38" s="198">
        <f t="shared" si="5"/>
        <v>1568</v>
      </c>
      <c r="AC38" s="198">
        <f t="shared" si="6"/>
        <v>672</v>
      </c>
      <c r="AD38" s="198">
        <f t="shared" si="7"/>
        <v>1302</v>
      </c>
      <c r="AE38" s="198">
        <f t="shared" si="8"/>
        <v>558</v>
      </c>
    </row>
    <row r="39" spans="1:31">
      <c r="A39" s="181">
        <f t="shared" si="9"/>
        <v>22</v>
      </c>
      <c r="B39" s="74">
        <v>21</v>
      </c>
      <c r="C39" s="244">
        <f t="shared" si="10"/>
        <v>50970</v>
      </c>
      <c r="D39" s="490">
        <f t="shared" si="19"/>
        <v>40000</v>
      </c>
      <c r="E39" s="490"/>
      <c r="F39" s="490"/>
      <c r="G39" s="484">
        <f t="shared" si="16"/>
        <v>2000</v>
      </c>
      <c r="H39" s="484"/>
      <c r="I39" s="484">
        <f t="shared" si="20"/>
        <v>240</v>
      </c>
      <c r="J39" s="484"/>
      <c r="K39" s="484">
        <f t="shared" si="22"/>
        <v>2240</v>
      </c>
      <c r="L39" s="484"/>
      <c r="M39" s="484">
        <f t="shared" si="17"/>
        <v>2735</v>
      </c>
      <c r="N39" s="484"/>
      <c r="O39" s="484"/>
      <c r="P39" s="487">
        <v>0</v>
      </c>
      <c r="Q39" s="487"/>
      <c r="R39" s="487"/>
      <c r="S39" s="182">
        <f t="shared" si="21"/>
        <v>350</v>
      </c>
      <c r="T39" s="182">
        <f t="shared" si="23"/>
        <v>145</v>
      </c>
      <c r="U39" s="484">
        <f t="shared" si="18"/>
        <v>40000</v>
      </c>
      <c r="V39" s="484"/>
      <c r="W39" s="484"/>
      <c r="X39" s="484">
        <f t="shared" si="24"/>
        <v>3230</v>
      </c>
      <c r="Y39" s="484"/>
      <c r="Z39" s="484"/>
      <c r="AA39" s="179">
        <f t="shared" si="15"/>
        <v>140</v>
      </c>
      <c r="AB39" s="198">
        <f t="shared" si="5"/>
        <v>1568</v>
      </c>
      <c r="AC39" s="198">
        <f t="shared" si="6"/>
        <v>672</v>
      </c>
      <c r="AD39" s="198">
        <f t="shared" si="7"/>
        <v>1302</v>
      </c>
      <c r="AE39" s="198">
        <f t="shared" si="8"/>
        <v>558</v>
      </c>
    </row>
    <row r="40" spans="1:31">
      <c r="A40" s="181">
        <f t="shared" si="9"/>
        <v>23</v>
      </c>
      <c r="B40" s="74">
        <v>22</v>
      </c>
      <c r="C40" s="244">
        <f t="shared" si="10"/>
        <v>51640</v>
      </c>
      <c r="D40" s="490">
        <f t="shared" si="19"/>
        <v>40000</v>
      </c>
      <c r="E40" s="490"/>
      <c r="F40" s="490"/>
      <c r="G40" s="484">
        <f t="shared" si="16"/>
        <v>2000</v>
      </c>
      <c r="H40" s="484"/>
      <c r="I40" s="484">
        <f t="shared" si="20"/>
        <v>240</v>
      </c>
      <c r="J40" s="484"/>
      <c r="K40" s="484">
        <f t="shared" si="22"/>
        <v>2240</v>
      </c>
      <c r="L40" s="484"/>
      <c r="M40" s="484">
        <f t="shared" si="17"/>
        <v>2735</v>
      </c>
      <c r="N40" s="484"/>
      <c r="O40" s="484"/>
      <c r="P40" s="487">
        <v>0</v>
      </c>
      <c r="Q40" s="487"/>
      <c r="R40" s="487"/>
      <c r="S40" s="182">
        <f t="shared" si="21"/>
        <v>350</v>
      </c>
      <c r="T40" s="182">
        <f t="shared" si="23"/>
        <v>145</v>
      </c>
      <c r="U40" s="484">
        <f t="shared" si="18"/>
        <v>40000</v>
      </c>
      <c r="V40" s="484"/>
      <c r="W40" s="484"/>
      <c r="X40" s="484">
        <f t="shared" si="24"/>
        <v>3230</v>
      </c>
      <c r="Y40" s="484"/>
      <c r="Z40" s="484"/>
      <c r="AA40" s="179">
        <f t="shared" si="15"/>
        <v>140</v>
      </c>
      <c r="AB40" s="198">
        <f t="shared" si="5"/>
        <v>1568</v>
      </c>
      <c r="AC40" s="198">
        <f t="shared" si="6"/>
        <v>672</v>
      </c>
      <c r="AD40" s="198">
        <f t="shared" si="7"/>
        <v>1302</v>
      </c>
      <c r="AE40" s="198">
        <f t="shared" si="8"/>
        <v>558</v>
      </c>
    </row>
    <row r="41" spans="1:31">
      <c r="A41" s="181">
        <f t="shared" si="9"/>
        <v>24</v>
      </c>
      <c r="B41" s="74">
        <v>23</v>
      </c>
      <c r="C41" s="244">
        <f t="shared" si="10"/>
        <v>52340</v>
      </c>
      <c r="D41" s="490">
        <f t="shared" si="19"/>
        <v>40000</v>
      </c>
      <c r="E41" s="490"/>
      <c r="F41" s="490"/>
      <c r="G41" s="484">
        <f t="shared" si="16"/>
        <v>2000</v>
      </c>
      <c r="H41" s="484"/>
      <c r="I41" s="484">
        <f t="shared" si="20"/>
        <v>240</v>
      </c>
      <c r="J41" s="484"/>
      <c r="K41" s="484">
        <f t="shared" si="22"/>
        <v>2240</v>
      </c>
      <c r="L41" s="484"/>
      <c r="M41" s="484">
        <f t="shared" si="17"/>
        <v>2735</v>
      </c>
      <c r="N41" s="484"/>
      <c r="O41" s="484"/>
      <c r="P41" s="487">
        <v>0</v>
      </c>
      <c r="Q41" s="487"/>
      <c r="R41" s="487"/>
      <c r="S41" s="182">
        <f t="shared" si="21"/>
        <v>350</v>
      </c>
      <c r="T41" s="182">
        <f t="shared" si="23"/>
        <v>145</v>
      </c>
      <c r="U41" s="484">
        <f t="shared" si="18"/>
        <v>40000</v>
      </c>
      <c r="V41" s="484"/>
      <c r="W41" s="484"/>
      <c r="X41" s="484">
        <f t="shared" si="24"/>
        <v>3230</v>
      </c>
      <c r="Y41" s="484"/>
      <c r="Z41" s="484"/>
      <c r="AA41" s="179">
        <f t="shared" si="15"/>
        <v>140</v>
      </c>
      <c r="AB41" s="198">
        <f t="shared" si="5"/>
        <v>1568</v>
      </c>
      <c r="AC41" s="198">
        <f t="shared" si="6"/>
        <v>672</v>
      </c>
      <c r="AD41" s="198">
        <f t="shared" si="7"/>
        <v>1302</v>
      </c>
      <c r="AE41" s="198">
        <f t="shared" si="8"/>
        <v>558</v>
      </c>
    </row>
    <row r="42" spans="1:31">
      <c r="A42" s="181">
        <f t="shared" si="9"/>
        <v>25</v>
      </c>
      <c r="B42" s="74">
        <v>24</v>
      </c>
      <c r="C42" s="244">
        <f t="shared" si="10"/>
        <v>53071</v>
      </c>
      <c r="D42" s="490">
        <f t="shared" si="19"/>
        <v>40000</v>
      </c>
      <c r="E42" s="490"/>
      <c r="F42" s="490"/>
      <c r="G42" s="484">
        <f t="shared" si="16"/>
        <v>2000</v>
      </c>
      <c r="H42" s="484"/>
      <c r="I42" s="484">
        <f t="shared" si="20"/>
        <v>240</v>
      </c>
      <c r="J42" s="484"/>
      <c r="K42" s="484">
        <f t="shared" si="22"/>
        <v>2240</v>
      </c>
      <c r="L42" s="484"/>
      <c r="M42" s="484">
        <f t="shared" si="17"/>
        <v>2735</v>
      </c>
      <c r="N42" s="484"/>
      <c r="O42" s="484"/>
      <c r="P42" s="487">
        <v>0</v>
      </c>
      <c r="Q42" s="487"/>
      <c r="R42" s="487"/>
      <c r="S42" s="182">
        <f t="shared" si="21"/>
        <v>350</v>
      </c>
      <c r="T42" s="182">
        <f t="shared" si="23"/>
        <v>145</v>
      </c>
      <c r="U42" s="484">
        <f t="shared" si="18"/>
        <v>40000</v>
      </c>
      <c r="V42" s="484"/>
      <c r="W42" s="484"/>
      <c r="X42" s="484">
        <f t="shared" si="24"/>
        <v>3230</v>
      </c>
      <c r="Y42" s="484"/>
      <c r="Z42" s="484"/>
      <c r="AA42" s="179">
        <f t="shared" si="15"/>
        <v>140</v>
      </c>
      <c r="AB42" s="198">
        <f t="shared" si="5"/>
        <v>1568</v>
      </c>
      <c r="AC42" s="198">
        <f t="shared" si="6"/>
        <v>672</v>
      </c>
      <c r="AD42" s="198">
        <f t="shared" si="7"/>
        <v>1302</v>
      </c>
      <c r="AE42" s="198">
        <f t="shared" si="8"/>
        <v>558</v>
      </c>
    </row>
    <row r="43" spans="1:31">
      <c r="A43" s="181">
        <f t="shared" si="9"/>
        <v>26</v>
      </c>
      <c r="B43" s="74">
        <v>25</v>
      </c>
      <c r="C43" s="244">
        <f t="shared" si="10"/>
        <v>53831</v>
      </c>
      <c r="D43" s="490">
        <f t="shared" si="19"/>
        <v>40000</v>
      </c>
      <c r="E43" s="490"/>
      <c r="F43" s="490"/>
      <c r="G43" s="484">
        <f t="shared" si="16"/>
        <v>2000</v>
      </c>
      <c r="H43" s="484"/>
      <c r="I43" s="484">
        <f t="shared" si="20"/>
        <v>240</v>
      </c>
      <c r="J43" s="484"/>
      <c r="K43" s="484">
        <f t="shared" si="22"/>
        <v>2240</v>
      </c>
      <c r="L43" s="484"/>
      <c r="M43" s="484">
        <f t="shared" si="17"/>
        <v>2735</v>
      </c>
      <c r="N43" s="484"/>
      <c r="O43" s="484"/>
      <c r="P43" s="487">
        <v>0</v>
      </c>
      <c r="Q43" s="487"/>
      <c r="R43" s="487"/>
      <c r="S43" s="182">
        <f t="shared" si="21"/>
        <v>350</v>
      </c>
      <c r="T43" s="182">
        <f t="shared" si="23"/>
        <v>145</v>
      </c>
      <c r="U43" s="484">
        <f t="shared" si="18"/>
        <v>40000</v>
      </c>
      <c r="V43" s="484"/>
      <c r="W43" s="484"/>
      <c r="X43" s="484">
        <f t="shared" si="24"/>
        <v>3230</v>
      </c>
      <c r="Y43" s="484"/>
      <c r="Z43" s="484"/>
      <c r="AA43" s="179">
        <f t="shared" si="15"/>
        <v>140</v>
      </c>
      <c r="AB43" s="198">
        <f t="shared" si="5"/>
        <v>1568</v>
      </c>
      <c r="AC43" s="198">
        <f t="shared" si="6"/>
        <v>672</v>
      </c>
      <c r="AD43" s="198">
        <f t="shared" si="7"/>
        <v>1302</v>
      </c>
      <c r="AE43" s="198">
        <f t="shared" si="8"/>
        <v>558</v>
      </c>
    </row>
    <row r="44" spans="1:31">
      <c r="A44" s="181">
        <f t="shared" si="9"/>
        <v>27</v>
      </c>
      <c r="B44" s="74">
        <v>26</v>
      </c>
      <c r="C44" s="244">
        <f t="shared" si="10"/>
        <v>54623</v>
      </c>
      <c r="D44" s="490">
        <f t="shared" si="19"/>
        <v>40000</v>
      </c>
      <c r="E44" s="490"/>
      <c r="F44" s="490"/>
      <c r="G44" s="484">
        <f t="shared" si="16"/>
        <v>2000</v>
      </c>
      <c r="H44" s="484"/>
      <c r="I44" s="484">
        <f t="shared" si="20"/>
        <v>240</v>
      </c>
      <c r="J44" s="484"/>
      <c r="K44" s="484">
        <f>IF(G44="","",G44+I44)</f>
        <v>2240</v>
      </c>
      <c r="L44" s="484"/>
      <c r="M44" s="484">
        <f t="shared" si="17"/>
        <v>2735</v>
      </c>
      <c r="N44" s="484"/>
      <c r="O44" s="484"/>
      <c r="P44" s="487">
        <v>0</v>
      </c>
      <c r="Q44" s="487"/>
      <c r="R44" s="487"/>
      <c r="S44" s="182">
        <f t="shared" si="21"/>
        <v>350</v>
      </c>
      <c r="T44" s="182">
        <f t="shared" si="23"/>
        <v>145</v>
      </c>
      <c r="U44" s="484">
        <f t="shared" si="18"/>
        <v>40000</v>
      </c>
      <c r="V44" s="484"/>
      <c r="W44" s="484"/>
      <c r="X44" s="484">
        <f t="shared" si="24"/>
        <v>3230</v>
      </c>
      <c r="Y44" s="484"/>
      <c r="Z44" s="484"/>
      <c r="AA44" s="179">
        <f t="shared" si="15"/>
        <v>140</v>
      </c>
      <c r="AB44" s="198">
        <f t="shared" si="5"/>
        <v>1568</v>
      </c>
      <c r="AC44" s="198">
        <f t="shared" si="6"/>
        <v>672</v>
      </c>
      <c r="AD44" s="198">
        <f t="shared" si="7"/>
        <v>1302</v>
      </c>
      <c r="AE44" s="198">
        <f t="shared" si="8"/>
        <v>558</v>
      </c>
    </row>
    <row r="45" spans="1:31">
      <c r="A45" s="181">
        <f t="shared" si="9"/>
        <v>28</v>
      </c>
      <c r="B45" s="74">
        <v>27</v>
      </c>
      <c r="C45" s="244">
        <f t="shared" si="10"/>
        <v>55445</v>
      </c>
      <c r="D45" s="490">
        <f t="shared" si="19"/>
        <v>40000</v>
      </c>
      <c r="E45" s="490"/>
      <c r="F45" s="490"/>
      <c r="G45" s="484">
        <f t="shared" si="16"/>
        <v>2000</v>
      </c>
      <c r="H45" s="484"/>
      <c r="I45" s="484">
        <f t="shared" si="20"/>
        <v>240</v>
      </c>
      <c r="J45" s="484"/>
      <c r="K45" s="484">
        <f>IF(G45="","",G45+I45)</f>
        <v>2240</v>
      </c>
      <c r="L45" s="484"/>
      <c r="M45" s="484">
        <f t="shared" si="17"/>
        <v>2735</v>
      </c>
      <c r="N45" s="484"/>
      <c r="O45" s="484"/>
      <c r="P45" s="487">
        <v>0</v>
      </c>
      <c r="Q45" s="487"/>
      <c r="R45" s="487"/>
      <c r="S45" s="182">
        <f t="shared" si="21"/>
        <v>350</v>
      </c>
      <c r="T45" s="182">
        <f t="shared" si="23"/>
        <v>145</v>
      </c>
      <c r="U45" s="484">
        <f t="shared" si="18"/>
        <v>40000</v>
      </c>
      <c r="V45" s="484"/>
      <c r="W45" s="484"/>
      <c r="X45" s="484">
        <f>IF(D45="","",$X$18)</f>
        <v>3230</v>
      </c>
      <c r="Y45" s="484"/>
      <c r="Z45" s="484"/>
      <c r="AA45" s="179">
        <f t="shared" si="15"/>
        <v>140</v>
      </c>
      <c r="AB45" s="198">
        <f t="shared" si="5"/>
        <v>1568</v>
      </c>
      <c r="AC45" s="198">
        <f t="shared" si="6"/>
        <v>672</v>
      </c>
      <c r="AD45" s="198">
        <f t="shared" si="7"/>
        <v>1302</v>
      </c>
      <c r="AE45" s="198">
        <f t="shared" si="8"/>
        <v>558</v>
      </c>
    </row>
    <row r="46" spans="1:31">
      <c r="A46" s="181">
        <f t="shared" si="9"/>
        <v>29</v>
      </c>
      <c r="B46" s="74">
        <v>28</v>
      </c>
      <c r="C46" s="244">
        <f t="shared" si="10"/>
        <v>56299</v>
      </c>
      <c r="D46" s="490">
        <f t="shared" si="19"/>
        <v>40000</v>
      </c>
      <c r="E46" s="490"/>
      <c r="F46" s="490"/>
      <c r="G46" s="484">
        <f t="shared" si="16"/>
        <v>2000</v>
      </c>
      <c r="H46" s="484"/>
      <c r="I46" s="484">
        <f t="shared" si="20"/>
        <v>240</v>
      </c>
      <c r="J46" s="484"/>
      <c r="K46" s="484">
        <f>IF(G46="","",G46+I46)</f>
        <v>2240</v>
      </c>
      <c r="L46" s="484"/>
      <c r="M46" s="484">
        <f t="shared" si="17"/>
        <v>2735</v>
      </c>
      <c r="N46" s="484"/>
      <c r="O46" s="484"/>
      <c r="P46" s="487">
        <v>0</v>
      </c>
      <c r="Q46" s="487"/>
      <c r="R46" s="487"/>
      <c r="S46" s="182">
        <f t="shared" si="21"/>
        <v>350</v>
      </c>
      <c r="T46" s="182">
        <f t="shared" si="23"/>
        <v>145</v>
      </c>
      <c r="U46" s="484">
        <f t="shared" si="18"/>
        <v>40000</v>
      </c>
      <c r="V46" s="484"/>
      <c r="W46" s="484"/>
      <c r="X46" s="484">
        <f t="shared" ref="X46:X53" si="25">IF(D46="","",$X$18)</f>
        <v>3230</v>
      </c>
      <c r="Y46" s="484"/>
      <c r="Z46" s="484"/>
      <c r="AA46" s="179">
        <f t="shared" si="15"/>
        <v>140</v>
      </c>
      <c r="AB46" s="198">
        <f t="shared" si="5"/>
        <v>1568</v>
      </c>
      <c r="AC46" s="198">
        <f t="shared" si="6"/>
        <v>672</v>
      </c>
      <c r="AD46" s="198">
        <f t="shared" si="7"/>
        <v>1302</v>
      </c>
      <c r="AE46" s="198">
        <f t="shared" si="8"/>
        <v>558</v>
      </c>
    </row>
    <row r="47" spans="1:31">
      <c r="A47" s="181">
        <f t="shared" si="9"/>
        <v>30</v>
      </c>
      <c r="B47" s="74">
        <v>29</v>
      </c>
      <c r="C47" s="244">
        <f t="shared" si="10"/>
        <v>57180</v>
      </c>
      <c r="D47" s="490">
        <f t="shared" si="19"/>
        <v>40000</v>
      </c>
      <c r="E47" s="490"/>
      <c r="F47" s="490"/>
      <c r="G47" s="484">
        <f>IF(D47="","",(D47*$E$8))</f>
        <v>2000</v>
      </c>
      <c r="H47" s="484"/>
      <c r="I47" s="484">
        <f t="shared" si="20"/>
        <v>240</v>
      </c>
      <c r="J47" s="484"/>
      <c r="K47" s="484">
        <f>IF(G47="","",G47+I47)</f>
        <v>2240</v>
      </c>
      <c r="L47" s="484"/>
      <c r="M47" s="484">
        <f t="shared" si="17"/>
        <v>2735</v>
      </c>
      <c r="N47" s="484"/>
      <c r="O47" s="484"/>
      <c r="P47" s="487">
        <v>0</v>
      </c>
      <c r="Q47" s="487"/>
      <c r="R47" s="487"/>
      <c r="S47" s="182">
        <f t="shared" si="21"/>
        <v>350</v>
      </c>
      <c r="T47" s="182">
        <f t="shared" si="23"/>
        <v>145</v>
      </c>
      <c r="U47" s="484">
        <f t="shared" si="18"/>
        <v>40000</v>
      </c>
      <c r="V47" s="484"/>
      <c r="W47" s="484"/>
      <c r="X47" s="484">
        <f t="shared" si="25"/>
        <v>3230</v>
      </c>
      <c r="Y47" s="484"/>
      <c r="Z47" s="484"/>
      <c r="AA47" s="179">
        <f t="shared" si="15"/>
        <v>140</v>
      </c>
      <c r="AB47" s="198">
        <f t="shared" si="5"/>
        <v>1568</v>
      </c>
      <c r="AC47" s="198">
        <f t="shared" si="6"/>
        <v>672</v>
      </c>
      <c r="AD47" s="198">
        <f t="shared" si="7"/>
        <v>1302</v>
      </c>
      <c r="AE47" s="198">
        <f t="shared" si="8"/>
        <v>558</v>
      </c>
    </row>
    <row r="48" spans="1:31">
      <c r="A48" s="181">
        <f t="shared" si="9"/>
        <v>31</v>
      </c>
      <c r="B48" s="74">
        <v>30</v>
      </c>
      <c r="C48" s="244">
        <f t="shared" si="10"/>
        <v>58094</v>
      </c>
      <c r="D48" s="490">
        <f t="shared" si="19"/>
        <v>40000</v>
      </c>
      <c r="E48" s="490"/>
      <c r="F48" s="490"/>
      <c r="G48" s="484">
        <f t="shared" ref="G48:G53" si="26">IF(D48="","",(D48*$E$8))</f>
        <v>2000</v>
      </c>
      <c r="H48" s="484"/>
      <c r="I48" s="484">
        <f t="shared" ref="I48:I53" si="27">IF(G48="","",(G48*0.12))</f>
        <v>240</v>
      </c>
      <c r="J48" s="484"/>
      <c r="K48" s="484">
        <f t="shared" ref="K48:K53" si="28">IF(G48="","",G48+I48)</f>
        <v>2240</v>
      </c>
      <c r="L48" s="484"/>
      <c r="M48" s="484">
        <f t="shared" si="17"/>
        <v>2735</v>
      </c>
      <c r="N48" s="484"/>
      <c r="O48" s="484"/>
      <c r="P48" s="487">
        <v>0</v>
      </c>
      <c r="Q48" s="487"/>
      <c r="R48" s="487"/>
      <c r="S48" s="182">
        <f t="shared" si="21"/>
        <v>350</v>
      </c>
      <c r="T48" s="182">
        <f t="shared" si="23"/>
        <v>145</v>
      </c>
      <c r="U48" s="484">
        <f t="shared" si="18"/>
        <v>40000</v>
      </c>
      <c r="V48" s="484"/>
      <c r="W48" s="484"/>
      <c r="X48" s="484">
        <f t="shared" si="25"/>
        <v>3230</v>
      </c>
      <c r="Y48" s="484"/>
      <c r="Z48" s="484"/>
      <c r="AA48" s="179">
        <f t="shared" si="15"/>
        <v>140</v>
      </c>
      <c r="AB48" s="198">
        <f t="shared" si="5"/>
        <v>1568</v>
      </c>
      <c r="AC48" s="198">
        <f t="shared" si="6"/>
        <v>672</v>
      </c>
      <c r="AD48" s="198">
        <f t="shared" si="7"/>
        <v>1302</v>
      </c>
      <c r="AE48" s="198">
        <f t="shared" si="8"/>
        <v>558</v>
      </c>
    </row>
    <row r="49" spans="1:31">
      <c r="A49" s="181">
        <f t="shared" si="9"/>
        <v>32</v>
      </c>
      <c r="B49" s="74">
        <v>31</v>
      </c>
      <c r="C49" s="244">
        <f t="shared" si="10"/>
        <v>59037</v>
      </c>
      <c r="D49" s="490">
        <f t="shared" si="19"/>
        <v>40000</v>
      </c>
      <c r="E49" s="490"/>
      <c r="F49" s="490"/>
      <c r="G49" s="484">
        <f t="shared" si="26"/>
        <v>2000</v>
      </c>
      <c r="H49" s="484"/>
      <c r="I49" s="484">
        <f t="shared" si="27"/>
        <v>240</v>
      </c>
      <c r="J49" s="484"/>
      <c r="K49" s="484">
        <f t="shared" si="28"/>
        <v>2240</v>
      </c>
      <c r="L49" s="484"/>
      <c r="M49" s="484">
        <f t="shared" si="17"/>
        <v>2735</v>
      </c>
      <c r="N49" s="484"/>
      <c r="O49" s="484"/>
      <c r="P49" s="487">
        <v>0</v>
      </c>
      <c r="Q49" s="487"/>
      <c r="R49" s="487"/>
      <c r="S49" s="182">
        <f t="shared" si="21"/>
        <v>350</v>
      </c>
      <c r="T49" s="182">
        <f t="shared" si="23"/>
        <v>145</v>
      </c>
      <c r="U49" s="484">
        <f t="shared" si="18"/>
        <v>40000</v>
      </c>
      <c r="V49" s="484"/>
      <c r="W49" s="484"/>
      <c r="X49" s="484">
        <f t="shared" si="25"/>
        <v>3230</v>
      </c>
      <c r="Y49" s="484"/>
      <c r="Z49" s="484"/>
      <c r="AA49" s="179">
        <f t="shared" si="15"/>
        <v>140</v>
      </c>
      <c r="AB49" s="198">
        <f t="shared" si="5"/>
        <v>1568</v>
      </c>
      <c r="AC49" s="198">
        <f t="shared" si="6"/>
        <v>672</v>
      </c>
      <c r="AD49" s="198">
        <f t="shared" si="7"/>
        <v>1302</v>
      </c>
      <c r="AE49" s="198">
        <f t="shared" si="8"/>
        <v>558</v>
      </c>
    </row>
    <row r="50" spans="1:31">
      <c r="A50" s="181">
        <f t="shared" si="9"/>
        <v>33</v>
      </c>
      <c r="B50" s="74">
        <v>32</v>
      </c>
      <c r="C50" s="244">
        <f t="shared" si="10"/>
        <v>60011</v>
      </c>
      <c r="D50" s="490">
        <f t="shared" si="19"/>
        <v>40000</v>
      </c>
      <c r="E50" s="490"/>
      <c r="F50" s="490"/>
      <c r="G50" s="484">
        <f t="shared" si="26"/>
        <v>2000</v>
      </c>
      <c r="H50" s="484"/>
      <c r="I50" s="484">
        <f t="shared" si="27"/>
        <v>240</v>
      </c>
      <c r="J50" s="484"/>
      <c r="K50" s="484">
        <f t="shared" si="28"/>
        <v>2240</v>
      </c>
      <c r="L50" s="484"/>
      <c r="M50" s="484">
        <f t="shared" si="17"/>
        <v>2735</v>
      </c>
      <c r="N50" s="484"/>
      <c r="O50" s="484"/>
      <c r="P50" s="487">
        <v>0</v>
      </c>
      <c r="Q50" s="487"/>
      <c r="R50" s="487"/>
      <c r="S50" s="182">
        <f t="shared" si="21"/>
        <v>350</v>
      </c>
      <c r="T50" s="182">
        <f t="shared" si="23"/>
        <v>145</v>
      </c>
      <c r="U50" s="484">
        <f t="shared" si="18"/>
        <v>40000</v>
      </c>
      <c r="V50" s="484"/>
      <c r="W50" s="484"/>
      <c r="X50" s="484">
        <f t="shared" si="25"/>
        <v>3230</v>
      </c>
      <c r="Y50" s="484"/>
      <c r="Z50" s="484"/>
      <c r="AA50" s="179">
        <f t="shared" si="15"/>
        <v>140</v>
      </c>
      <c r="AB50" s="198">
        <f t="shared" si="5"/>
        <v>1568</v>
      </c>
      <c r="AC50" s="198">
        <f t="shared" si="6"/>
        <v>672</v>
      </c>
      <c r="AD50" s="198">
        <f t="shared" si="7"/>
        <v>1302</v>
      </c>
      <c r="AE50" s="198">
        <f t="shared" si="8"/>
        <v>558</v>
      </c>
    </row>
    <row r="51" spans="1:31">
      <c r="A51" s="181">
        <f t="shared" si="9"/>
        <v>34</v>
      </c>
      <c r="B51" s="74">
        <v>33</v>
      </c>
      <c r="C51" s="244">
        <f t="shared" si="10"/>
        <v>61016</v>
      </c>
      <c r="D51" s="490">
        <f t="shared" si="19"/>
        <v>40000</v>
      </c>
      <c r="E51" s="490"/>
      <c r="F51" s="490"/>
      <c r="G51" s="484">
        <f t="shared" si="26"/>
        <v>2000</v>
      </c>
      <c r="H51" s="484"/>
      <c r="I51" s="484">
        <f t="shared" si="27"/>
        <v>240</v>
      </c>
      <c r="J51" s="484"/>
      <c r="K51" s="484">
        <f t="shared" si="28"/>
        <v>2240</v>
      </c>
      <c r="L51" s="484"/>
      <c r="M51" s="484">
        <f t="shared" si="17"/>
        <v>2735</v>
      </c>
      <c r="N51" s="484"/>
      <c r="O51" s="484"/>
      <c r="P51" s="487">
        <v>0</v>
      </c>
      <c r="Q51" s="487"/>
      <c r="R51" s="487"/>
      <c r="S51" s="182">
        <f t="shared" si="21"/>
        <v>350</v>
      </c>
      <c r="T51" s="182">
        <f t="shared" si="23"/>
        <v>145</v>
      </c>
      <c r="U51" s="484">
        <f t="shared" si="18"/>
        <v>40000</v>
      </c>
      <c r="V51" s="484"/>
      <c r="W51" s="484"/>
      <c r="X51" s="484">
        <f t="shared" si="25"/>
        <v>3230</v>
      </c>
      <c r="Y51" s="484"/>
      <c r="Z51" s="484"/>
      <c r="AA51" s="179">
        <f t="shared" si="15"/>
        <v>140</v>
      </c>
      <c r="AB51" s="198">
        <f t="shared" si="5"/>
        <v>1568</v>
      </c>
      <c r="AC51" s="198">
        <f t="shared" si="6"/>
        <v>672</v>
      </c>
      <c r="AD51" s="198">
        <f t="shared" si="7"/>
        <v>1302</v>
      </c>
      <c r="AE51" s="198">
        <f t="shared" si="8"/>
        <v>558</v>
      </c>
    </row>
    <row r="52" spans="1:31">
      <c r="A52" s="181">
        <f t="shared" si="9"/>
        <v>35</v>
      </c>
      <c r="B52" s="74">
        <v>34</v>
      </c>
      <c r="C52" s="244">
        <f t="shared" si="10"/>
        <v>62051</v>
      </c>
      <c r="D52" s="490">
        <f t="shared" si="19"/>
        <v>40000</v>
      </c>
      <c r="E52" s="490"/>
      <c r="F52" s="490"/>
      <c r="G52" s="484">
        <f t="shared" si="26"/>
        <v>2000</v>
      </c>
      <c r="H52" s="484"/>
      <c r="I52" s="484">
        <f t="shared" si="27"/>
        <v>240</v>
      </c>
      <c r="J52" s="484"/>
      <c r="K52" s="484">
        <f t="shared" si="28"/>
        <v>2240</v>
      </c>
      <c r="L52" s="484"/>
      <c r="M52" s="484">
        <f t="shared" si="17"/>
        <v>2735</v>
      </c>
      <c r="N52" s="484"/>
      <c r="O52" s="484"/>
      <c r="P52" s="487"/>
      <c r="Q52" s="487"/>
      <c r="R52" s="487"/>
      <c r="S52" s="182">
        <f t="shared" si="21"/>
        <v>350</v>
      </c>
      <c r="T52" s="182">
        <f t="shared" si="23"/>
        <v>145</v>
      </c>
      <c r="U52" s="484" t="str">
        <f t="shared" si="18"/>
        <v/>
      </c>
      <c r="V52" s="484"/>
      <c r="W52" s="484"/>
      <c r="X52" s="484">
        <f t="shared" si="25"/>
        <v>3230</v>
      </c>
      <c r="Y52" s="484"/>
      <c r="Z52" s="484"/>
      <c r="AA52" s="179">
        <f t="shared" si="15"/>
        <v>140</v>
      </c>
      <c r="AB52" s="198">
        <f t="shared" si="5"/>
        <v>1568</v>
      </c>
      <c r="AC52" s="198">
        <f t="shared" si="6"/>
        <v>672</v>
      </c>
      <c r="AD52" s="198">
        <f t="shared" si="7"/>
        <v>1302</v>
      </c>
      <c r="AE52" s="198">
        <f t="shared" si="8"/>
        <v>558</v>
      </c>
    </row>
    <row r="53" spans="1:31">
      <c r="A53" s="181" t="str">
        <f t="shared" si="9"/>
        <v/>
      </c>
      <c r="B53" s="74">
        <v>35</v>
      </c>
      <c r="C53" s="244" t="str">
        <f t="shared" si="10"/>
        <v/>
      </c>
      <c r="D53" s="490" t="str">
        <f t="shared" si="19"/>
        <v/>
      </c>
      <c r="E53" s="490"/>
      <c r="F53" s="490"/>
      <c r="G53" s="484" t="str">
        <f t="shared" si="26"/>
        <v/>
      </c>
      <c r="H53" s="484"/>
      <c r="I53" s="484" t="str">
        <f t="shared" si="27"/>
        <v/>
      </c>
      <c r="J53" s="484"/>
      <c r="K53" s="484" t="str">
        <f t="shared" si="28"/>
        <v/>
      </c>
      <c r="L53" s="484"/>
      <c r="M53" s="484" t="str">
        <f t="shared" si="17"/>
        <v/>
      </c>
      <c r="N53" s="484"/>
      <c r="O53" s="484"/>
      <c r="P53" s="487"/>
      <c r="Q53" s="487"/>
      <c r="R53" s="487"/>
      <c r="S53" s="182" t="str">
        <f t="shared" si="21"/>
        <v/>
      </c>
      <c r="T53" s="182" t="str">
        <f t="shared" si="23"/>
        <v/>
      </c>
      <c r="U53" s="484" t="str">
        <f t="shared" si="18"/>
        <v/>
      </c>
      <c r="V53" s="484"/>
      <c r="W53" s="484"/>
      <c r="X53" s="484" t="str">
        <f t="shared" si="25"/>
        <v/>
      </c>
      <c r="Y53" s="484"/>
      <c r="Z53" s="484"/>
      <c r="AA53" s="179" t="str">
        <f t="shared" si="15"/>
        <v/>
      </c>
      <c r="AB53" s="198" t="str">
        <f t="shared" si="5"/>
        <v/>
      </c>
      <c r="AC53" s="198" t="str">
        <f t="shared" si="6"/>
        <v/>
      </c>
      <c r="AD53" s="198" t="str">
        <f t="shared" si="7"/>
        <v/>
      </c>
      <c r="AE53" s="198" t="str">
        <f t="shared" si="8"/>
        <v/>
      </c>
    </row>
    <row r="54" spans="1:31">
      <c r="AD54" s="179"/>
    </row>
    <row r="55" spans="1:31" ht="15">
      <c r="G55" s="499"/>
      <c r="H55" s="500"/>
      <c r="I55" s="499"/>
      <c r="J55" s="499"/>
      <c r="K55" s="501"/>
      <c r="L55" s="501"/>
      <c r="M55" s="501"/>
      <c r="P55" s="483"/>
      <c r="Q55" s="444"/>
      <c r="R55" s="444"/>
      <c r="S55" s="155"/>
      <c r="T55" s="165"/>
      <c r="Y55" s="483"/>
      <c r="Z55" s="483"/>
      <c r="AA55" s="483"/>
    </row>
  </sheetData>
  <sheetProtection algorithmName="SHA-512" hashValue="lAE3Pzh8qfuuMFgrzTZQ0xS3eFprcNbTFyCkj90I+fFUdm5EqnJ4nIHtiHoqnEjkHNElT98lzslDv9tOp7UwvA==" saltValue="ab/mCJXFZF28hKRRo7b7Og==" spinCount="100000" sheet="1" objects="1" scenarios="1" selectLockedCells="1"/>
  <mergeCells count="315">
    <mergeCell ref="G55:H55"/>
    <mergeCell ref="I55:J55"/>
    <mergeCell ref="K55:M55"/>
    <mergeCell ref="P55:R55"/>
    <mergeCell ref="Y55:AA55"/>
    <mergeCell ref="U52:W52"/>
    <mergeCell ref="X52:Z52"/>
    <mergeCell ref="D53:F53"/>
    <mergeCell ref="G53:H53"/>
    <mergeCell ref="I53:J53"/>
    <mergeCell ref="K53:L53"/>
    <mergeCell ref="M53:O53"/>
    <mergeCell ref="P53:R53"/>
    <mergeCell ref="U53:W53"/>
    <mergeCell ref="X53:Z53"/>
    <mergeCell ref="D52:F52"/>
    <mergeCell ref="G52:H52"/>
    <mergeCell ref="I52:J52"/>
    <mergeCell ref="K52:L52"/>
    <mergeCell ref="M52:O52"/>
    <mergeCell ref="P52:R52"/>
    <mergeCell ref="U50:W50"/>
    <mergeCell ref="X50:Z50"/>
    <mergeCell ref="D51:F51"/>
    <mergeCell ref="G51:H51"/>
    <mergeCell ref="I51:J51"/>
    <mergeCell ref="K51:L51"/>
    <mergeCell ref="M51:O51"/>
    <mergeCell ref="P51:R51"/>
    <mergeCell ref="U51:W51"/>
    <mergeCell ref="X51:Z51"/>
    <mergeCell ref="D50:F50"/>
    <mergeCell ref="G50:H50"/>
    <mergeCell ref="I50:J50"/>
    <mergeCell ref="K50:L50"/>
    <mergeCell ref="M50:O50"/>
    <mergeCell ref="P50:R50"/>
    <mergeCell ref="U48:W48"/>
    <mergeCell ref="X48:Z48"/>
    <mergeCell ref="D49:F49"/>
    <mergeCell ref="G49:H49"/>
    <mergeCell ref="I49:J49"/>
    <mergeCell ref="K49:L49"/>
    <mergeCell ref="M49:O49"/>
    <mergeCell ref="P49:R49"/>
    <mergeCell ref="U49:W49"/>
    <mergeCell ref="X49:Z49"/>
    <mergeCell ref="D48:F48"/>
    <mergeCell ref="G48:H48"/>
    <mergeCell ref="I48:J48"/>
    <mergeCell ref="K48:L48"/>
    <mergeCell ref="M48:O48"/>
    <mergeCell ref="P48:R48"/>
    <mergeCell ref="U46:W46"/>
    <mergeCell ref="X46:Z46"/>
    <mergeCell ref="D47:F47"/>
    <mergeCell ref="G47:H47"/>
    <mergeCell ref="I47:J47"/>
    <mergeCell ref="K47:L47"/>
    <mergeCell ref="M47:O47"/>
    <mergeCell ref="P47:R47"/>
    <mergeCell ref="U47:W47"/>
    <mergeCell ref="X47:Z47"/>
    <mergeCell ref="D46:F46"/>
    <mergeCell ref="G46:H46"/>
    <mergeCell ref="I46:J46"/>
    <mergeCell ref="K46:L46"/>
    <mergeCell ref="M46:O46"/>
    <mergeCell ref="P46:R46"/>
    <mergeCell ref="U44:W44"/>
    <mergeCell ref="X44:Z44"/>
    <mergeCell ref="D45:F45"/>
    <mergeCell ref="G45:H45"/>
    <mergeCell ref="I45:J45"/>
    <mergeCell ref="K45:L45"/>
    <mergeCell ref="M45:O45"/>
    <mergeCell ref="P45:R45"/>
    <mergeCell ref="U45:W45"/>
    <mergeCell ref="X45:Z45"/>
    <mergeCell ref="D44:F44"/>
    <mergeCell ref="G44:H44"/>
    <mergeCell ref="I44:J44"/>
    <mergeCell ref="K44:L44"/>
    <mergeCell ref="M44:O44"/>
    <mergeCell ref="P44:R44"/>
    <mergeCell ref="U42:W42"/>
    <mergeCell ref="X42:Z42"/>
    <mergeCell ref="D43:F43"/>
    <mergeCell ref="G43:H43"/>
    <mergeCell ref="I43:J43"/>
    <mergeCell ref="K43:L43"/>
    <mergeCell ref="M43:O43"/>
    <mergeCell ref="P43:R43"/>
    <mergeCell ref="U43:W43"/>
    <mergeCell ref="X43:Z43"/>
    <mergeCell ref="D42:F42"/>
    <mergeCell ref="G42:H42"/>
    <mergeCell ref="I42:J42"/>
    <mergeCell ref="K42:L42"/>
    <mergeCell ref="M42:O42"/>
    <mergeCell ref="P42:R42"/>
    <mergeCell ref="U40:W40"/>
    <mergeCell ref="X40:Z40"/>
    <mergeCell ref="D41:F41"/>
    <mergeCell ref="G41:H41"/>
    <mergeCell ref="I41:J41"/>
    <mergeCell ref="K41:L41"/>
    <mergeCell ref="M41:O41"/>
    <mergeCell ref="P41:R41"/>
    <mergeCell ref="U41:W41"/>
    <mergeCell ref="X41:Z41"/>
    <mergeCell ref="D40:F40"/>
    <mergeCell ref="G40:H40"/>
    <mergeCell ref="I40:J40"/>
    <mergeCell ref="K40:L40"/>
    <mergeCell ref="M40:O40"/>
    <mergeCell ref="P40:R40"/>
    <mergeCell ref="U38:W38"/>
    <mergeCell ref="X38:Z38"/>
    <mergeCell ref="D39:F39"/>
    <mergeCell ref="G39:H39"/>
    <mergeCell ref="I39:J39"/>
    <mergeCell ref="K39:L39"/>
    <mergeCell ref="M39:O39"/>
    <mergeCell ref="P39:R39"/>
    <mergeCell ref="U39:W39"/>
    <mergeCell ref="X39:Z39"/>
    <mergeCell ref="D38:F38"/>
    <mergeCell ref="G38:H38"/>
    <mergeCell ref="I38:J38"/>
    <mergeCell ref="K38:L38"/>
    <mergeCell ref="M38:O38"/>
    <mergeCell ref="P38:R38"/>
    <mergeCell ref="U36:W36"/>
    <mergeCell ref="X36:Z36"/>
    <mergeCell ref="D37:F37"/>
    <mergeCell ref="G37:H37"/>
    <mergeCell ref="I37:J37"/>
    <mergeCell ref="K37:L37"/>
    <mergeCell ref="M37:O37"/>
    <mergeCell ref="P37:R37"/>
    <mergeCell ref="U37:W37"/>
    <mergeCell ref="X37:Z37"/>
    <mergeCell ref="D36:F36"/>
    <mergeCell ref="G36:H36"/>
    <mergeCell ref="I36:J36"/>
    <mergeCell ref="K36:L36"/>
    <mergeCell ref="M36:O36"/>
    <mergeCell ref="P36:R36"/>
    <mergeCell ref="U34:W34"/>
    <mergeCell ref="X34:Z34"/>
    <mergeCell ref="D35:F35"/>
    <mergeCell ref="G35:H35"/>
    <mergeCell ref="I35:J35"/>
    <mergeCell ref="K35:L35"/>
    <mergeCell ref="M35:O35"/>
    <mergeCell ref="P35:R35"/>
    <mergeCell ref="U35:W35"/>
    <mergeCell ref="X35:Z35"/>
    <mergeCell ref="D34:F34"/>
    <mergeCell ref="G34:H34"/>
    <mergeCell ref="I34:J34"/>
    <mergeCell ref="K34:L34"/>
    <mergeCell ref="M34:O34"/>
    <mergeCell ref="P34:R34"/>
    <mergeCell ref="U32:W32"/>
    <mergeCell ref="X32:Z32"/>
    <mergeCell ref="D33:F33"/>
    <mergeCell ref="G33:H33"/>
    <mergeCell ref="I33:J33"/>
    <mergeCell ref="K33:L33"/>
    <mergeCell ref="M33:O33"/>
    <mergeCell ref="P33:R33"/>
    <mergeCell ref="U33:W33"/>
    <mergeCell ref="X33:Z33"/>
    <mergeCell ref="D32:F32"/>
    <mergeCell ref="G32:H32"/>
    <mergeCell ref="I32:J32"/>
    <mergeCell ref="K32:L32"/>
    <mergeCell ref="M32:O32"/>
    <mergeCell ref="P32:R32"/>
    <mergeCell ref="U30:W30"/>
    <mergeCell ref="X30:Z30"/>
    <mergeCell ref="D31:F31"/>
    <mergeCell ref="G31:H31"/>
    <mergeCell ref="I31:J31"/>
    <mergeCell ref="K31:L31"/>
    <mergeCell ref="M31:O31"/>
    <mergeCell ref="P31:R31"/>
    <mergeCell ref="U31:W31"/>
    <mergeCell ref="X31:Z31"/>
    <mergeCell ref="D30:F30"/>
    <mergeCell ref="G30:H30"/>
    <mergeCell ref="I30:J30"/>
    <mergeCell ref="K30:L30"/>
    <mergeCell ref="M30:O30"/>
    <mergeCell ref="P30:R30"/>
    <mergeCell ref="U28:W28"/>
    <mergeCell ref="X28:Z28"/>
    <mergeCell ref="D29:F29"/>
    <mergeCell ref="G29:H29"/>
    <mergeCell ref="I29:J29"/>
    <mergeCell ref="K29:L29"/>
    <mergeCell ref="M29:O29"/>
    <mergeCell ref="P29:R29"/>
    <mergeCell ref="U29:W29"/>
    <mergeCell ref="X29:Z29"/>
    <mergeCell ref="D28:F28"/>
    <mergeCell ref="G28:H28"/>
    <mergeCell ref="I28:J28"/>
    <mergeCell ref="K28:L28"/>
    <mergeCell ref="M28:O28"/>
    <mergeCell ref="P28:R28"/>
    <mergeCell ref="U26:W26"/>
    <mergeCell ref="X26:Z26"/>
    <mergeCell ref="D27:F27"/>
    <mergeCell ref="G27:H27"/>
    <mergeCell ref="I27:J27"/>
    <mergeCell ref="K27:L27"/>
    <mergeCell ref="M27:O27"/>
    <mergeCell ref="P27:R27"/>
    <mergeCell ref="U27:W27"/>
    <mergeCell ref="X27:Z27"/>
    <mergeCell ref="D26:F26"/>
    <mergeCell ref="G26:H26"/>
    <mergeCell ref="I26:J26"/>
    <mergeCell ref="K26:L26"/>
    <mergeCell ref="M26:O26"/>
    <mergeCell ref="P26:R26"/>
    <mergeCell ref="U24:W24"/>
    <mergeCell ref="X24:Z24"/>
    <mergeCell ref="D25:F25"/>
    <mergeCell ref="G25:H25"/>
    <mergeCell ref="I25:J25"/>
    <mergeCell ref="K25:L25"/>
    <mergeCell ref="M25:O25"/>
    <mergeCell ref="P25:R25"/>
    <mergeCell ref="U25:W25"/>
    <mergeCell ref="X25:Z25"/>
    <mergeCell ref="D24:F24"/>
    <mergeCell ref="G24:H24"/>
    <mergeCell ref="I24:J24"/>
    <mergeCell ref="K24:L24"/>
    <mergeCell ref="M24:O24"/>
    <mergeCell ref="P24:R24"/>
    <mergeCell ref="U22:W22"/>
    <mergeCell ref="X22:Z22"/>
    <mergeCell ref="D23:F23"/>
    <mergeCell ref="G23:H23"/>
    <mergeCell ref="I23:J23"/>
    <mergeCell ref="K23:L23"/>
    <mergeCell ref="M23:O23"/>
    <mergeCell ref="P23:R23"/>
    <mergeCell ref="U23:W23"/>
    <mergeCell ref="X23:Z23"/>
    <mergeCell ref="D22:F22"/>
    <mergeCell ref="G22:H22"/>
    <mergeCell ref="I22:J22"/>
    <mergeCell ref="K22:L22"/>
    <mergeCell ref="M22:O22"/>
    <mergeCell ref="P22:R22"/>
    <mergeCell ref="U20:W20"/>
    <mergeCell ref="X20:Z20"/>
    <mergeCell ref="D21:F21"/>
    <mergeCell ref="G21:H21"/>
    <mergeCell ref="I21:J21"/>
    <mergeCell ref="K21:L21"/>
    <mergeCell ref="M21:O21"/>
    <mergeCell ref="P21:R21"/>
    <mergeCell ref="U21:W21"/>
    <mergeCell ref="X21:Z21"/>
    <mergeCell ref="D20:F20"/>
    <mergeCell ref="G20:H20"/>
    <mergeCell ref="I20:J20"/>
    <mergeCell ref="K20:L20"/>
    <mergeCell ref="M20:O20"/>
    <mergeCell ref="P20:R20"/>
    <mergeCell ref="U18:W18"/>
    <mergeCell ref="X18:Z18"/>
    <mergeCell ref="D19:F19"/>
    <mergeCell ref="G19:H19"/>
    <mergeCell ref="I19:J19"/>
    <mergeCell ref="K19:L19"/>
    <mergeCell ref="M19:O19"/>
    <mergeCell ref="P19:R19"/>
    <mergeCell ref="U19:W19"/>
    <mergeCell ref="X19:Z19"/>
    <mergeCell ref="D18:F18"/>
    <mergeCell ref="G18:H18"/>
    <mergeCell ref="I18:J18"/>
    <mergeCell ref="K18:L18"/>
    <mergeCell ref="M18:O18"/>
    <mergeCell ref="P18:R18"/>
    <mergeCell ref="E7:G7"/>
    <mergeCell ref="E8:G8"/>
    <mergeCell ref="L8:M8"/>
    <mergeCell ref="AB16:AC16"/>
    <mergeCell ref="AD16:AE16"/>
    <mergeCell ref="D17:F17"/>
    <mergeCell ref="G17:H17"/>
    <mergeCell ref="I17:J17"/>
    <mergeCell ref="K17:L17"/>
    <mergeCell ref="M17:O17"/>
    <mergeCell ref="P17:R17"/>
    <mergeCell ref="U17:W17"/>
    <mergeCell ref="X17:Z17"/>
    <mergeCell ref="AA8:AC8"/>
    <mergeCell ref="E9:G9"/>
    <mergeCell ref="E10:G10"/>
    <mergeCell ref="E11:G11"/>
    <mergeCell ref="E12:G12"/>
    <mergeCell ref="E13:G13"/>
    <mergeCell ref="E14:F14"/>
    <mergeCell ref="E15:F15"/>
    <mergeCell ref="V15:X15"/>
  </mergeCells>
  <pageMargins left="0.59055118110236227" right="0.55118110236220474" top="1.05" bottom="0.83" header="0.31496062992125984" footer="0.18"/>
  <pageSetup paperSize="5" orientation="landscape" r:id="rId1"/>
  <headerFooter>
    <oddHeader>&amp;L&amp;G</oddHeader>
    <oddFooter>&amp;L&amp;G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/>
  <dimension ref="B2:J30"/>
  <sheetViews>
    <sheetView topLeftCell="A12" workbookViewId="0">
      <selection activeCell="D16" sqref="D16"/>
    </sheetView>
  </sheetViews>
  <sheetFormatPr baseColWidth="10" defaultRowHeight="15"/>
  <cols>
    <col min="2" max="2" width="35.85546875" bestFit="1" customWidth="1"/>
    <col min="3" max="3" width="14.42578125" bestFit="1" customWidth="1"/>
  </cols>
  <sheetData>
    <row r="2" spans="2:10">
      <c r="B2" t="s">
        <v>237</v>
      </c>
      <c r="C2" t="str">
        <f>FORMULARIO!D61</f>
        <v>Vehículo</v>
      </c>
    </row>
    <row r="4" spans="2:10">
      <c r="B4" s="36" t="s">
        <v>103</v>
      </c>
      <c r="C4" s="36">
        <f>FORMULARIO!K9</f>
        <v>0</v>
      </c>
      <c r="D4" s="56" t="str">
        <f>IFERROR(VLOOKUP(C4,'Datos - analisis de pago'!B4:C7,2,FALSE),"0")</f>
        <v>0</v>
      </c>
      <c r="E4" s="36">
        <v>1</v>
      </c>
      <c r="F4" s="36">
        <v>2</v>
      </c>
      <c r="G4" s="58"/>
    </row>
    <row r="5" spans="2:10" ht="15.75" thickBot="1">
      <c r="B5" s="36" t="s">
        <v>123</v>
      </c>
      <c r="C5" s="36">
        <f>FORMULARIO!J15</f>
        <v>0</v>
      </c>
      <c r="D5" s="36">
        <f>IFERROR(VLOOKUP(C5,'Datos - analisis de pago'!E4:F20,2,FALSE),0)</f>
        <v>0</v>
      </c>
      <c r="E5" s="36">
        <v>1</v>
      </c>
      <c r="F5" s="36">
        <v>2</v>
      </c>
      <c r="G5" s="58"/>
      <c r="I5" s="30"/>
    </row>
    <row r="6" spans="2:10" ht="15" customHeight="1">
      <c r="B6" s="36" t="s">
        <v>300</v>
      </c>
      <c r="C6" s="36">
        <f>FORMULARIO!K21</f>
        <v>0</v>
      </c>
      <c r="D6" s="36">
        <f>IFERROR(VLOOKUP(C6,'Datos - analisis de pago'!H5:I6,2,FALSE),0)</f>
        <v>0</v>
      </c>
      <c r="E6" s="36">
        <v>1</v>
      </c>
      <c r="F6" s="36">
        <v>4</v>
      </c>
      <c r="G6" s="58">
        <f>SUM(F4:F6)</f>
        <v>8</v>
      </c>
      <c r="I6" s="506" t="str">
        <f>IF(C2="Hipotecario",IF(D30=0,"",IF(D30&lt;=30,"A",IF(D30&lt;=50,"B",IF(D30&lt;=70,"C",IF(D30&lt;=340,"D",""))))),IF(D30=0,"",IF(D30&lt;=30,"A",IF(D30&lt;=50,"B",IF(D30&lt;=70,"C",IF(D30&lt;=340,"D",""))))))</f>
        <v/>
      </c>
      <c r="J6" s="507"/>
    </row>
    <row r="7" spans="2:10" ht="15" customHeight="1">
      <c r="B7" s="26" t="s">
        <v>115</v>
      </c>
      <c r="C7" s="26">
        <f>FORMULARIO!C13</f>
        <v>0</v>
      </c>
      <c r="D7" s="26">
        <f>IFERROR(VLOOKUP(C7,'Datos - analisis de pago'!B24:C26,2,FALSE),0)</f>
        <v>0</v>
      </c>
      <c r="E7" s="26">
        <v>1</v>
      </c>
      <c r="F7" s="26">
        <v>4</v>
      </c>
      <c r="G7" s="58"/>
      <c r="I7" s="508"/>
      <c r="J7" s="509"/>
    </row>
    <row r="8" spans="2:10" ht="15.75" customHeight="1">
      <c r="B8" s="26" t="s">
        <v>128</v>
      </c>
      <c r="C8" s="26">
        <f>FORMULARIO!F36</f>
        <v>0</v>
      </c>
      <c r="D8" s="26">
        <f>IFERROR(VLOOKUP(C8,'Datos - analisis de pago'!E24:F25,2,FALSE),0)</f>
        <v>0</v>
      </c>
      <c r="E8" s="26">
        <v>1</v>
      </c>
      <c r="F8" s="26">
        <v>4</v>
      </c>
      <c r="G8" s="58"/>
      <c r="I8" s="508"/>
      <c r="J8" s="509"/>
    </row>
    <row r="9" spans="2:10" ht="15.75" customHeight="1">
      <c r="B9" s="26" t="s">
        <v>133</v>
      </c>
      <c r="C9" s="26">
        <f>FORMULARIO!G32</f>
        <v>0</v>
      </c>
      <c r="D9" s="26">
        <f>IFERROR(VLOOKUP(C9,'Datos - analisis de pago'!H24:I30,2,FALSE),0)</f>
        <v>0</v>
      </c>
      <c r="E9" s="26">
        <v>2</v>
      </c>
      <c r="F9" s="26">
        <v>4</v>
      </c>
      <c r="G9" s="58"/>
      <c r="I9" s="510" t="str">
        <f>IF(I6="","","Tasa a Ofrecer")</f>
        <v/>
      </c>
      <c r="J9" s="511"/>
    </row>
    <row r="10" spans="2:10" ht="15.75" customHeight="1">
      <c r="B10" s="44" t="s">
        <v>302</v>
      </c>
      <c r="C10" s="26">
        <f>FORMULARIO!F34</f>
        <v>0</v>
      </c>
      <c r="D10" s="26">
        <f>IFERROR(VLOOKUP(C10,'Datos - analisis de pago'!O24:P25,2,FALSE),0)</f>
        <v>0</v>
      </c>
      <c r="E10" s="26">
        <v>1</v>
      </c>
      <c r="F10" s="26">
        <v>4</v>
      </c>
      <c r="G10" s="58"/>
      <c r="I10" s="502" t="str">
        <f>IF(I6="A","1% - 1.5%",IF(I6="B","1.6% - 2%",IF(I6="C","2.1% - 2.5%",IF(I6="D","3%",""))))</f>
        <v/>
      </c>
      <c r="J10" s="503"/>
    </row>
    <row r="11" spans="2:10" ht="15" customHeight="1">
      <c r="B11" s="26" t="s">
        <v>305</v>
      </c>
      <c r="C11" s="26">
        <f>FORMULARIO!I38</f>
        <v>0</v>
      </c>
      <c r="D11" s="26">
        <f>IFERROR(VLOOKUP(C11,'Datos - analisis de pago'!L24:M25,2,FALSE),0)</f>
        <v>0</v>
      </c>
      <c r="E11" s="26">
        <v>1</v>
      </c>
      <c r="F11" s="26">
        <v>4</v>
      </c>
      <c r="G11" s="58">
        <f>SUM(F7:F11)</f>
        <v>20</v>
      </c>
      <c r="I11" s="502"/>
      <c r="J11" s="503"/>
    </row>
    <row r="12" spans="2:10" ht="15" customHeight="1" thickBot="1">
      <c r="B12" s="38" t="s">
        <v>278</v>
      </c>
      <c r="C12" s="46">
        <f>FORMULARIO!E43</f>
        <v>0</v>
      </c>
      <c r="D12" s="38">
        <f>IFERROR(VLOOKUP(C12,'Datos - analisis de pago'!B33:C34,2,FALSE),0)</f>
        <v>0</v>
      </c>
      <c r="E12" s="38">
        <v>1</v>
      </c>
      <c r="F12" s="38">
        <v>3</v>
      </c>
      <c r="G12" s="58"/>
      <c r="I12" s="504"/>
      <c r="J12" s="505"/>
    </row>
    <row r="13" spans="2:10" ht="15.75" customHeight="1">
      <c r="B13" s="38" t="s">
        <v>279</v>
      </c>
      <c r="C13" s="46">
        <f>FORMULARIO!F45</f>
        <v>0</v>
      </c>
      <c r="D13" s="38">
        <f>IFERROR(VLOOKUP(C13,'Datos - analisis de pago'!E33:F34,2,FALSE),0)</f>
        <v>0</v>
      </c>
      <c r="E13" s="38">
        <v>0.5</v>
      </c>
      <c r="F13" s="38">
        <v>3</v>
      </c>
      <c r="G13" s="58"/>
    </row>
    <row r="14" spans="2:10" ht="15.75" customHeight="1">
      <c r="B14" s="38" t="s">
        <v>306</v>
      </c>
      <c r="C14" s="46">
        <f>FORMULARIO!I45</f>
        <v>0</v>
      </c>
      <c r="D14" s="38">
        <f>IFERROR(VLOOKUP(C14,'Datos - analisis de pago'!H33:I34,2,FALSE),0)</f>
        <v>0</v>
      </c>
      <c r="E14" s="38">
        <v>0.5</v>
      </c>
      <c r="F14" s="38">
        <v>7</v>
      </c>
      <c r="G14" s="58"/>
      <c r="I14" s="30"/>
    </row>
    <row r="15" spans="2:10" ht="15.75" customHeight="1">
      <c r="B15" s="38" t="s">
        <v>328</v>
      </c>
      <c r="C15" s="46">
        <f>FORMULARIO!E49</f>
        <v>0</v>
      </c>
      <c r="D15" s="236">
        <f>IFERROR(VLOOKUP(C15,'Datos - analisis de pago'!N33:O38,2,FALSE),0)</f>
        <v>0</v>
      </c>
      <c r="E15" s="38">
        <v>0</v>
      </c>
      <c r="F15" s="38">
        <v>2</v>
      </c>
      <c r="G15" s="59"/>
      <c r="H15" s="48"/>
      <c r="I15" s="30"/>
    </row>
    <row r="16" spans="2:10" ht="15.75" customHeight="1">
      <c r="B16" s="38" t="s">
        <v>133</v>
      </c>
      <c r="C16" s="45" t="str">
        <f>FORMULARIO!K51</f>
        <v/>
      </c>
      <c r="D16" s="38">
        <f>IF(C16&lt;0,10,IFERROR(VLOOKUP(C16,'Datos - analisis de pago'!A51:C150,3,TRUE),0))</f>
        <v>0</v>
      </c>
      <c r="E16" s="38">
        <v>0.5</v>
      </c>
      <c r="F16" s="38">
        <v>1</v>
      </c>
      <c r="G16" s="58"/>
      <c r="I16" s="47"/>
    </row>
    <row r="17" spans="2:9" ht="15.75" customHeight="1">
      <c r="B17" s="38" t="s">
        <v>309</v>
      </c>
      <c r="C17" s="46">
        <f>FORMULARIO!D53</f>
        <v>0</v>
      </c>
      <c r="D17" s="38">
        <f>IFERROR(VLOOKUP(C17,'Datos - analisis de pago'!R33:S34,2,FALSE),0)</f>
        <v>0</v>
      </c>
      <c r="E17" s="38">
        <v>0.5</v>
      </c>
      <c r="F17" s="38">
        <v>5</v>
      </c>
      <c r="G17" s="58"/>
      <c r="I17" s="30"/>
    </row>
    <row r="18" spans="2:9" ht="15.75" customHeight="1">
      <c r="B18" s="38" t="s">
        <v>313</v>
      </c>
      <c r="C18" s="46">
        <f>FORMULARIO!I53</f>
        <v>0</v>
      </c>
      <c r="D18" s="38">
        <f>IFERROR(VLOOKUP(C18,'Datos - analisis de pago'!V33:W38,2,FALSE),0)</f>
        <v>0</v>
      </c>
      <c r="E18" s="38">
        <v>0.5</v>
      </c>
      <c r="F18" s="38">
        <v>7</v>
      </c>
      <c r="G18" s="58"/>
      <c r="I18" s="30"/>
    </row>
    <row r="19" spans="2:9" ht="15.75" customHeight="1">
      <c r="B19" s="38" t="s">
        <v>307</v>
      </c>
      <c r="C19" s="46">
        <f>FORMULARIO!C57</f>
        <v>0</v>
      </c>
      <c r="D19" s="38">
        <f>IFERROR(VLOOKUP(C19,'Datos - analisis de pago'!K33:L34,2,FALSE),0)</f>
        <v>0</v>
      </c>
      <c r="E19" s="38">
        <v>0.5</v>
      </c>
      <c r="F19" s="38">
        <v>7</v>
      </c>
      <c r="G19" s="58">
        <f>SUM(F12:F19)</f>
        <v>35</v>
      </c>
      <c r="I19" s="30"/>
    </row>
    <row r="20" spans="2:9">
      <c r="B20" s="25" t="s">
        <v>280</v>
      </c>
      <c r="C20" s="49">
        <f>FORMULARIO!L92</f>
        <v>0</v>
      </c>
      <c r="D20" s="25">
        <f>IFERROR(VLOOKUP(C20,'Datos - analisis de pago'!E40:F41,2,FALSE),0)</f>
        <v>0</v>
      </c>
      <c r="E20" s="25">
        <v>0.5</v>
      </c>
      <c r="F20" s="25">
        <v>5</v>
      </c>
      <c r="G20" s="58"/>
      <c r="I20" s="30"/>
    </row>
    <row r="21" spans="2:9">
      <c r="B21" s="25" t="s">
        <v>317</v>
      </c>
      <c r="C21" s="49">
        <f>FORMULARIO!C98</f>
        <v>0</v>
      </c>
      <c r="D21" s="25">
        <f>IFERROR(VLOOKUP(C21,'Datos - analisis de pago'!E45:F46,2,FALSE),0)</f>
        <v>0</v>
      </c>
      <c r="E21" s="25">
        <v>1</v>
      </c>
      <c r="F21" s="25">
        <v>5</v>
      </c>
      <c r="G21" s="58"/>
      <c r="I21" s="30"/>
    </row>
    <row r="22" spans="2:9">
      <c r="B22" s="25" t="s">
        <v>318</v>
      </c>
      <c r="C22" s="49">
        <f>FORMULARIO!I98</f>
        <v>0</v>
      </c>
      <c r="D22" s="25">
        <f>IFERROR(VLOOKUP(C22,'Datos - analisis de pago'!H45:I48,2,FALSE),0)</f>
        <v>0</v>
      </c>
      <c r="E22" s="25">
        <v>0.5</v>
      </c>
      <c r="F22" s="25">
        <v>5</v>
      </c>
      <c r="G22" s="58"/>
      <c r="I22" s="30"/>
    </row>
    <row r="23" spans="2:9">
      <c r="B23" s="25" t="s">
        <v>320</v>
      </c>
      <c r="C23" s="49">
        <f>FORMULARIO!E100</f>
        <v>0</v>
      </c>
      <c r="D23" s="25">
        <f>IFERROR(VLOOKUP(C23,'Datos - analisis de pago'!H40:I41,2,FALSE),0)</f>
        <v>0</v>
      </c>
      <c r="E23" s="25">
        <v>0.5</v>
      </c>
      <c r="F23" s="25">
        <v>5</v>
      </c>
      <c r="G23" s="58">
        <f>SUM(F20:F23)</f>
        <v>20</v>
      </c>
      <c r="I23" s="30"/>
    </row>
    <row r="24" spans="2:9">
      <c r="B24" s="57" t="s">
        <v>282</v>
      </c>
      <c r="C24" s="40" t="str">
        <f>FORMULARIO!F67</f>
        <v/>
      </c>
      <c r="D24" s="39">
        <f>IF(C24="",0,IF(C24&gt;1,10,(IFERROR(VLOOKUP(C24,'Datos - analisis de pago'!A51:B150,2,TRUE),IF(C24&lt;0,10,(IFERROR(VLOOKUP(C24,'Datos - analisis de pago'!A51:B150,2,TRUE),0)))))))</f>
        <v>0</v>
      </c>
      <c r="E24" s="39">
        <v>1</v>
      </c>
      <c r="F24" s="39">
        <v>2.5</v>
      </c>
      <c r="G24" s="58"/>
      <c r="I24" s="30"/>
    </row>
    <row r="25" spans="2:9">
      <c r="B25" s="39" t="s">
        <v>283</v>
      </c>
      <c r="C25" s="41">
        <f>FORMULARIO!D73</f>
        <v>0</v>
      </c>
      <c r="D25" s="39">
        <f>IFERROR(VLOOKUP(C25,'Datos - analisis de pago'!F51:G52,2,FALSE),0)</f>
        <v>0</v>
      </c>
      <c r="E25" s="39">
        <v>1</v>
      </c>
      <c r="F25" s="39">
        <v>2.5</v>
      </c>
      <c r="G25" s="58">
        <f>SUM(F24:F25)</f>
        <v>5</v>
      </c>
    </row>
    <row r="26" spans="2:9">
      <c r="B26" s="37" t="s">
        <v>322</v>
      </c>
      <c r="C26" s="42">
        <f>FORMULARIO!H119</f>
        <v>0</v>
      </c>
      <c r="D26" s="37">
        <f>IFERROR(VLOOKUP(C26,'Datos - analisis de pago'!K45:L46,2,FALSE),0)</f>
        <v>0</v>
      </c>
      <c r="E26" s="37">
        <v>0.5</v>
      </c>
      <c r="F26" s="37">
        <v>5</v>
      </c>
      <c r="G26" s="58"/>
    </row>
    <row r="27" spans="2:9">
      <c r="B27" s="37" t="s">
        <v>323</v>
      </c>
      <c r="C27" s="42">
        <f>FORMULARIO!K119</f>
        <v>0</v>
      </c>
      <c r="D27" s="37">
        <f>IFERROR(VLOOKUP(C27,'Datos - analisis de pago'!P45:Q47,2,FALSE),0)</f>
        <v>0</v>
      </c>
      <c r="E27" s="37">
        <v>0.5</v>
      </c>
      <c r="F27" s="37">
        <v>5</v>
      </c>
      <c r="G27" s="58"/>
    </row>
    <row r="28" spans="2:9">
      <c r="B28" s="37" t="s">
        <v>320</v>
      </c>
      <c r="C28" s="42">
        <f>FORMULARIO!E121</f>
        <v>0</v>
      </c>
      <c r="D28" s="37">
        <f>IFERROR(VLOOKUP(C28,'Datos - analisis de pago'!O40:P41,2,FALSE),0)</f>
        <v>0</v>
      </c>
      <c r="E28" s="37">
        <v>0.5</v>
      </c>
      <c r="F28" s="37">
        <v>5</v>
      </c>
      <c r="G28" s="58">
        <f>SUM(F26:F28)</f>
        <v>15</v>
      </c>
    </row>
    <row r="29" spans="2:9">
      <c r="E29">
        <f>SUM(E4:E25)</f>
        <v>17.5</v>
      </c>
      <c r="F29">
        <f>SUM(F4:F25)</f>
        <v>88</v>
      </c>
      <c r="G29">
        <f>SUM(G5:G28)</f>
        <v>103</v>
      </c>
    </row>
    <row r="30" spans="2:9">
      <c r="D30">
        <f>IF(C2="Hipotecario",SUM(D4:D25),(SUM(D4:D19)+D24+D25+D26+D27+D28))</f>
        <v>0</v>
      </c>
      <c r="E30" s="35"/>
    </row>
  </sheetData>
  <mergeCells count="3">
    <mergeCell ref="I10:J12"/>
    <mergeCell ref="I6:J8"/>
    <mergeCell ref="I9:J9"/>
  </mergeCells>
  <conditionalFormatting sqref="I6 I9:I10">
    <cfRule type="expression" dxfId="7" priority="1">
      <formula>$I$6="D"</formula>
    </cfRule>
    <cfRule type="expression" dxfId="6" priority="2">
      <formula>$I$6="C"</formula>
    </cfRule>
    <cfRule type="expression" dxfId="5" priority="3">
      <formula>$I$6="B"</formula>
    </cfRule>
    <cfRule type="expression" dxfId="4" priority="4">
      <formula>$I$6="A"</formula>
    </cfRule>
  </conditionalFormatting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2"/>
  <dimension ref="A3:W150"/>
  <sheetViews>
    <sheetView topLeftCell="A50" workbookViewId="0">
      <selection activeCell="C50" sqref="C50"/>
    </sheetView>
  </sheetViews>
  <sheetFormatPr baseColWidth="10" defaultRowHeight="15"/>
  <cols>
    <col min="5" max="5" width="22.85546875" bestFit="1" customWidth="1"/>
    <col min="12" max="12" width="18" customWidth="1"/>
  </cols>
  <sheetData>
    <row r="3" spans="2:12">
      <c r="B3" s="67" t="s">
        <v>103</v>
      </c>
      <c r="C3" s="60"/>
      <c r="E3" s="67" t="s">
        <v>211</v>
      </c>
      <c r="F3" s="60"/>
      <c r="L3" s="68" t="s">
        <v>314</v>
      </c>
    </row>
    <row r="4" spans="2:12">
      <c r="B4" s="61" t="s">
        <v>104</v>
      </c>
      <c r="C4" s="62">
        <v>1</v>
      </c>
      <c r="E4" s="61" t="s">
        <v>244</v>
      </c>
      <c r="F4" s="65">
        <v>1</v>
      </c>
      <c r="H4" s="67" t="s">
        <v>326</v>
      </c>
      <c r="I4" s="60"/>
      <c r="L4" s="17" t="s">
        <v>315</v>
      </c>
    </row>
    <row r="5" spans="2:12">
      <c r="B5" s="61" t="s">
        <v>105</v>
      </c>
      <c r="C5" s="62">
        <v>1</v>
      </c>
      <c r="E5" s="61" t="s">
        <v>245</v>
      </c>
      <c r="F5" s="65">
        <v>1.5</v>
      </c>
      <c r="H5" s="61" t="s">
        <v>124</v>
      </c>
      <c r="I5" s="65">
        <v>1</v>
      </c>
      <c r="L5" s="18" t="s">
        <v>316</v>
      </c>
    </row>
    <row r="6" spans="2:12">
      <c r="B6" s="61" t="s">
        <v>106</v>
      </c>
      <c r="C6" s="62">
        <v>1.5</v>
      </c>
      <c r="E6" s="61" t="s">
        <v>246</v>
      </c>
      <c r="F6" s="65">
        <v>1.5</v>
      </c>
      <c r="H6" s="63" t="s">
        <v>125</v>
      </c>
      <c r="I6" s="66">
        <v>4</v>
      </c>
    </row>
    <row r="7" spans="2:12">
      <c r="B7" s="63" t="s">
        <v>107</v>
      </c>
      <c r="C7" s="64">
        <v>2</v>
      </c>
      <c r="E7" s="61" t="s">
        <v>247</v>
      </c>
      <c r="F7" s="65">
        <v>2</v>
      </c>
    </row>
    <row r="8" spans="2:12">
      <c r="E8" s="61" t="s">
        <v>248</v>
      </c>
      <c r="F8" s="65">
        <v>2</v>
      </c>
    </row>
    <row r="9" spans="2:12">
      <c r="E9" s="61" t="s">
        <v>249</v>
      </c>
      <c r="F9" s="65">
        <v>2</v>
      </c>
    </row>
    <row r="10" spans="2:12">
      <c r="E10" s="61" t="s">
        <v>250</v>
      </c>
      <c r="F10" s="65">
        <v>2</v>
      </c>
    </row>
    <row r="11" spans="2:12">
      <c r="E11" s="61" t="s">
        <v>251</v>
      </c>
      <c r="F11" s="65">
        <v>1</v>
      </c>
    </row>
    <row r="12" spans="2:12">
      <c r="E12" s="61" t="s">
        <v>252</v>
      </c>
      <c r="F12" s="65">
        <v>1.5</v>
      </c>
    </row>
    <row r="13" spans="2:12">
      <c r="E13" s="61" t="s">
        <v>253</v>
      </c>
      <c r="F13" s="65">
        <v>1.5</v>
      </c>
    </row>
    <row r="14" spans="2:12">
      <c r="E14" s="61" t="s">
        <v>254</v>
      </c>
      <c r="F14" s="65">
        <v>1.5</v>
      </c>
      <c r="I14" s="3" t="s">
        <v>277</v>
      </c>
      <c r="J14" s="3" t="s">
        <v>271</v>
      </c>
    </row>
    <row r="15" spans="2:12">
      <c r="E15" s="61" t="s">
        <v>255</v>
      </c>
      <c r="F15" s="65">
        <v>1.5</v>
      </c>
      <c r="I15" s="3">
        <f>(0.15*3)/0.15</f>
        <v>3</v>
      </c>
      <c r="J15" s="3">
        <f>(0.15*15)/0.15</f>
        <v>15</v>
      </c>
    </row>
    <row r="16" spans="2:12">
      <c r="E16" s="61" t="s">
        <v>256</v>
      </c>
      <c r="F16" s="65">
        <v>1</v>
      </c>
    </row>
    <row r="17" spans="2:22">
      <c r="E17" s="61" t="s">
        <v>257</v>
      </c>
      <c r="F17" s="65">
        <v>1.5</v>
      </c>
    </row>
    <row r="18" spans="2:22">
      <c r="E18" s="61" t="s">
        <v>258</v>
      </c>
      <c r="F18" s="65">
        <v>1</v>
      </c>
    </row>
    <row r="19" spans="2:22">
      <c r="E19" s="61" t="s">
        <v>259</v>
      </c>
      <c r="F19" s="65">
        <v>1.5</v>
      </c>
    </row>
    <row r="20" spans="2:22">
      <c r="E20" s="63" t="s">
        <v>260</v>
      </c>
      <c r="F20" s="66">
        <v>1.5</v>
      </c>
    </row>
    <row r="23" spans="2:22" s="4" customFormat="1">
      <c r="B23" s="67" t="s">
        <v>115</v>
      </c>
      <c r="C23" s="69"/>
      <c r="E23" s="67" t="s">
        <v>128</v>
      </c>
      <c r="F23" s="69"/>
      <c r="H23" s="4" t="s">
        <v>86</v>
      </c>
      <c r="L23" s="4" t="s">
        <v>304</v>
      </c>
      <c r="O23" s="512" t="s">
        <v>302</v>
      </c>
      <c r="P23" s="512"/>
      <c r="Q23" s="512"/>
      <c r="R23" s="512"/>
      <c r="S23" s="512"/>
    </row>
    <row r="24" spans="2:22">
      <c r="B24" s="61" t="s">
        <v>14</v>
      </c>
      <c r="C24" s="65">
        <v>1</v>
      </c>
      <c r="E24" s="61" t="s">
        <v>124</v>
      </c>
      <c r="F24" s="65">
        <v>4</v>
      </c>
      <c r="H24" t="s">
        <v>451</v>
      </c>
      <c r="I24">
        <v>10</v>
      </c>
      <c r="L24" t="s">
        <v>124</v>
      </c>
      <c r="M24">
        <v>1</v>
      </c>
      <c r="O24" t="s">
        <v>124</v>
      </c>
      <c r="P24">
        <v>4</v>
      </c>
    </row>
    <row r="25" spans="2:22">
      <c r="B25" s="61" t="s">
        <v>15</v>
      </c>
      <c r="C25" s="65">
        <v>4</v>
      </c>
      <c r="E25" s="63" t="s">
        <v>125</v>
      </c>
      <c r="F25" s="66">
        <v>1</v>
      </c>
      <c r="H25" t="s">
        <v>452</v>
      </c>
      <c r="I25">
        <v>4</v>
      </c>
      <c r="L25" t="s">
        <v>125</v>
      </c>
      <c r="M25">
        <v>4</v>
      </c>
      <c r="O25" t="s">
        <v>125</v>
      </c>
      <c r="P25">
        <v>1</v>
      </c>
    </row>
    <row r="26" spans="2:22">
      <c r="B26" s="63" t="s">
        <v>56</v>
      </c>
      <c r="C26" s="66">
        <v>3</v>
      </c>
      <c r="H26" t="s">
        <v>97</v>
      </c>
      <c r="I26">
        <v>3.5</v>
      </c>
    </row>
    <row r="27" spans="2:22">
      <c r="H27" t="s">
        <v>98</v>
      </c>
      <c r="I27">
        <v>3</v>
      </c>
    </row>
    <row r="28" spans="2:22">
      <c r="H28" t="s">
        <v>99</v>
      </c>
      <c r="I28">
        <v>2.5</v>
      </c>
    </row>
    <row r="29" spans="2:22">
      <c r="H29" t="s">
        <v>100</v>
      </c>
      <c r="I29">
        <v>2.5</v>
      </c>
    </row>
    <row r="30" spans="2:22">
      <c r="H30" t="s">
        <v>101</v>
      </c>
      <c r="I30">
        <v>2</v>
      </c>
    </row>
    <row r="32" spans="2:22" s="4" customFormat="1">
      <c r="B32" s="4" t="s">
        <v>5</v>
      </c>
      <c r="E32" s="4" t="s">
        <v>58</v>
      </c>
      <c r="H32" s="4" t="s">
        <v>306</v>
      </c>
      <c r="K32" s="4" t="s">
        <v>307</v>
      </c>
      <c r="N32" s="4" t="s">
        <v>328</v>
      </c>
      <c r="R32" s="4" t="s">
        <v>312</v>
      </c>
      <c r="V32" s="4" t="s">
        <v>313</v>
      </c>
    </row>
    <row r="33" spans="2:23">
      <c r="B33" t="s">
        <v>134</v>
      </c>
      <c r="C33">
        <v>1</v>
      </c>
      <c r="E33" t="s">
        <v>124</v>
      </c>
      <c r="F33">
        <v>0.5</v>
      </c>
      <c r="H33" t="s">
        <v>124</v>
      </c>
      <c r="I33">
        <v>0.5</v>
      </c>
      <c r="K33" t="s">
        <v>124</v>
      </c>
      <c r="L33">
        <v>0.5</v>
      </c>
      <c r="N33">
        <v>0</v>
      </c>
      <c r="O33">
        <v>0</v>
      </c>
      <c r="R33" t="s">
        <v>124</v>
      </c>
      <c r="S33">
        <v>5</v>
      </c>
      <c r="V33">
        <v>0</v>
      </c>
      <c r="W33">
        <v>0</v>
      </c>
    </row>
    <row r="34" spans="2:23">
      <c r="B34" t="s">
        <v>125</v>
      </c>
      <c r="C34">
        <v>3</v>
      </c>
      <c r="E34" t="s">
        <v>125</v>
      </c>
      <c r="F34">
        <v>3</v>
      </c>
      <c r="H34" t="s">
        <v>125</v>
      </c>
      <c r="I34">
        <v>7</v>
      </c>
      <c r="K34" t="s">
        <v>125</v>
      </c>
      <c r="L34">
        <v>7</v>
      </c>
      <c r="N34">
        <v>1</v>
      </c>
      <c r="O34">
        <v>0.5</v>
      </c>
      <c r="R34" t="s">
        <v>125</v>
      </c>
      <c r="S34">
        <v>0.5</v>
      </c>
      <c r="V34">
        <v>1</v>
      </c>
      <c r="W34">
        <v>0.5</v>
      </c>
    </row>
    <row r="35" spans="2:23">
      <c r="N35">
        <v>2</v>
      </c>
      <c r="O35">
        <v>0.5</v>
      </c>
      <c r="V35">
        <v>2</v>
      </c>
      <c r="W35">
        <v>3</v>
      </c>
    </row>
    <row r="36" spans="2:23">
      <c r="N36">
        <v>3</v>
      </c>
      <c r="O36">
        <v>1</v>
      </c>
      <c r="V36">
        <v>3</v>
      </c>
      <c r="W36">
        <v>4</v>
      </c>
    </row>
    <row r="37" spans="2:23">
      <c r="N37">
        <v>4</v>
      </c>
      <c r="O37">
        <v>1.5</v>
      </c>
      <c r="V37">
        <v>4</v>
      </c>
      <c r="W37">
        <v>6</v>
      </c>
    </row>
    <row r="38" spans="2:23">
      <c r="N38" s="15" t="s">
        <v>127</v>
      </c>
      <c r="O38">
        <v>2</v>
      </c>
      <c r="V38" s="15" t="s">
        <v>127</v>
      </c>
      <c r="W38">
        <v>7</v>
      </c>
    </row>
    <row r="39" spans="2:23" s="4" customFormat="1">
      <c r="B39" s="4" t="s">
        <v>284</v>
      </c>
      <c r="E39" s="4" t="s">
        <v>280</v>
      </c>
      <c r="H39" s="4" t="s">
        <v>320</v>
      </c>
      <c r="L39" s="4" t="s">
        <v>205</v>
      </c>
      <c r="O39" s="4" t="s">
        <v>320</v>
      </c>
    </row>
    <row r="40" spans="2:23">
      <c r="B40" t="s">
        <v>143</v>
      </c>
      <c r="C40">
        <v>0.5</v>
      </c>
      <c r="E40" t="s">
        <v>124</v>
      </c>
      <c r="F40">
        <v>5</v>
      </c>
      <c r="H40" t="s">
        <v>124</v>
      </c>
      <c r="I40">
        <v>0.5</v>
      </c>
      <c r="L40" t="s">
        <v>207</v>
      </c>
      <c r="M40">
        <v>2</v>
      </c>
      <c r="O40" t="s">
        <v>124</v>
      </c>
      <c r="P40">
        <v>0.5</v>
      </c>
    </row>
    <row r="41" spans="2:23">
      <c r="B41" t="s">
        <v>144</v>
      </c>
      <c r="C41">
        <v>2</v>
      </c>
      <c r="E41" t="s">
        <v>125</v>
      </c>
      <c r="F41">
        <v>0.5</v>
      </c>
      <c r="H41" t="s">
        <v>125</v>
      </c>
      <c r="I41">
        <v>5</v>
      </c>
      <c r="L41" t="s">
        <v>206</v>
      </c>
      <c r="M41">
        <v>0.5</v>
      </c>
      <c r="O41" t="s">
        <v>125</v>
      </c>
      <c r="P41">
        <v>5</v>
      </c>
    </row>
    <row r="42" spans="2:23">
      <c r="B42" t="s">
        <v>145</v>
      </c>
      <c r="C42">
        <v>0.5</v>
      </c>
    </row>
    <row r="43" spans="2:23">
      <c r="B43" t="s">
        <v>146</v>
      </c>
      <c r="C43">
        <v>0.5</v>
      </c>
    </row>
    <row r="44" spans="2:23">
      <c r="B44" t="s">
        <v>147</v>
      </c>
      <c r="C44">
        <v>3</v>
      </c>
      <c r="E44" s="4" t="s">
        <v>317</v>
      </c>
      <c r="H44" s="4" t="s">
        <v>318</v>
      </c>
      <c r="K44" s="4" t="s">
        <v>322</v>
      </c>
      <c r="P44" s="4" t="s">
        <v>324</v>
      </c>
    </row>
    <row r="45" spans="2:23">
      <c r="B45" t="s">
        <v>148</v>
      </c>
      <c r="C45">
        <v>5</v>
      </c>
      <c r="E45" t="s">
        <v>124</v>
      </c>
      <c r="F45">
        <v>1</v>
      </c>
      <c r="H45">
        <v>1</v>
      </c>
      <c r="I45">
        <v>0.5</v>
      </c>
      <c r="K45" t="s">
        <v>124</v>
      </c>
      <c r="L45">
        <v>0.5</v>
      </c>
      <c r="P45">
        <v>30</v>
      </c>
      <c r="Q45">
        <v>0.5</v>
      </c>
    </row>
    <row r="46" spans="2:23">
      <c r="B46" t="s">
        <v>149</v>
      </c>
      <c r="C46">
        <v>2</v>
      </c>
      <c r="E46" t="s">
        <v>125</v>
      </c>
      <c r="F46">
        <v>5</v>
      </c>
      <c r="H46">
        <v>2</v>
      </c>
      <c r="I46">
        <v>2</v>
      </c>
      <c r="K46" t="s">
        <v>125</v>
      </c>
      <c r="L46">
        <v>5</v>
      </c>
      <c r="P46">
        <v>60</v>
      </c>
      <c r="Q46">
        <v>3</v>
      </c>
    </row>
    <row r="47" spans="2:23">
      <c r="B47" t="s">
        <v>150</v>
      </c>
      <c r="C47">
        <v>5</v>
      </c>
      <c r="H47">
        <v>3</v>
      </c>
      <c r="I47">
        <v>4</v>
      </c>
      <c r="P47" s="15" t="s">
        <v>325</v>
      </c>
      <c r="Q47">
        <v>5</v>
      </c>
    </row>
    <row r="48" spans="2:23">
      <c r="H48" s="15" t="s">
        <v>319</v>
      </c>
      <c r="I48">
        <v>5</v>
      </c>
    </row>
    <row r="50" spans="1:10" s="4" customFormat="1">
      <c r="A50" s="4" t="s">
        <v>282</v>
      </c>
      <c r="C50" s="4" t="s">
        <v>311</v>
      </c>
      <c r="F50" s="4" t="s">
        <v>283</v>
      </c>
    </row>
    <row r="51" spans="1:10">
      <c r="A51" s="30">
        <v>0.01</v>
      </c>
      <c r="B51">
        <v>1</v>
      </c>
      <c r="C51">
        <v>1</v>
      </c>
      <c r="F51" t="s">
        <v>124</v>
      </c>
      <c r="G51">
        <v>1</v>
      </c>
      <c r="I51" s="4" t="s">
        <v>327</v>
      </c>
    </row>
    <row r="52" spans="1:10">
      <c r="A52" s="30">
        <v>0.02</v>
      </c>
      <c r="B52">
        <v>1</v>
      </c>
      <c r="C52">
        <v>1</v>
      </c>
      <c r="F52" t="s">
        <v>125</v>
      </c>
      <c r="G52">
        <v>2.5</v>
      </c>
      <c r="I52" t="s">
        <v>124</v>
      </c>
      <c r="J52">
        <v>0.5</v>
      </c>
    </row>
    <row r="53" spans="1:10">
      <c r="A53" s="30">
        <v>0.03</v>
      </c>
      <c r="B53">
        <v>1</v>
      </c>
      <c r="C53">
        <v>1</v>
      </c>
      <c r="I53" t="s">
        <v>125</v>
      </c>
      <c r="J53">
        <v>5</v>
      </c>
    </row>
    <row r="54" spans="1:10">
      <c r="A54" s="30">
        <v>0.04</v>
      </c>
      <c r="B54">
        <v>1</v>
      </c>
      <c r="C54">
        <v>1</v>
      </c>
    </row>
    <row r="55" spans="1:10">
      <c r="A55" s="30">
        <v>0.05</v>
      </c>
      <c r="B55">
        <v>1</v>
      </c>
      <c r="C55">
        <v>1</v>
      </c>
    </row>
    <row r="56" spans="1:10">
      <c r="A56" s="30">
        <v>0.06</v>
      </c>
      <c r="B56">
        <v>1</v>
      </c>
      <c r="C56">
        <v>1</v>
      </c>
    </row>
    <row r="57" spans="1:10">
      <c r="A57" s="30">
        <v>7.0000000000000007E-2</v>
      </c>
      <c r="B57">
        <v>1</v>
      </c>
      <c r="C57">
        <v>1</v>
      </c>
    </row>
    <row r="58" spans="1:10">
      <c r="A58" s="30">
        <v>0.08</v>
      </c>
      <c r="B58">
        <v>1</v>
      </c>
      <c r="C58">
        <v>1</v>
      </c>
    </row>
    <row r="59" spans="1:10">
      <c r="A59" s="30">
        <v>0.09</v>
      </c>
      <c r="B59">
        <v>1</v>
      </c>
      <c r="C59">
        <v>1</v>
      </c>
    </row>
    <row r="60" spans="1:10">
      <c r="A60" s="30">
        <v>0.1</v>
      </c>
      <c r="B60">
        <v>1</v>
      </c>
      <c r="C60">
        <v>1</v>
      </c>
    </row>
    <row r="61" spans="1:10">
      <c r="A61" s="30">
        <v>0.11</v>
      </c>
      <c r="B61">
        <v>1</v>
      </c>
      <c r="C61">
        <v>1</v>
      </c>
    </row>
    <row r="62" spans="1:10">
      <c r="A62" s="30">
        <v>0.12</v>
      </c>
      <c r="B62">
        <v>1</v>
      </c>
      <c r="C62">
        <v>1</v>
      </c>
    </row>
    <row r="63" spans="1:10">
      <c r="A63" s="30">
        <v>0.13</v>
      </c>
      <c r="B63">
        <v>1</v>
      </c>
      <c r="C63">
        <v>1</v>
      </c>
    </row>
    <row r="64" spans="1:10">
      <c r="A64" s="30">
        <v>0.14000000000000001</v>
      </c>
      <c r="B64">
        <v>1</v>
      </c>
      <c r="C64">
        <v>1</v>
      </c>
    </row>
    <row r="65" spans="1:3">
      <c r="A65" s="30">
        <v>0.15</v>
      </c>
      <c r="B65">
        <v>1</v>
      </c>
      <c r="C65">
        <v>1</v>
      </c>
    </row>
    <row r="66" spans="1:3">
      <c r="A66" s="30">
        <v>0.16</v>
      </c>
      <c r="B66">
        <v>1</v>
      </c>
      <c r="C66">
        <v>1</v>
      </c>
    </row>
    <row r="67" spans="1:3">
      <c r="A67" s="30">
        <v>0.17</v>
      </c>
      <c r="B67">
        <v>1</v>
      </c>
      <c r="C67">
        <v>1</v>
      </c>
    </row>
    <row r="68" spans="1:3">
      <c r="A68" s="30">
        <v>0.18</v>
      </c>
      <c r="B68">
        <v>1</v>
      </c>
      <c r="C68">
        <v>1</v>
      </c>
    </row>
    <row r="69" spans="1:3">
      <c r="A69" s="30">
        <v>0.19</v>
      </c>
      <c r="B69">
        <v>1</v>
      </c>
      <c r="C69">
        <v>1</v>
      </c>
    </row>
    <row r="70" spans="1:3">
      <c r="A70" s="30">
        <v>0.2</v>
      </c>
      <c r="B70">
        <v>1</v>
      </c>
      <c r="C70">
        <v>1</v>
      </c>
    </row>
    <row r="71" spans="1:3">
      <c r="A71" s="30">
        <v>0.21</v>
      </c>
      <c r="B71">
        <v>1.5</v>
      </c>
      <c r="C71">
        <v>1</v>
      </c>
    </row>
    <row r="72" spans="1:3">
      <c r="A72" s="30">
        <v>0.22</v>
      </c>
      <c r="B72">
        <v>1.5</v>
      </c>
      <c r="C72">
        <v>1</v>
      </c>
    </row>
    <row r="73" spans="1:3">
      <c r="A73" s="30">
        <v>0.23</v>
      </c>
      <c r="B73">
        <v>1.5</v>
      </c>
      <c r="C73">
        <v>1</v>
      </c>
    </row>
    <row r="74" spans="1:3">
      <c r="A74" s="30">
        <v>0.24</v>
      </c>
      <c r="B74">
        <v>1.5</v>
      </c>
      <c r="C74">
        <v>1</v>
      </c>
    </row>
    <row r="75" spans="1:3">
      <c r="A75" s="30">
        <v>0.25</v>
      </c>
      <c r="B75">
        <v>1.5</v>
      </c>
      <c r="C75">
        <v>1</v>
      </c>
    </row>
    <row r="76" spans="1:3">
      <c r="A76" s="30">
        <v>0.26</v>
      </c>
      <c r="B76">
        <v>1.5</v>
      </c>
      <c r="C76">
        <v>1</v>
      </c>
    </row>
    <row r="77" spans="1:3">
      <c r="A77" s="30">
        <v>0.27</v>
      </c>
      <c r="B77">
        <v>1.5</v>
      </c>
      <c r="C77">
        <v>1</v>
      </c>
    </row>
    <row r="78" spans="1:3">
      <c r="A78" s="30">
        <v>0.28000000000000003</v>
      </c>
      <c r="B78">
        <v>1.5</v>
      </c>
      <c r="C78">
        <v>1</v>
      </c>
    </row>
    <row r="79" spans="1:3">
      <c r="A79" s="30">
        <v>0.28999999999999998</v>
      </c>
      <c r="B79">
        <v>1.5</v>
      </c>
      <c r="C79">
        <v>1</v>
      </c>
    </row>
    <row r="80" spans="1:3">
      <c r="A80" s="30">
        <v>0.3</v>
      </c>
      <c r="B80">
        <v>1.5</v>
      </c>
      <c r="C80">
        <v>1</v>
      </c>
    </row>
    <row r="81" spans="1:3">
      <c r="A81" s="30">
        <v>0.31</v>
      </c>
      <c r="B81">
        <v>1.5</v>
      </c>
      <c r="C81">
        <v>0.8</v>
      </c>
    </row>
    <row r="82" spans="1:3">
      <c r="A82" s="30">
        <v>0.32</v>
      </c>
      <c r="B82">
        <v>1.5</v>
      </c>
      <c r="C82">
        <v>0.8</v>
      </c>
    </row>
    <row r="83" spans="1:3">
      <c r="A83" s="30">
        <v>0.33</v>
      </c>
      <c r="B83">
        <v>1.5</v>
      </c>
      <c r="C83">
        <v>0.8</v>
      </c>
    </row>
    <row r="84" spans="1:3">
      <c r="A84" s="30">
        <v>0.34</v>
      </c>
      <c r="B84">
        <v>1.5</v>
      </c>
      <c r="C84">
        <v>0.8</v>
      </c>
    </row>
    <row r="85" spans="1:3">
      <c r="A85" s="30">
        <v>0.35</v>
      </c>
      <c r="B85">
        <v>1.5</v>
      </c>
      <c r="C85">
        <v>0.8</v>
      </c>
    </row>
    <row r="86" spans="1:3">
      <c r="A86" s="30">
        <v>0.36</v>
      </c>
      <c r="B86">
        <v>1.5</v>
      </c>
      <c r="C86">
        <v>0.8</v>
      </c>
    </row>
    <row r="87" spans="1:3">
      <c r="A87" s="30">
        <v>0.37</v>
      </c>
      <c r="B87">
        <v>1.5</v>
      </c>
      <c r="C87">
        <v>0.8</v>
      </c>
    </row>
    <row r="88" spans="1:3">
      <c r="A88" s="30">
        <v>0.38</v>
      </c>
      <c r="B88">
        <v>1.5</v>
      </c>
      <c r="C88">
        <v>0.8</v>
      </c>
    </row>
    <row r="89" spans="1:3">
      <c r="A89" s="30">
        <v>0.39</v>
      </c>
      <c r="B89">
        <v>1.5</v>
      </c>
      <c r="C89">
        <v>0.8</v>
      </c>
    </row>
    <row r="90" spans="1:3">
      <c r="A90" s="30">
        <v>0.4</v>
      </c>
      <c r="B90">
        <v>1.5</v>
      </c>
      <c r="C90">
        <v>0.8</v>
      </c>
    </row>
    <row r="91" spans="1:3">
      <c r="A91" s="30">
        <v>0.41</v>
      </c>
      <c r="B91">
        <v>2</v>
      </c>
      <c r="C91">
        <v>0.8</v>
      </c>
    </row>
    <row r="92" spans="1:3">
      <c r="A92" s="30">
        <v>0.42</v>
      </c>
      <c r="B92">
        <v>2</v>
      </c>
      <c r="C92">
        <v>0.8</v>
      </c>
    </row>
    <row r="93" spans="1:3">
      <c r="A93" s="30">
        <v>0.43</v>
      </c>
      <c r="B93">
        <v>2</v>
      </c>
      <c r="C93">
        <v>0.8</v>
      </c>
    </row>
    <row r="94" spans="1:3">
      <c r="A94" s="30">
        <v>0.44</v>
      </c>
      <c r="B94">
        <v>2</v>
      </c>
      <c r="C94">
        <v>0.8</v>
      </c>
    </row>
    <row r="95" spans="1:3">
      <c r="A95" s="30">
        <v>0.45</v>
      </c>
      <c r="B95">
        <v>2</v>
      </c>
      <c r="C95">
        <v>0.8</v>
      </c>
    </row>
    <row r="96" spans="1:3">
      <c r="A96" s="30">
        <v>0.46</v>
      </c>
      <c r="B96">
        <v>2</v>
      </c>
      <c r="C96">
        <v>0.8</v>
      </c>
    </row>
    <row r="97" spans="1:3">
      <c r="A97" s="30">
        <v>0.47</v>
      </c>
      <c r="B97">
        <v>2</v>
      </c>
      <c r="C97">
        <v>0.8</v>
      </c>
    </row>
    <row r="98" spans="1:3">
      <c r="A98" s="30">
        <v>0.48</v>
      </c>
      <c r="B98">
        <v>2</v>
      </c>
      <c r="C98">
        <v>0.8</v>
      </c>
    </row>
    <row r="99" spans="1:3">
      <c r="A99" s="30">
        <v>0.49</v>
      </c>
      <c r="B99">
        <v>2</v>
      </c>
      <c r="C99">
        <v>0.8</v>
      </c>
    </row>
    <row r="100" spans="1:3">
      <c r="A100" s="30">
        <v>0.5</v>
      </c>
      <c r="B100">
        <v>2</v>
      </c>
      <c r="C100">
        <v>0.5</v>
      </c>
    </row>
    <row r="101" spans="1:3">
      <c r="A101" s="30">
        <v>0.51</v>
      </c>
      <c r="B101">
        <v>2</v>
      </c>
      <c r="C101">
        <v>0.5</v>
      </c>
    </row>
    <row r="102" spans="1:3">
      <c r="A102" s="30">
        <v>0.52</v>
      </c>
      <c r="B102">
        <v>2</v>
      </c>
      <c r="C102">
        <v>0.5</v>
      </c>
    </row>
    <row r="103" spans="1:3">
      <c r="A103" s="30">
        <v>0.53</v>
      </c>
      <c r="B103">
        <v>2</v>
      </c>
      <c r="C103">
        <v>0.5</v>
      </c>
    </row>
    <row r="104" spans="1:3">
      <c r="A104" s="30">
        <v>0.54</v>
      </c>
      <c r="B104">
        <v>2</v>
      </c>
      <c r="C104">
        <v>0.5</v>
      </c>
    </row>
    <row r="105" spans="1:3">
      <c r="A105" s="30">
        <v>0.55000000000000004</v>
      </c>
      <c r="B105">
        <v>2</v>
      </c>
      <c r="C105">
        <v>0.5</v>
      </c>
    </row>
    <row r="106" spans="1:3">
      <c r="A106" s="30">
        <v>0.56000000000000005</v>
      </c>
      <c r="B106">
        <v>2</v>
      </c>
      <c r="C106">
        <v>0.5</v>
      </c>
    </row>
    <row r="107" spans="1:3">
      <c r="A107" s="30">
        <v>0.56999999999999995</v>
      </c>
      <c r="B107">
        <v>2</v>
      </c>
      <c r="C107">
        <v>0.5</v>
      </c>
    </row>
    <row r="108" spans="1:3">
      <c r="A108" s="30">
        <v>0.57999999999999996</v>
      </c>
      <c r="B108">
        <v>2</v>
      </c>
      <c r="C108">
        <v>0.5</v>
      </c>
    </row>
    <row r="109" spans="1:3">
      <c r="A109" s="30">
        <v>0.59</v>
      </c>
      <c r="B109">
        <v>2</v>
      </c>
      <c r="C109">
        <v>0.5</v>
      </c>
    </row>
    <row r="110" spans="1:3">
      <c r="A110" s="30">
        <v>0.6</v>
      </c>
      <c r="B110">
        <v>2</v>
      </c>
      <c r="C110">
        <v>0.5</v>
      </c>
    </row>
    <row r="111" spans="1:3">
      <c r="A111" s="30">
        <v>0.61</v>
      </c>
      <c r="B111">
        <v>2</v>
      </c>
      <c r="C111">
        <v>0.5</v>
      </c>
    </row>
    <row r="112" spans="1:3">
      <c r="A112" s="30">
        <v>0.62</v>
      </c>
      <c r="B112">
        <v>2</v>
      </c>
      <c r="C112">
        <v>0.5</v>
      </c>
    </row>
    <row r="113" spans="1:3">
      <c r="A113" s="30">
        <v>0.63</v>
      </c>
      <c r="B113">
        <v>2</v>
      </c>
      <c r="C113">
        <v>0.5</v>
      </c>
    </row>
    <row r="114" spans="1:3">
      <c r="A114" s="30">
        <v>0.64</v>
      </c>
      <c r="B114">
        <v>2</v>
      </c>
      <c r="C114">
        <v>0.5</v>
      </c>
    </row>
    <row r="115" spans="1:3">
      <c r="A115" s="30">
        <v>0.65</v>
      </c>
      <c r="B115">
        <v>2</v>
      </c>
      <c r="C115">
        <v>0.5</v>
      </c>
    </row>
    <row r="116" spans="1:3">
      <c r="A116" s="30">
        <v>0.66</v>
      </c>
      <c r="B116">
        <v>2</v>
      </c>
      <c r="C116">
        <v>0.5</v>
      </c>
    </row>
    <row r="117" spans="1:3">
      <c r="A117" s="30">
        <v>0.67</v>
      </c>
      <c r="B117">
        <v>2</v>
      </c>
      <c r="C117">
        <v>0.5</v>
      </c>
    </row>
    <row r="118" spans="1:3">
      <c r="A118" s="30">
        <v>0.68</v>
      </c>
      <c r="B118">
        <v>2</v>
      </c>
      <c r="C118">
        <v>0.5</v>
      </c>
    </row>
    <row r="119" spans="1:3">
      <c r="A119" s="30">
        <v>0.69</v>
      </c>
      <c r="B119">
        <v>2</v>
      </c>
      <c r="C119">
        <v>0.5</v>
      </c>
    </row>
    <row r="120" spans="1:3">
      <c r="A120" s="30">
        <v>0.7</v>
      </c>
      <c r="B120">
        <v>2</v>
      </c>
      <c r="C120">
        <v>0.5</v>
      </c>
    </row>
    <row r="121" spans="1:3">
      <c r="A121" s="30">
        <v>0.71</v>
      </c>
      <c r="B121">
        <v>2</v>
      </c>
      <c r="C121">
        <v>0.5</v>
      </c>
    </row>
    <row r="122" spans="1:3">
      <c r="A122" s="30">
        <v>0.72</v>
      </c>
      <c r="B122">
        <v>2</v>
      </c>
      <c r="C122">
        <v>0.5</v>
      </c>
    </row>
    <row r="123" spans="1:3">
      <c r="A123" s="30">
        <v>0.73</v>
      </c>
      <c r="B123">
        <v>2</v>
      </c>
      <c r="C123">
        <v>0.5</v>
      </c>
    </row>
    <row r="124" spans="1:3">
      <c r="A124" s="30">
        <v>0.74</v>
      </c>
      <c r="B124">
        <v>2</v>
      </c>
      <c r="C124">
        <v>0.5</v>
      </c>
    </row>
    <row r="125" spans="1:3">
      <c r="A125" s="30">
        <v>0.75</v>
      </c>
      <c r="B125">
        <v>2.5</v>
      </c>
      <c r="C125">
        <v>0.5</v>
      </c>
    </row>
    <row r="126" spans="1:3">
      <c r="A126" s="30">
        <v>0.76</v>
      </c>
      <c r="B126">
        <v>2.5</v>
      </c>
      <c r="C126">
        <v>0.5</v>
      </c>
    </row>
    <row r="127" spans="1:3">
      <c r="A127" s="30">
        <v>0.77</v>
      </c>
      <c r="B127">
        <v>2.5</v>
      </c>
      <c r="C127">
        <v>0.5</v>
      </c>
    </row>
    <row r="128" spans="1:3">
      <c r="A128" s="30">
        <v>0.78</v>
      </c>
      <c r="B128">
        <v>2.5</v>
      </c>
      <c r="C128">
        <v>0.5</v>
      </c>
    </row>
    <row r="129" spans="1:3">
      <c r="A129" s="30">
        <v>0.79</v>
      </c>
      <c r="B129">
        <v>2.5</v>
      </c>
      <c r="C129">
        <v>0.5</v>
      </c>
    </row>
    <row r="130" spans="1:3">
      <c r="A130" s="30">
        <v>0.8</v>
      </c>
      <c r="B130">
        <v>2.5</v>
      </c>
      <c r="C130">
        <v>0.5</v>
      </c>
    </row>
    <row r="131" spans="1:3">
      <c r="A131" s="30">
        <v>0.81</v>
      </c>
      <c r="B131">
        <v>2.5</v>
      </c>
      <c r="C131">
        <v>0.5</v>
      </c>
    </row>
    <row r="132" spans="1:3">
      <c r="A132" s="30">
        <v>0.82</v>
      </c>
      <c r="B132">
        <v>2.5</v>
      </c>
      <c r="C132">
        <v>0.5</v>
      </c>
    </row>
    <row r="133" spans="1:3">
      <c r="A133" s="30">
        <v>0.83</v>
      </c>
      <c r="B133">
        <v>2.5</v>
      </c>
      <c r="C133">
        <v>0.5</v>
      </c>
    </row>
    <row r="134" spans="1:3">
      <c r="A134" s="30">
        <v>0.84</v>
      </c>
      <c r="B134">
        <v>2.5</v>
      </c>
      <c r="C134">
        <v>0.5</v>
      </c>
    </row>
    <row r="135" spans="1:3">
      <c r="A135" s="30">
        <v>0.85</v>
      </c>
      <c r="B135">
        <v>2.5</v>
      </c>
      <c r="C135">
        <v>0.5</v>
      </c>
    </row>
    <row r="136" spans="1:3">
      <c r="A136" s="30">
        <v>0.86</v>
      </c>
      <c r="B136">
        <v>2.5</v>
      </c>
      <c r="C136">
        <v>0.5</v>
      </c>
    </row>
    <row r="137" spans="1:3">
      <c r="A137" s="30">
        <v>0.87</v>
      </c>
      <c r="B137">
        <v>2.5</v>
      </c>
      <c r="C137">
        <v>0.5</v>
      </c>
    </row>
    <row r="138" spans="1:3">
      <c r="A138" s="30">
        <v>0.88</v>
      </c>
      <c r="B138">
        <v>2.5</v>
      </c>
      <c r="C138">
        <v>0.5</v>
      </c>
    </row>
    <row r="139" spans="1:3">
      <c r="A139" s="30">
        <v>0.89</v>
      </c>
      <c r="B139">
        <v>2.5</v>
      </c>
      <c r="C139">
        <v>0.5</v>
      </c>
    </row>
    <row r="140" spans="1:3">
      <c r="A140" s="30">
        <v>0.9</v>
      </c>
      <c r="B140">
        <v>2.5</v>
      </c>
      <c r="C140">
        <v>0.5</v>
      </c>
    </row>
    <row r="141" spans="1:3">
      <c r="A141" s="30">
        <v>0.91</v>
      </c>
      <c r="B141">
        <v>2.5</v>
      </c>
      <c r="C141">
        <v>0.5</v>
      </c>
    </row>
    <row r="142" spans="1:3">
      <c r="A142" s="30">
        <v>0.92</v>
      </c>
      <c r="B142">
        <v>2.5</v>
      </c>
      <c r="C142">
        <v>0.5</v>
      </c>
    </row>
    <row r="143" spans="1:3">
      <c r="A143" s="30">
        <v>0.93</v>
      </c>
      <c r="B143">
        <v>2.5</v>
      </c>
      <c r="C143">
        <v>0.5</v>
      </c>
    </row>
    <row r="144" spans="1:3">
      <c r="A144" s="30">
        <v>0.94</v>
      </c>
      <c r="B144">
        <v>2.5</v>
      </c>
      <c r="C144">
        <v>0.5</v>
      </c>
    </row>
    <row r="145" spans="1:3">
      <c r="A145" s="30">
        <v>0.95</v>
      </c>
      <c r="B145">
        <v>2.5</v>
      </c>
      <c r="C145">
        <v>0.5</v>
      </c>
    </row>
    <row r="146" spans="1:3">
      <c r="A146" s="30">
        <v>0.96</v>
      </c>
      <c r="B146">
        <v>2.5</v>
      </c>
      <c r="C146">
        <v>0.5</v>
      </c>
    </row>
    <row r="147" spans="1:3">
      <c r="A147" s="30">
        <v>0.97</v>
      </c>
      <c r="B147">
        <v>2.5</v>
      </c>
      <c r="C147">
        <v>0.5</v>
      </c>
    </row>
    <row r="148" spans="1:3">
      <c r="A148" s="30">
        <v>0.98</v>
      </c>
      <c r="B148">
        <v>2.5</v>
      </c>
      <c r="C148">
        <v>0.5</v>
      </c>
    </row>
    <row r="149" spans="1:3">
      <c r="A149" s="30">
        <v>0.99</v>
      </c>
      <c r="B149">
        <v>2.5</v>
      </c>
      <c r="C149">
        <v>0.5</v>
      </c>
    </row>
    <row r="150" spans="1:3">
      <c r="A150" s="30">
        <v>1</v>
      </c>
      <c r="B150">
        <v>2.5</v>
      </c>
      <c r="C150">
        <v>0.5</v>
      </c>
    </row>
  </sheetData>
  <mergeCells count="1">
    <mergeCell ref="O23:S23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F195"/>
  <sheetViews>
    <sheetView topLeftCell="A39" workbookViewId="0">
      <selection activeCell="F55" sqref="F55"/>
    </sheetView>
  </sheetViews>
  <sheetFormatPr baseColWidth="10" defaultRowHeight="15"/>
  <cols>
    <col min="1" max="1" width="14.7109375" customWidth="1"/>
    <col min="3" max="3" width="19.140625" bestFit="1" customWidth="1"/>
    <col min="6" max="6" width="14.85546875" bestFit="1" customWidth="1"/>
    <col min="26" max="26" width="19.140625" bestFit="1" customWidth="1"/>
    <col min="29" max="29" width="19.140625" bestFit="1" customWidth="1"/>
  </cols>
  <sheetData>
    <row r="1" spans="1:9">
      <c r="A1">
        <v>1</v>
      </c>
    </row>
    <row r="2" spans="1:9">
      <c r="A2">
        <v>2</v>
      </c>
    </row>
    <row r="3" spans="1:9">
      <c r="A3">
        <v>3</v>
      </c>
    </row>
    <row r="4" spans="1:9">
      <c r="A4">
        <v>4</v>
      </c>
    </row>
    <row r="5" spans="1:9">
      <c r="A5">
        <v>5</v>
      </c>
    </row>
    <row r="6" spans="1:9">
      <c r="A6">
        <v>6</v>
      </c>
    </row>
    <row r="7" spans="1:9">
      <c r="A7">
        <v>7</v>
      </c>
    </row>
    <row r="8" spans="1:9">
      <c r="A8">
        <v>8</v>
      </c>
    </row>
    <row r="9" spans="1:9">
      <c r="A9">
        <v>9</v>
      </c>
    </row>
    <row r="10" spans="1:9">
      <c r="A10">
        <v>10</v>
      </c>
    </row>
    <row r="11" spans="1:9">
      <c r="A11">
        <v>11</v>
      </c>
    </row>
    <row r="12" spans="1:9">
      <c r="A12">
        <v>12</v>
      </c>
    </row>
    <row r="13" spans="1:9">
      <c r="A13">
        <v>13</v>
      </c>
    </row>
    <row r="14" spans="1:9">
      <c r="A14">
        <v>14</v>
      </c>
      <c r="C14" s="4" t="s">
        <v>102</v>
      </c>
      <c r="D14" s="28">
        <f>SUM(L17:L18)</f>
        <v>88</v>
      </c>
    </row>
    <row r="15" spans="1:9">
      <c r="A15">
        <v>15</v>
      </c>
    </row>
    <row r="16" spans="1:9">
      <c r="A16">
        <v>16</v>
      </c>
      <c r="C16" s="4" t="s">
        <v>103</v>
      </c>
      <c r="F16" s="4" t="s">
        <v>112</v>
      </c>
      <c r="I16" s="4" t="s">
        <v>113</v>
      </c>
    </row>
    <row r="17" spans="1:32">
      <c r="A17">
        <v>17</v>
      </c>
      <c r="C17" t="s">
        <v>104</v>
      </c>
      <c r="D17" s="3">
        <v>5</v>
      </c>
      <c r="F17" t="s">
        <v>108</v>
      </c>
      <c r="G17" s="3">
        <v>3</v>
      </c>
      <c r="I17" t="s">
        <v>9</v>
      </c>
      <c r="L17">
        <f>SUM(D17:D20)</f>
        <v>65</v>
      </c>
      <c r="N17" s="373" t="s">
        <v>273</v>
      </c>
      <c r="O17" s="373"/>
    </row>
    <row r="18" spans="1:32">
      <c r="A18">
        <v>18</v>
      </c>
      <c r="C18" t="s">
        <v>105</v>
      </c>
      <c r="D18" s="3">
        <v>5</v>
      </c>
      <c r="F18" t="s">
        <v>109</v>
      </c>
      <c r="G18" s="3">
        <v>5</v>
      </c>
      <c r="I18" t="s">
        <v>10</v>
      </c>
      <c r="L18">
        <f>SUM(G17:G20)</f>
        <v>23</v>
      </c>
      <c r="N18" t="s">
        <v>124</v>
      </c>
      <c r="O18">
        <v>5</v>
      </c>
    </row>
    <row r="19" spans="1:32">
      <c r="A19">
        <v>19</v>
      </c>
      <c r="C19" t="s">
        <v>106</v>
      </c>
      <c r="D19" s="3">
        <v>20</v>
      </c>
      <c r="F19" t="s">
        <v>110</v>
      </c>
      <c r="G19" s="3">
        <v>7</v>
      </c>
      <c r="I19" t="s">
        <v>11</v>
      </c>
      <c r="N19" t="s">
        <v>125</v>
      </c>
      <c r="O19">
        <v>15</v>
      </c>
    </row>
    <row r="20" spans="1:32">
      <c r="A20">
        <v>20</v>
      </c>
      <c r="C20" t="s">
        <v>107</v>
      </c>
      <c r="D20" s="3">
        <v>35</v>
      </c>
      <c r="F20" t="s">
        <v>111</v>
      </c>
      <c r="G20" s="3">
        <v>8</v>
      </c>
      <c r="I20" t="s">
        <v>12</v>
      </c>
    </row>
    <row r="21" spans="1:32">
      <c r="A21">
        <v>21</v>
      </c>
      <c r="I21" t="s">
        <v>13</v>
      </c>
    </row>
    <row r="22" spans="1:32">
      <c r="A22">
        <v>22</v>
      </c>
      <c r="G22" s="3"/>
    </row>
    <row r="23" spans="1:32">
      <c r="A23">
        <v>23</v>
      </c>
      <c r="G23" s="3"/>
    </row>
    <row r="24" spans="1:32">
      <c r="A24">
        <v>24</v>
      </c>
      <c r="C24" s="4" t="s">
        <v>114</v>
      </c>
      <c r="D24" s="28">
        <f>D27+D28+D29+F27+F28+F31+F32+I27+I28+I29+I30+I31+I32+L27+L28+L29+L30+O27+O28+O29+R27+R28+R29+R30+R31+R32+U27+U28+U29+U30+U31+U32+X27+X28+AA28+AA29+AA30+AA31+AA32+AA33</f>
        <v>116</v>
      </c>
    </row>
    <row r="25" spans="1:32">
      <c r="A25">
        <v>25</v>
      </c>
    </row>
    <row r="26" spans="1:32">
      <c r="C26" s="4" t="s">
        <v>115</v>
      </c>
      <c r="E26" s="4" t="s">
        <v>52</v>
      </c>
      <c r="F26" s="4"/>
      <c r="H26" s="4" t="s">
        <v>53</v>
      </c>
      <c r="K26" s="4" t="s">
        <v>130</v>
      </c>
      <c r="N26" t="s">
        <v>131</v>
      </c>
      <c r="Q26" s="4" t="s">
        <v>95</v>
      </c>
      <c r="T26" s="4" t="s">
        <v>122</v>
      </c>
      <c r="W26" s="4" t="s">
        <v>132</v>
      </c>
      <c r="Z26" s="4" t="s">
        <v>86</v>
      </c>
      <c r="AC26" s="4" t="s">
        <v>92</v>
      </c>
      <c r="AE26" s="4" t="s">
        <v>272</v>
      </c>
      <c r="AF26" s="4"/>
    </row>
    <row r="27" spans="1:32">
      <c r="C27" t="s">
        <v>14</v>
      </c>
      <c r="D27">
        <v>1</v>
      </c>
      <c r="E27" t="s">
        <v>124</v>
      </c>
      <c r="F27">
        <v>5</v>
      </c>
      <c r="H27">
        <v>0</v>
      </c>
      <c r="I27">
        <v>0</v>
      </c>
      <c r="K27" t="s">
        <v>16</v>
      </c>
      <c r="L27">
        <v>3</v>
      </c>
      <c r="N27" t="s">
        <v>90</v>
      </c>
      <c r="O27">
        <v>5</v>
      </c>
      <c r="Q27" t="s">
        <v>96</v>
      </c>
      <c r="R27">
        <v>5</v>
      </c>
      <c r="T27" t="s">
        <v>96</v>
      </c>
      <c r="U27">
        <v>1</v>
      </c>
      <c r="W27" t="s">
        <v>124</v>
      </c>
      <c r="X27">
        <v>1</v>
      </c>
      <c r="Z27" t="s">
        <v>451</v>
      </c>
      <c r="AA27">
        <v>8</v>
      </c>
      <c r="AE27" t="s">
        <v>124</v>
      </c>
      <c r="AF27">
        <v>1</v>
      </c>
    </row>
    <row r="28" spans="1:32">
      <c r="A28">
        <v>1960</v>
      </c>
      <c r="C28" t="s">
        <v>15</v>
      </c>
      <c r="D28">
        <v>5</v>
      </c>
      <c r="E28" t="s">
        <v>125</v>
      </c>
      <c r="F28">
        <v>1</v>
      </c>
      <c r="H28">
        <v>1</v>
      </c>
      <c r="I28">
        <v>1</v>
      </c>
      <c r="K28" t="s">
        <v>17</v>
      </c>
      <c r="L28">
        <v>1</v>
      </c>
      <c r="N28" t="s">
        <v>89</v>
      </c>
      <c r="O28">
        <v>3</v>
      </c>
      <c r="Q28" t="s">
        <v>97</v>
      </c>
      <c r="R28">
        <v>4</v>
      </c>
      <c r="T28" t="s">
        <v>97</v>
      </c>
      <c r="U28">
        <v>2</v>
      </c>
      <c r="W28" t="s">
        <v>125</v>
      </c>
      <c r="X28">
        <v>5</v>
      </c>
      <c r="Z28" t="s">
        <v>452</v>
      </c>
      <c r="AA28">
        <v>5</v>
      </c>
      <c r="AE28" t="s">
        <v>125</v>
      </c>
      <c r="AF28">
        <v>5</v>
      </c>
    </row>
    <row r="29" spans="1:32">
      <c r="A29">
        <v>1961</v>
      </c>
      <c r="C29" t="s">
        <v>56</v>
      </c>
      <c r="D29">
        <v>3</v>
      </c>
      <c r="H29">
        <v>2</v>
      </c>
      <c r="I29">
        <v>2</v>
      </c>
      <c r="K29" t="s">
        <v>55</v>
      </c>
      <c r="L29">
        <v>5</v>
      </c>
      <c r="N29" t="s">
        <v>91</v>
      </c>
      <c r="O29">
        <v>1</v>
      </c>
      <c r="Q29" t="s">
        <v>98</v>
      </c>
      <c r="R29">
        <v>3</v>
      </c>
      <c r="T29" t="s">
        <v>98</v>
      </c>
      <c r="U29">
        <v>3</v>
      </c>
      <c r="Z29" t="s">
        <v>97</v>
      </c>
      <c r="AA29">
        <v>4</v>
      </c>
    </row>
    <row r="30" spans="1:32">
      <c r="A30">
        <v>1962</v>
      </c>
      <c r="E30" s="4" t="s">
        <v>126</v>
      </c>
      <c r="H30">
        <v>3</v>
      </c>
      <c r="I30">
        <v>3</v>
      </c>
      <c r="K30" t="s">
        <v>57</v>
      </c>
      <c r="L30">
        <v>3</v>
      </c>
      <c r="Q30" t="s">
        <v>99</v>
      </c>
      <c r="R30">
        <v>2</v>
      </c>
      <c r="T30" t="s">
        <v>99</v>
      </c>
      <c r="U30">
        <v>4</v>
      </c>
      <c r="Z30" t="s">
        <v>98</v>
      </c>
      <c r="AA30">
        <v>3</v>
      </c>
    </row>
    <row r="31" spans="1:32">
      <c r="A31">
        <v>1963</v>
      </c>
      <c r="E31" t="s">
        <v>124</v>
      </c>
      <c r="F31">
        <v>5</v>
      </c>
      <c r="H31">
        <v>4</v>
      </c>
      <c r="I31">
        <v>4</v>
      </c>
      <c r="Q31" t="s">
        <v>100</v>
      </c>
      <c r="R31">
        <v>1</v>
      </c>
      <c r="T31" t="s">
        <v>100</v>
      </c>
      <c r="U31">
        <v>5</v>
      </c>
      <c r="Z31" t="s">
        <v>99</v>
      </c>
      <c r="AA31">
        <v>2</v>
      </c>
    </row>
    <row r="32" spans="1:32">
      <c r="A32">
        <v>1964</v>
      </c>
      <c r="E32" t="s">
        <v>125</v>
      </c>
      <c r="F32">
        <v>1</v>
      </c>
      <c r="H32" s="15" t="s">
        <v>127</v>
      </c>
      <c r="I32">
        <v>5</v>
      </c>
      <c r="Q32" t="s">
        <v>101</v>
      </c>
      <c r="R32">
        <v>1</v>
      </c>
      <c r="T32" t="s">
        <v>101</v>
      </c>
      <c r="U32">
        <v>6</v>
      </c>
      <c r="Z32" t="s">
        <v>100</v>
      </c>
      <c r="AA32">
        <v>1</v>
      </c>
    </row>
    <row r="33" spans="1:29">
      <c r="A33">
        <v>1965</v>
      </c>
      <c r="Z33" t="s">
        <v>101</v>
      </c>
      <c r="AA33">
        <v>1</v>
      </c>
    </row>
    <row r="34" spans="1:29">
      <c r="A34">
        <v>1966</v>
      </c>
    </row>
    <row r="35" spans="1:29">
      <c r="A35">
        <v>1967</v>
      </c>
      <c r="C35" s="4" t="s">
        <v>28</v>
      </c>
    </row>
    <row r="36" spans="1:29">
      <c r="A36">
        <v>1968</v>
      </c>
    </row>
    <row r="37" spans="1:29">
      <c r="A37">
        <v>1969</v>
      </c>
      <c r="C37" t="s">
        <v>5</v>
      </c>
      <c r="F37" t="s">
        <v>135</v>
      </c>
      <c r="I37" t="s">
        <v>58</v>
      </c>
      <c r="L37" t="s">
        <v>93</v>
      </c>
      <c r="O37" t="s">
        <v>23</v>
      </c>
      <c r="S37" t="s">
        <v>32</v>
      </c>
      <c r="V37" t="s">
        <v>33</v>
      </c>
      <c r="Y37" t="s">
        <v>138</v>
      </c>
      <c r="AB37" t="s">
        <v>274</v>
      </c>
    </row>
    <row r="38" spans="1:29">
      <c r="A38">
        <v>1970</v>
      </c>
      <c r="C38" t="s">
        <v>134</v>
      </c>
      <c r="D38">
        <v>2</v>
      </c>
      <c r="F38" t="s">
        <v>124</v>
      </c>
      <c r="G38">
        <v>2</v>
      </c>
      <c r="I38" t="s">
        <v>124</v>
      </c>
      <c r="J38">
        <v>2</v>
      </c>
      <c r="L38" t="s">
        <v>124</v>
      </c>
      <c r="M38">
        <v>1</v>
      </c>
      <c r="O38" t="s">
        <v>18</v>
      </c>
      <c r="P38">
        <v>3</v>
      </c>
      <c r="S38" t="s">
        <v>29</v>
      </c>
      <c r="V38" t="s">
        <v>124</v>
      </c>
      <c r="W38">
        <v>2</v>
      </c>
      <c r="Y38" t="s">
        <v>124</v>
      </c>
      <c r="Z38">
        <v>2</v>
      </c>
      <c r="AB38" t="s">
        <v>124</v>
      </c>
      <c r="AC38">
        <v>1</v>
      </c>
    </row>
    <row r="39" spans="1:29">
      <c r="A39">
        <v>1971</v>
      </c>
      <c r="C39" t="s">
        <v>125</v>
      </c>
      <c r="D39">
        <v>10</v>
      </c>
      <c r="F39" t="s">
        <v>125</v>
      </c>
      <c r="G39">
        <v>10</v>
      </c>
      <c r="I39" t="s">
        <v>125</v>
      </c>
      <c r="J39">
        <v>10</v>
      </c>
      <c r="L39" t="s">
        <v>125</v>
      </c>
      <c r="M39">
        <v>10</v>
      </c>
      <c r="O39" t="s">
        <v>24</v>
      </c>
      <c r="P39">
        <v>15</v>
      </c>
      <c r="S39" t="s">
        <v>30</v>
      </c>
      <c r="V39" t="s">
        <v>125</v>
      </c>
      <c r="W39">
        <v>10</v>
      </c>
      <c r="Y39" t="s">
        <v>125</v>
      </c>
      <c r="Z39">
        <v>10</v>
      </c>
      <c r="AB39" t="s">
        <v>125</v>
      </c>
      <c r="AC39">
        <v>5</v>
      </c>
    </row>
    <row r="40" spans="1:29">
      <c r="A40">
        <v>1972</v>
      </c>
      <c r="O40" t="s">
        <v>25</v>
      </c>
      <c r="P40">
        <v>20</v>
      </c>
      <c r="S40" t="s">
        <v>20</v>
      </c>
    </row>
    <row r="41" spans="1:29">
      <c r="A41">
        <v>1973</v>
      </c>
      <c r="O41" t="s">
        <v>21</v>
      </c>
      <c r="P41">
        <v>3</v>
      </c>
      <c r="S41" t="s">
        <v>31</v>
      </c>
    </row>
    <row r="42" spans="1:29">
      <c r="A42">
        <v>1974</v>
      </c>
      <c r="O42" t="s">
        <v>19</v>
      </c>
      <c r="P42">
        <v>20</v>
      </c>
    </row>
    <row r="43" spans="1:29">
      <c r="A43">
        <v>1975</v>
      </c>
      <c r="O43" t="s">
        <v>22</v>
      </c>
      <c r="P43">
        <v>15</v>
      </c>
    </row>
    <row r="44" spans="1:29">
      <c r="A44">
        <v>1976</v>
      </c>
      <c r="O44" t="s">
        <v>26</v>
      </c>
      <c r="P44">
        <v>10</v>
      </c>
    </row>
    <row r="45" spans="1:29">
      <c r="A45">
        <v>1977</v>
      </c>
      <c r="O45" t="s">
        <v>27</v>
      </c>
      <c r="P45">
        <v>10</v>
      </c>
    </row>
    <row r="46" spans="1:29">
      <c r="A46">
        <v>1978</v>
      </c>
    </row>
    <row r="47" spans="1:29">
      <c r="A47">
        <v>1979</v>
      </c>
      <c r="C47" s="4" t="s">
        <v>43</v>
      </c>
    </row>
    <row r="48" spans="1:29">
      <c r="A48">
        <v>1980</v>
      </c>
    </row>
    <row r="49" spans="1:18">
      <c r="A49">
        <v>1981</v>
      </c>
      <c r="C49" s="4" t="s">
        <v>51</v>
      </c>
      <c r="F49" s="4" t="s">
        <v>35</v>
      </c>
      <c r="H49" s="4" t="s">
        <v>139</v>
      </c>
      <c r="K49" t="s">
        <v>37</v>
      </c>
      <c r="N49" t="s">
        <v>38</v>
      </c>
      <c r="P49" t="s">
        <v>85</v>
      </c>
      <c r="R49" t="s">
        <v>44</v>
      </c>
    </row>
    <row r="50" spans="1:18">
      <c r="A50">
        <v>1982</v>
      </c>
      <c r="C50" t="s">
        <v>88</v>
      </c>
      <c r="F50" t="s">
        <v>234</v>
      </c>
      <c r="H50" t="s">
        <v>124</v>
      </c>
      <c r="I50">
        <v>1</v>
      </c>
      <c r="K50" t="s">
        <v>124</v>
      </c>
      <c r="L50">
        <v>1</v>
      </c>
      <c r="N50" t="s">
        <v>39</v>
      </c>
      <c r="P50" t="s">
        <v>124</v>
      </c>
      <c r="R50" t="s">
        <v>124</v>
      </c>
    </row>
    <row r="51" spans="1:18">
      <c r="A51">
        <v>1983</v>
      </c>
      <c r="C51" t="s">
        <v>87</v>
      </c>
      <c r="F51" t="s">
        <v>453</v>
      </c>
      <c r="H51" t="s">
        <v>125</v>
      </c>
      <c r="I51">
        <v>5</v>
      </c>
      <c r="K51" t="s">
        <v>125</v>
      </c>
      <c r="L51">
        <v>5</v>
      </c>
      <c r="N51" t="s">
        <v>40</v>
      </c>
      <c r="P51" t="s">
        <v>125</v>
      </c>
      <c r="R51" t="s">
        <v>125</v>
      </c>
    </row>
    <row r="52" spans="1:18">
      <c r="A52">
        <v>1984</v>
      </c>
      <c r="C52" t="s">
        <v>50</v>
      </c>
      <c r="N52" t="s">
        <v>41</v>
      </c>
    </row>
    <row r="53" spans="1:18">
      <c r="A53">
        <v>1985</v>
      </c>
      <c r="C53" t="s">
        <v>48</v>
      </c>
      <c r="N53" t="s">
        <v>42</v>
      </c>
    </row>
    <row r="54" spans="1:18">
      <c r="A54">
        <v>1986</v>
      </c>
      <c r="C54" t="s">
        <v>36</v>
      </c>
      <c r="N54" t="s">
        <v>45</v>
      </c>
    </row>
    <row r="55" spans="1:18">
      <c r="A55">
        <v>1987</v>
      </c>
      <c r="C55" t="s">
        <v>49</v>
      </c>
    </row>
    <row r="56" spans="1:18">
      <c r="A56">
        <v>1988</v>
      </c>
    </row>
    <row r="57" spans="1:18">
      <c r="A57">
        <v>1989</v>
      </c>
    </row>
    <row r="58" spans="1:18">
      <c r="A58">
        <v>1990</v>
      </c>
      <c r="C58" s="4" t="s">
        <v>60</v>
      </c>
    </row>
    <row r="59" spans="1:18">
      <c r="A59">
        <v>1991</v>
      </c>
    </row>
    <row r="60" spans="1:18">
      <c r="A60">
        <v>1992</v>
      </c>
      <c r="C60" s="4" t="s">
        <v>61</v>
      </c>
      <c r="F60" t="s">
        <v>63</v>
      </c>
      <c r="J60" t="s">
        <v>62</v>
      </c>
      <c r="M60" s="4" t="s">
        <v>112</v>
      </c>
      <c r="P60" t="s">
        <v>275</v>
      </c>
    </row>
    <row r="61" spans="1:18">
      <c r="A61">
        <v>1993</v>
      </c>
      <c r="C61" t="s">
        <v>143</v>
      </c>
      <c r="D61">
        <v>5</v>
      </c>
      <c r="F61" t="s">
        <v>124</v>
      </c>
      <c r="G61">
        <v>30</v>
      </c>
      <c r="J61" t="s">
        <v>124</v>
      </c>
      <c r="K61">
        <v>1</v>
      </c>
      <c r="M61" t="s">
        <v>108</v>
      </c>
      <c r="N61" s="3">
        <v>3</v>
      </c>
      <c r="P61" t="s">
        <v>124</v>
      </c>
      <c r="Q61">
        <v>5</v>
      </c>
    </row>
    <row r="62" spans="1:18">
      <c r="A62">
        <v>1994</v>
      </c>
      <c r="C62" t="s">
        <v>144</v>
      </c>
      <c r="D62">
        <v>15</v>
      </c>
      <c r="F62" t="s">
        <v>125</v>
      </c>
      <c r="G62">
        <v>6</v>
      </c>
      <c r="J62" t="s">
        <v>125</v>
      </c>
      <c r="K62">
        <v>5</v>
      </c>
      <c r="M62" t="s">
        <v>109</v>
      </c>
      <c r="N62" s="3">
        <v>5</v>
      </c>
      <c r="P62" t="s">
        <v>125</v>
      </c>
      <c r="Q62">
        <v>9</v>
      </c>
    </row>
    <row r="63" spans="1:18">
      <c r="A63">
        <v>1995</v>
      </c>
      <c r="C63" t="s">
        <v>145</v>
      </c>
      <c r="D63">
        <v>5</v>
      </c>
      <c r="M63" t="s">
        <v>110</v>
      </c>
      <c r="N63" s="3">
        <v>7</v>
      </c>
    </row>
    <row r="64" spans="1:18">
      <c r="A64">
        <v>1996</v>
      </c>
      <c r="C64" t="s">
        <v>146</v>
      </c>
      <c r="D64">
        <v>5</v>
      </c>
      <c r="M64" t="s">
        <v>111</v>
      </c>
      <c r="N64" s="3">
        <v>8</v>
      </c>
    </row>
    <row r="65" spans="1:26">
      <c r="A65">
        <v>1997</v>
      </c>
      <c r="C65" t="s">
        <v>147</v>
      </c>
      <c r="D65">
        <v>20</v>
      </c>
    </row>
    <row r="66" spans="1:26">
      <c r="A66">
        <v>1998</v>
      </c>
      <c r="C66" t="s">
        <v>148</v>
      </c>
      <c r="D66">
        <v>40</v>
      </c>
    </row>
    <row r="67" spans="1:26">
      <c r="A67">
        <v>1999</v>
      </c>
      <c r="C67" t="s">
        <v>149</v>
      </c>
      <c r="D67">
        <v>15</v>
      </c>
    </row>
    <row r="68" spans="1:26">
      <c r="A68">
        <v>2000</v>
      </c>
      <c r="C68" t="s">
        <v>150</v>
      </c>
      <c r="D68">
        <v>40</v>
      </c>
    </row>
    <row r="69" spans="1:26">
      <c r="A69">
        <v>2001</v>
      </c>
    </row>
    <row r="70" spans="1:26">
      <c r="A70">
        <v>2002</v>
      </c>
    </row>
    <row r="71" spans="1:26">
      <c r="A71">
        <v>2003</v>
      </c>
      <c r="C71" t="s">
        <v>204</v>
      </c>
      <c r="F71" s="4" t="s">
        <v>205</v>
      </c>
      <c r="I71" s="19" t="s">
        <v>72</v>
      </c>
      <c r="L71" t="s">
        <v>73</v>
      </c>
      <c r="P71" t="s">
        <v>74</v>
      </c>
      <c r="U71" t="s">
        <v>219</v>
      </c>
      <c r="Y71" t="s">
        <v>276</v>
      </c>
    </row>
    <row r="72" spans="1:26">
      <c r="A72">
        <v>2004</v>
      </c>
      <c r="F72" t="s">
        <v>206</v>
      </c>
      <c r="G72">
        <v>3</v>
      </c>
      <c r="I72" t="s">
        <v>67</v>
      </c>
      <c r="J72">
        <v>3</v>
      </c>
      <c r="L72" t="s">
        <v>124</v>
      </c>
      <c r="M72">
        <v>5</v>
      </c>
      <c r="P72" t="s">
        <v>124</v>
      </c>
      <c r="Q72">
        <v>1</v>
      </c>
      <c r="U72" t="s">
        <v>124</v>
      </c>
      <c r="V72">
        <v>20</v>
      </c>
      <c r="Y72" t="s">
        <v>124</v>
      </c>
      <c r="Z72">
        <v>4</v>
      </c>
    </row>
    <row r="73" spans="1:26">
      <c r="A73">
        <v>2005</v>
      </c>
      <c r="F73" t="s">
        <v>207</v>
      </c>
      <c r="G73">
        <v>20</v>
      </c>
      <c r="I73" t="s">
        <v>68</v>
      </c>
      <c r="J73">
        <v>7</v>
      </c>
      <c r="L73" t="s">
        <v>125</v>
      </c>
      <c r="M73">
        <v>1</v>
      </c>
      <c r="P73" t="s">
        <v>125</v>
      </c>
      <c r="Q73">
        <v>3</v>
      </c>
      <c r="U73" t="s">
        <v>125</v>
      </c>
      <c r="V73">
        <v>3</v>
      </c>
      <c r="Y73" t="s">
        <v>125</v>
      </c>
      <c r="Z73">
        <v>19</v>
      </c>
    </row>
    <row r="74" spans="1:26">
      <c r="A74">
        <v>2006</v>
      </c>
      <c r="I74" t="s">
        <v>69</v>
      </c>
      <c r="J74">
        <v>10</v>
      </c>
    </row>
    <row r="75" spans="1:26">
      <c r="A75">
        <v>2007</v>
      </c>
      <c r="I75" t="s">
        <v>71</v>
      </c>
      <c r="J75">
        <v>15</v>
      </c>
    </row>
    <row r="76" spans="1:26">
      <c r="A76">
        <v>2008</v>
      </c>
      <c r="I76" t="s">
        <v>70</v>
      </c>
      <c r="J76">
        <v>20</v>
      </c>
    </row>
    <row r="77" spans="1:26">
      <c r="A77">
        <v>2009</v>
      </c>
    </row>
    <row r="78" spans="1:26">
      <c r="A78">
        <v>2010</v>
      </c>
    </row>
    <row r="79" spans="1:26">
      <c r="A79">
        <v>2011</v>
      </c>
    </row>
    <row r="80" spans="1:26">
      <c r="A80">
        <v>2012</v>
      </c>
    </row>
    <row r="81" spans="1:1">
      <c r="A81">
        <v>2013</v>
      </c>
    </row>
    <row r="82" spans="1:1">
      <c r="A82">
        <v>2014</v>
      </c>
    </row>
    <row r="83" spans="1:1">
      <c r="A83">
        <v>2015</v>
      </c>
    </row>
    <row r="84" spans="1:1">
      <c r="A84">
        <v>2016</v>
      </c>
    </row>
    <row r="85" spans="1:1">
      <c r="A85">
        <v>2017</v>
      </c>
    </row>
    <row r="86" spans="1:1">
      <c r="A86">
        <v>2018</v>
      </c>
    </row>
    <row r="87" spans="1:1">
      <c r="A87">
        <v>2019</v>
      </c>
    </row>
    <row r="89" spans="1:1">
      <c r="A89" t="s">
        <v>151</v>
      </c>
    </row>
    <row r="90" spans="1:1">
      <c r="A90" t="s">
        <v>152</v>
      </c>
    </row>
    <row r="91" spans="1:1">
      <c r="A91" t="s">
        <v>153</v>
      </c>
    </row>
    <row r="92" spans="1:1">
      <c r="A92" t="s">
        <v>154</v>
      </c>
    </row>
    <row r="93" spans="1:1">
      <c r="A93" t="s">
        <v>155</v>
      </c>
    </row>
    <row r="94" spans="1:1">
      <c r="A94" t="s">
        <v>156</v>
      </c>
    </row>
    <row r="95" spans="1:1">
      <c r="A95" t="s">
        <v>157</v>
      </c>
    </row>
    <row r="96" spans="1:1">
      <c r="A96" t="s">
        <v>158</v>
      </c>
    </row>
    <row r="97" spans="1:3">
      <c r="A97" t="s">
        <v>159</v>
      </c>
    </row>
    <row r="98" spans="1:3">
      <c r="A98" t="s">
        <v>160</v>
      </c>
    </row>
    <row r="99" spans="1:3">
      <c r="A99" t="s">
        <v>161</v>
      </c>
    </row>
    <row r="100" spans="1:3">
      <c r="A100" t="s">
        <v>162</v>
      </c>
    </row>
    <row r="101" spans="1:3">
      <c r="A101" t="s">
        <v>163</v>
      </c>
    </row>
    <row r="102" spans="1:3">
      <c r="A102" t="s">
        <v>164</v>
      </c>
    </row>
    <row r="103" spans="1:3">
      <c r="A103" t="s">
        <v>165</v>
      </c>
    </row>
    <row r="104" spans="1:3">
      <c r="A104" t="s">
        <v>166</v>
      </c>
    </row>
    <row r="105" spans="1:3">
      <c r="A105" t="s">
        <v>167</v>
      </c>
    </row>
    <row r="106" spans="1:3">
      <c r="A106" t="s">
        <v>168</v>
      </c>
    </row>
    <row r="107" spans="1:3">
      <c r="A107" t="s">
        <v>169</v>
      </c>
    </row>
    <row r="108" spans="1:3">
      <c r="A108" t="s">
        <v>170</v>
      </c>
    </row>
    <row r="109" spans="1:3">
      <c r="A109" t="s">
        <v>171</v>
      </c>
    </row>
    <row r="110" spans="1:3">
      <c r="A110" t="s">
        <v>172</v>
      </c>
    </row>
    <row r="112" spans="1:3">
      <c r="A112" s="17" t="s">
        <v>184</v>
      </c>
      <c r="B112">
        <v>20</v>
      </c>
      <c r="C112">
        <v>3</v>
      </c>
    </row>
    <row r="113" spans="1:3">
      <c r="A113" s="17" t="s">
        <v>195</v>
      </c>
      <c r="B113">
        <v>20</v>
      </c>
      <c r="C113">
        <v>3</v>
      </c>
    </row>
    <row r="114" spans="1:3">
      <c r="A114" s="17" t="s">
        <v>197</v>
      </c>
      <c r="B114">
        <v>20</v>
      </c>
      <c r="C114">
        <v>3</v>
      </c>
    </row>
    <row r="115" spans="1:3">
      <c r="A115" s="17" t="s">
        <v>191</v>
      </c>
      <c r="B115">
        <v>20</v>
      </c>
      <c r="C115">
        <v>3</v>
      </c>
    </row>
    <row r="116" spans="1:3">
      <c r="A116" s="17" t="s">
        <v>189</v>
      </c>
      <c r="B116">
        <v>5</v>
      </c>
      <c r="C116">
        <v>0.5</v>
      </c>
    </row>
    <row r="117" spans="1:3">
      <c r="A117" s="17" t="s">
        <v>192</v>
      </c>
      <c r="B117">
        <v>15</v>
      </c>
      <c r="C117">
        <v>2</v>
      </c>
    </row>
    <row r="118" spans="1:3">
      <c r="A118" s="18" t="s">
        <v>193</v>
      </c>
      <c r="B118">
        <v>10</v>
      </c>
      <c r="C118">
        <v>1</v>
      </c>
    </row>
    <row r="119" spans="1:3">
      <c r="A119" s="17" t="s">
        <v>185</v>
      </c>
      <c r="B119">
        <v>20</v>
      </c>
      <c r="C119">
        <v>3</v>
      </c>
    </row>
    <row r="120" spans="1:3">
      <c r="A120" s="17" t="s">
        <v>188</v>
      </c>
      <c r="B120">
        <v>20</v>
      </c>
      <c r="C120">
        <v>3</v>
      </c>
    </row>
    <row r="121" spans="1:3">
      <c r="A121" s="17" t="s">
        <v>190</v>
      </c>
      <c r="B121">
        <v>10</v>
      </c>
      <c r="C121">
        <v>1</v>
      </c>
    </row>
    <row r="122" spans="1:3">
      <c r="A122" s="17" t="s">
        <v>194</v>
      </c>
      <c r="B122">
        <v>10</v>
      </c>
      <c r="C122">
        <v>1</v>
      </c>
    </row>
    <row r="123" spans="1:3">
      <c r="A123" s="17" t="s">
        <v>183</v>
      </c>
      <c r="B123">
        <v>10</v>
      </c>
      <c r="C123">
        <v>1</v>
      </c>
    </row>
    <row r="124" spans="1:3">
      <c r="A124" s="17" t="s">
        <v>174</v>
      </c>
      <c r="B124">
        <v>5</v>
      </c>
      <c r="C124">
        <v>0.5</v>
      </c>
    </row>
    <row r="125" spans="1:3">
      <c r="A125" s="17" t="s">
        <v>180</v>
      </c>
      <c r="B125">
        <v>5</v>
      </c>
      <c r="C125">
        <v>0.5</v>
      </c>
    </row>
    <row r="126" spans="1:3">
      <c r="A126" s="17" t="s">
        <v>179</v>
      </c>
      <c r="B126">
        <v>5</v>
      </c>
      <c r="C126">
        <v>0.5</v>
      </c>
    </row>
    <row r="127" spans="1:3">
      <c r="A127" s="18" t="s">
        <v>182</v>
      </c>
      <c r="B127">
        <v>5</v>
      </c>
      <c r="C127">
        <v>0.5</v>
      </c>
    </row>
    <row r="128" spans="1:3">
      <c r="A128" s="17" t="s">
        <v>186</v>
      </c>
      <c r="B128">
        <v>20</v>
      </c>
      <c r="C128">
        <v>3</v>
      </c>
    </row>
    <row r="129" spans="1:3">
      <c r="A129" s="17" t="s">
        <v>201</v>
      </c>
      <c r="B129">
        <v>15</v>
      </c>
      <c r="C129">
        <v>2</v>
      </c>
    </row>
    <row r="130" spans="1:3">
      <c r="A130" s="17" t="s">
        <v>187</v>
      </c>
      <c r="B130">
        <v>20</v>
      </c>
      <c r="C130">
        <v>3</v>
      </c>
    </row>
    <row r="131" spans="1:3">
      <c r="A131" s="17" t="s">
        <v>176</v>
      </c>
      <c r="B131">
        <v>5</v>
      </c>
      <c r="C131">
        <v>0.5</v>
      </c>
    </row>
    <row r="132" spans="1:3">
      <c r="A132" s="17" t="s">
        <v>196</v>
      </c>
      <c r="B132">
        <v>20</v>
      </c>
      <c r="C132">
        <v>3</v>
      </c>
    </row>
    <row r="133" spans="1:3">
      <c r="A133" s="17" t="s">
        <v>202</v>
      </c>
      <c r="B133">
        <v>15</v>
      </c>
      <c r="C133">
        <v>2</v>
      </c>
    </row>
    <row r="134" spans="1:3">
      <c r="A134" s="17" t="s">
        <v>178</v>
      </c>
      <c r="B134">
        <v>5</v>
      </c>
      <c r="C134">
        <v>0.5</v>
      </c>
    </row>
    <row r="135" spans="1:3">
      <c r="A135" s="17" t="s">
        <v>177</v>
      </c>
      <c r="B135">
        <v>5</v>
      </c>
      <c r="C135">
        <v>0.5</v>
      </c>
    </row>
    <row r="136" spans="1:3">
      <c r="A136" s="17" t="s">
        <v>198</v>
      </c>
      <c r="B136">
        <v>20</v>
      </c>
      <c r="C136">
        <v>3</v>
      </c>
    </row>
    <row r="137" spans="1:3">
      <c r="A137" s="17" t="s">
        <v>181</v>
      </c>
      <c r="B137">
        <v>20</v>
      </c>
      <c r="C137">
        <v>3</v>
      </c>
    </row>
    <row r="138" spans="1:3">
      <c r="A138" s="17" t="s">
        <v>200</v>
      </c>
      <c r="B138">
        <v>20</v>
      </c>
      <c r="C138">
        <v>3</v>
      </c>
    </row>
    <row r="139" spans="1:3">
      <c r="A139" s="17" t="s">
        <v>175</v>
      </c>
      <c r="B139">
        <v>5</v>
      </c>
      <c r="C139">
        <v>0.5</v>
      </c>
    </row>
    <row r="140" spans="1:3">
      <c r="A140" s="17" t="s">
        <v>173</v>
      </c>
      <c r="B140">
        <v>5</v>
      </c>
      <c r="C140">
        <v>0.5</v>
      </c>
    </row>
    <row r="141" spans="1:3">
      <c r="A141" s="18" t="s">
        <v>199</v>
      </c>
      <c r="B141">
        <v>20</v>
      </c>
      <c r="C141">
        <v>3</v>
      </c>
    </row>
    <row r="142" spans="1:3">
      <c r="A142" s="17" t="s">
        <v>203</v>
      </c>
      <c r="B142">
        <v>20</v>
      </c>
      <c r="C142">
        <v>3</v>
      </c>
    </row>
    <row r="143" spans="1:3">
      <c r="A143" s="17"/>
    </row>
    <row r="144" spans="1:3">
      <c r="A144" s="2" t="s">
        <v>75</v>
      </c>
    </row>
    <row r="145" spans="1:3">
      <c r="A145" s="2" t="s">
        <v>76</v>
      </c>
    </row>
    <row r="146" spans="1:3">
      <c r="A146" s="2" t="s">
        <v>77</v>
      </c>
    </row>
    <row r="147" spans="1:3">
      <c r="A147" s="2" t="s">
        <v>78</v>
      </c>
    </row>
    <row r="148" spans="1:3">
      <c r="A148" s="2" t="s">
        <v>80</v>
      </c>
    </row>
    <row r="149" spans="1:3">
      <c r="A149" s="2" t="s">
        <v>81</v>
      </c>
    </row>
    <row r="150" spans="1:3">
      <c r="A150" s="2" t="s">
        <v>82</v>
      </c>
    </row>
    <row r="151" spans="1:3">
      <c r="A151" s="2" t="s">
        <v>79</v>
      </c>
    </row>
    <row r="152" spans="1:3">
      <c r="A152" s="2" t="s">
        <v>83</v>
      </c>
    </row>
    <row r="154" spans="1:3">
      <c r="A154">
        <v>2021</v>
      </c>
      <c r="B154">
        <v>3</v>
      </c>
      <c r="C154">
        <v>0.5</v>
      </c>
    </row>
    <row r="155" spans="1:3">
      <c r="A155">
        <v>2020</v>
      </c>
      <c r="B155">
        <v>3</v>
      </c>
      <c r="C155">
        <v>0.5</v>
      </c>
    </row>
    <row r="156" spans="1:3">
      <c r="A156">
        <v>2019</v>
      </c>
      <c r="B156">
        <v>3</v>
      </c>
      <c r="C156">
        <v>0.5</v>
      </c>
    </row>
    <row r="157" spans="1:3">
      <c r="A157">
        <v>2018</v>
      </c>
      <c r="B157">
        <v>7</v>
      </c>
      <c r="C157">
        <v>1</v>
      </c>
    </row>
    <row r="158" spans="1:3">
      <c r="A158">
        <v>2017</v>
      </c>
      <c r="B158">
        <v>7</v>
      </c>
      <c r="C158">
        <v>1</v>
      </c>
    </row>
    <row r="159" spans="1:3">
      <c r="A159">
        <v>2016</v>
      </c>
      <c r="B159">
        <v>7</v>
      </c>
      <c r="C159">
        <v>1</v>
      </c>
    </row>
    <row r="160" spans="1:3">
      <c r="A160">
        <v>2015</v>
      </c>
      <c r="B160">
        <v>7</v>
      </c>
      <c r="C160">
        <v>1</v>
      </c>
    </row>
    <row r="161" spans="1:3">
      <c r="A161">
        <v>2014</v>
      </c>
      <c r="B161">
        <v>10</v>
      </c>
      <c r="C161">
        <v>1.5</v>
      </c>
    </row>
    <row r="162" spans="1:3">
      <c r="A162">
        <v>2013</v>
      </c>
      <c r="B162">
        <v>10</v>
      </c>
      <c r="C162">
        <v>1.5</v>
      </c>
    </row>
    <row r="163" spans="1:3">
      <c r="A163">
        <v>2012</v>
      </c>
      <c r="B163">
        <v>10</v>
      </c>
      <c r="C163">
        <v>1.5</v>
      </c>
    </row>
    <row r="164" spans="1:3">
      <c r="A164">
        <v>2011</v>
      </c>
      <c r="B164">
        <v>10</v>
      </c>
      <c r="C164">
        <v>1.5</v>
      </c>
    </row>
    <row r="165" spans="1:3">
      <c r="A165">
        <v>2010</v>
      </c>
      <c r="B165">
        <v>10</v>
      </c>
      <c r="C165">
        <v>1.5</v>
      </c>
    </row>
    <row r="166" spans="1:3">
      <c r="A166">
        <v>2009</v>
      </c>
      <c r="B166">
        <v>15</v>
      </c>
      <c r="C166">
        <v>1.5</v>
      </c>
    </row>
    <row r="167" spans="1:3">
      <c r="A167">
        <v>2008</v>
      </c>
      <c r="B167">
        <v>15</v>
      </c>
      <c r="C167">
        <v>1.5</v>
      </c>
    </row>
    <row r="168" spans="1:3">
      <c r="A168">
        <v>2007</v>
      </c>
      <c r="B168">
        <v>15</v>
      </c>
      <c r="C168">
        <v>1.5</v>
      </c>
    </row>
    <row r="169" spans="1:3">
      <c r="A169">
        <v>2006</v>
      </c>
      <c r="B169">
        <v>15</v>
      </c>
      <c r="C169">
        <v>1.5</v>
      </c>
    </row>
    <row r="170" spans="1:3">
      <c r="A170">
        <v>2005</v>
      </c>
      <c r="B170">
        <v>15</v>
      </c>
      <c r="C170">
        <v>1.5</v>
      </c>
    </row>
    <row r="171" spans="1:3">
      <c r="A171">
        <v>2004</v>
      </c>
      <c r="B171">
        <v>20</v>
      </c>
      <c r="C171">
        <v>2</v>
      </c>
    </row>
    <row r="172" spans="1:3">
      <c r="A172">
        <v>2003</v>
      </c>
      <c r="B172">
        <v>20</v>
      </c>
      <c r="C172">
        <v>2</v>
      </c>
    </row>
    <row r="173" spans="1:3">
      <c r="A173">
        <v>2002</v>
      </c>
      <c r="B173">
        <v>20</v>
      </c>
      <c r="C173">
        <v>2</v>
      </c>
    </row>
    <row r="174" spans="1:3">
      <c r="A174">
        <v>2001</v>
      </c>
      <c r="B174">
        <v>20</v>
      </c>
      <c r="C174">
        <v>2</v>
      </c>
    </row>
    <row r="175" spans="1:3">
      <c r="A175">
        <v>2000</v>
      </c>
      <c r="B175">
        <v>20</v>
      </c>
      <c r="C175">
        <v>2</v>
      </c>
    </row>
    <row r="178" spans="1:5">
      <c r="A178" s="371" t="s">
        <v>234</v>
      </c>
      <c r="B178" s="371"/>
      <c r="D178" s="371" t="s">
        <v>123</v>
      </c>
      <c r="E178" s="371"/>
    </row>
    <row r="179" spans="1:5">
      <c r="A179" t="s">
        <v>244</v>
      </c>
      <c r="B179">
        <v>5</v>
      </c>
      <c r="D179" t="s">
        <v>244</v>
      </c>
      <c r="E179">
        <v>5</v>
      </c>
    </row>
    <row r="180" spans="1:5">
      <c r="A180" t="s">
        <v>245</v>
      </c>
      <c r="B180">
        <v>20</v>
      </c>
      <c r="D180" t="s">
        <v>245</v>
      </c>
      <c r="E180">
        <v>15</v>
      </c>
    </row>
    <row r="181" spans="1:5">
      <c r="A181" t="s">
        <v>246</v>
      </c>
      <c r="B181">
        <v>5</v>
      </c>
      <c r="D181" t="s">
        <v>246</v>
      </c>
      <c r="E181">
        <v>5</v>
      </c>
    </row>
    <row r="182" spans="1:5">
      <c r="A182" t="s">
        <v>247</v>
      </c>
      <c r="B182">
        <v>40</v>
      </c>
      <c r="D182" t="s">
        <v>247</v>
      </c>
      <c r="E182">
        <v>35</v>
      </c>
    </row>
    <row r="183" spans="1:5">
      <c r="A183" t="s">
        <v>248</v>
      </c>
      <c r="B183">
        <v>40</v>
      </c>
      <c r="D183" t="s">
        <v>248</v>
      </c>
      <c r="E183">
        <v>35</v>
      </c>
    </row>
    <row r="184" spans="1:5">
      <c r="A184" t="s">
        <v>249</v>
      </c>
      <c r="B184">
        <v>40</v>
      </c>
      <c r="D184" t="s">
        <v>249</v>
      </c>
      <c r="E184">
        <v>35</v>
      </c>
    </row>
    <row r="185" spans="1:5">
      <c r="A185" t="s">
        <v>250</v>
      </c>
      <c r="B185">
        <v>40</v>
      </c>
      <c r="D185" t="s">
        <v>250</v>
      </c>
      <c r="E185">
        <v>35</v>
      </c>
    </row>
    <row r="186" spans="1:5">
      <c r="A186" t="s">
        <v>251</v>
      </c>
      <c r="B186">
        <v>10</v>
      </c>
      <c r="D186" t="s">
        <v>251</v>
      </c>
      <c r="E186">
        <v>10</v>
      </c>
    </row>
    <row r="187" spans="1:5">
      <c r="A187" t="s">
        <v>252</v>
      </c>
      <c r="B187">
        <v>30</v>
      </c>
      <c r="D187" t="s">
        <v>252</v>
      </c>
      <c r="E187">
        <v>25</v>
      </c>
    </row>
    <row r="188" spans="1:5">
      <c r="A188" t="s">
        <v>253</v>
      </c>
      <c r="B188">
        <v>30</v>
      </c>
      <c r="D188" t="s">
        <v>253</v>
      </c>
      <c r="E188">
        <v>25</v>
      </c>
    </row>
    <row r="189" spans="1:5">
      <c r="A189" t="s">
        <v>254</v>
      </c>
      <c r="B189">
        <v>30</v>
      </c>
      <c r="D189" t="s">
        <v>254</v>
      </c>
      <c r="E189">
        <v>25</v>
      </c>
    </row>
    <row r="190" spans="1:5">
      <c r="A190" t="s">
        <v>255</v>
      </c>
      <c r="B190">
        <v>30</v>
      </c>
      <c r="D190" t="s">
        <v>255</v>
      </c>
      <c r="E190">
        <v>25</v>
      </c>
    </row>
    <row r="191" spans="1:5">
      <c r="A191" t="s">
        <v>256</v>
      </c>
      <c r="B191">
        <v>5</v>
      </c>
      <c r="D191" t="s">
        <v>256</v>
      </c>
      <c r="E191">
        <v>5</v>
      </c>
    </row>
    <row r="192" spans="1:5">
      <c r="A192" t="s">
        <v>257</v>
      </c>
      <c r="B192">
        <v>20</v>
      </c>
      <c r="D192" t="s">
        <v>257</v>
      </c>
      <c r="E192">
        <v>15</v>
      </c>
    </row>
    <row r="193" spans="1:5">
      <c r="A193" t="s">
        <v>258</v>
      </c>
      <c r="B193">
        <v>20</v>
      </c>
      <c r="D193" t="s">
        <v>258</v>
      </c>
      <c r="E193">
        <v>15</v>
      </c>
    </row>
    <row r="194" spans="1:5">
      <c r="A194" t="s">
        <v>259</v>
      </c>
      <c r="B194">
        <v>20</v>
      </c>
      <c r="D194" t="s">
        <v>259</v>
      </c>
      <c r="E194">
        <v>15</v>
      </c>
    </row>
    <row r="195" spans="1:5">
      <c r="A195" t="s">
        <v>260</v>
      </c>
      <c r="B195">
        <v>20</v>
      </c>
      <c r="D195" t="s">
        <v>260</v>
      </c>
      <c r="E195">
        <v>15</v>
      </c>
    </row>
  </sheetData>
  <sortState ref="A155:A175">
    <sortCondition descending="1" ref="A154"/>
  </sortState>
  <mergeCells count="3">
    <mergeCell ref="N17:O17"/>
    <mergeCell ref="D178:E178"/>
    <mergeCell ref="A178:B178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2:CZ53"/>
  <sheetViews>
    <sheetView showGridLines="0" topLeftCell="A11" zoomScaleNormal="100" zoomScaleSheetLayoutView="115" workbookViewId="0">
      <selection activeCell="AO23" sqref="AO23:AS23"/>
    </sheetView>
  </sheetViews>
  <sheetFormatPr baseColWidth="10" defaultRowHeight="15"/>
  <cols>
    <col min="1" max="19" width="1.7109375" customWidth="1"/>
    <col min="20" max="20" width="5.85546875" customWidth="1"/>
    <col min="21" max="115" width="1.7109375" customWidth="1"/>
  </cols>
  <sheetData>
    <row r="2" spans="2:104">
      <c r="J2" s="531" t="s">
        <v>116</v>
      </c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  <c r="AM2" s="531"/>
      <c r="AN2" s="531"/>
      <c r="AO2" s="531"/>
      <c r="AP2" s="531"/>
      <c r="AQ2" s="531"/>
      <c r="AR2" s="531"/>
      <c r="AS2" s="531"/>
      <c r="AT2" s="531"/>
      <c r="AU2" s="531"/>
      <c r="AV2" s="531"/>
      <c r="AW2" s="531"/>
      <c r="AX2" s="531"/>
      <c r="AY2" s="531"/>
      <c r="AZ2" s="531"/>
      <c r="BA2" s="531"/>
      <c r="BB2" s="531"/>
      <c r="BC2" s="531"/>
      <c r="BD2" s="531"/>
      <c r="BE2" s="531"/>
      <c r="BF2" s="531"/>
      <c r="BG2" s="531"/>
    </row>
    <row r="3" spans="2:104"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1"/>
      <c r="AB3" s="531"/>
      <c r="AC3" s="531"/>
      <c r="AD3" s="531"/>
      <c r="AE3" s="531"/>
      <c r="AF3" s="531"/>
      <c r="AG3" s="531"/>
      <c r="AH3" s="531"/>
      <c r="AI3" s="531"/>
      <c r="AJ3" s="531"/>
      <c r="AK3" s="531"/>
      <c r="AL3" s="531"/>
      <c r="AM3" s="531"/>
      <c r="AN3" s="531"/>
      <c r="AO3" s="531"/>
      <c r="AP3" s="531"/>
      <c r="AQ3" s="531"/>
      <c r="AR3" s="531"/>
      <c r="AS3" s="531"/>
      <c r="AT3" s="531"/>
      <c r="AU3" s="531"/>
      <c r="AV3" s="531"/>
      <c r="AW3" s="531"/>
      <c r="AX3" s="531"/>
      <c r="AY3" s="531"/>
      <c r="AZ3" s="531"/>
      <c r="BA3" s="531"/>
      <c r="BB3" s="531"/>
      <c r="BC3" s="531"/>
      <c r="BD3" s="531"/>
      <c r="BE3" s="531"/>
      <c r="BF3" s="531"/>
      <c r="BG3" s="531"/>
    </row>
    <row r="4" spans="2:104">
      <c r="J4" s="531"/>
      <c r="K4" s="531"/>
      <c r="L4" s="531"/>
      <c r="M4" s="531"/>
      <c r="N4" s="531"/>
      <c r="O4" s="531"/>
      <c r="P4" s="531"/>
      <c r="Q4" s="531"/>
      <c r="R4" s="531"/>
      <c r="S4" s="531"/>
      <c r="T4" s="531"/>
      <c r="U4" s="531"/>
      <c r="V4" s="531"/>
      <c r="W4" s="531"/>
      <c r="X4" s="531"/>
      <c r="Y4" s="531"/>
      <c r="Z4" s="531"/>
      <c r="AA4" s="531"/>
      <c r="AB4" s="531"/>
      <c r="AC4" s="531"/>
      <c r="AD4" s="531"/>
      <c r="AE4" s="531"/>
      <c r="AF4" s="531"/>
      <c r="AG4" s="531"/>
      <c r="AH4" s="531"/>
      <c r="AI4" s="531"/>
      <c r="AJ4" s="531"/>
      <c r="AK4" s="531"/>
      <c r="AL4" s="531"/>
      <c r="AM4" s="531"/>
      <c r="AN4" s="531"/>
      <c r="AO4" s="531"/>
      <c r="AP4" s="531"/>
      <c r="AQ4" s="531"/>
      <c r="AR4" s="531"/>
      <c r="AS4" s="531"/>
      <c r="AT4" s="531"/>
      <c r="AU4" s="531"/>
      <c r="AV4" s="531"/>
      <c r="AW4" s="531"/>
      <c r="AX4" s="531"/>
      <c r="AY4" s="531"/>
      <c r="AZ4" s="531"/>
      <c r="BA4" s="531"/>
      <c r="BB4" s="531"/>
      <c r="BC4" s="531"/>
      <c r="BD4" s="531"/>
      <c r="BE4" s="531"/>
      <c r="BF4" s="531"/>
      <c r="BG4" s="531"/>
    </row>
    <row r="5" spans="2:104"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1"/>
      <c r="AB5" s="531"/>
      <c r="AC5" s="531"/>
      <c r="AD5" s="531"/>
      <c r="AE5" s="531"/>
      <c r="AF5" s="531"/>
      <c r="AG5" s="531"/>
      <c r="AH5" s="531"/>
      <c r="AI5" s="531"/>
      <c r="AJ5" s="531"/>
      <c r="AK5" s="531"/>
      <c r="AL5" s="531"/>
      <c r="AM5" s="531"/>
      <c r="AN5" s="531"/>
      <c r="AO5" s="531"/>
      <c r="AP5" s="531"/>
      <c r="AQ5" s="531"/>
      <c r="AR5" s="531"/>
      <c r="AS5" s="531"/>
      <c r="AT5" s="531"/>
      <c r="AU5" s="531"/>
      <c r="AV5" s="531"/>
      <c r="AW5" s="531"/>
      <c r="AX5" s="531"/>
      <c r="AY5" s="531"/>
      <c r="AZ5" s="531"/>
      <c r="BA5" s="531"/>
      <c r="BB5" s="531"/>
      <c r="BC5" s="531"/>
      <c r="BD5" s="531"/>
      <c r="BE5" s="531"/>
      <c r="BF5" s="531"/>
      <c r="BG5" s="531"/>
    </row>
    <row r="7" spans="2:104">
      <c r="B7" t="s">
        <v>117</v>
      </c>
      <c r="G7" s="532"/>
      <c r="H7" s="532"/>
      <c r="I7" s="532"/>
      <c r="J7" s="532"/>
      <c r="K7" s="532"/>
      <c r="L7" s="532"/>
      <c r="M7" s="532"/>
      <c r="N7" s="532"/>
      <c r="O7" s="532"/>
      <c r="P7" s="532"/>
      <c r="Q7" s="532"/>
      <c r="R7" s="532"/>
      <c r="S7" s="532"/>
      <c r="T7" s="532"/>
      <c r="U7" s="532"/>
      <c r="V7" s="532"/>
      <c r="W7" s="532"/>
      <c r="X7" s="532"/>
      <c r="Y7" s="532"/>
      <c r="Z7" s="532"/>
      <c r="AA7" s="532"/>
      <c r="AB7" s="532"/>
      <c r="AC7" s="532"/>
      <c r="AD7" s="532"/>
      <c r="AE7" s="532"/>
      <c r="AF7" s="532"/>
      <c r="AG7" s="532"/>
      <c r="AH7" s="532"/>
      <c r="AI7" s="532"/>
      <c r="AJ7" s="532"/>
    </row>
    <row r="8" spans="2:104">
      <c r="B8" t="s">
        <v>118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V8" t="s">
        <v>119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104" ht="15.75" thickBot="1">
      <c r="AT9" s="544" t="s">
        <v>270</v>
      </c>
      <c r="AU9" s="544"/>
      <c r="AV9" s="544"/>
      <c r="AW9" s="544"/>
      <c r="AX9" s="544"/>
      <c r="AY9" s="544" t="s">
        <v>271</v>
      </c>
      <c r="AZ9" s="544"/>
      <c r="BA9" s="544"/>
      <c r="BB9" s="544"/>
      <c r="BC9" s="544"/>
    </row>
    <row r="10" spans="2:104">
      <c r="B10" s="533" t="s">
        <v>120</v>
      </c>
      <c r="C10" s="534"/>
      <c r="D10" s="534"/>
      <c r="E10" s="534"/>
      <c r="F10" s="534"/>
      <c r="G10" s="534"/>
      <c r="H10" s="534"/>
      <c r="I10" s="534"/>
      <c r="J10" s="534"/>
      <c r="K10" s="534"/>
      <c r="L10" s="534"/>
      <c r="M10" s="534"/>
      <c r="N10" s="534"/>
      <c r="O10" s="534"/>
      <c r="P10" s="534"/>
      <c r="Q10" s="534"/>
      <c r="R10" s="534"/>
      <c r="S10" s="534"/>
      <c r="T10" s="534"/>
      <c r="U10" s="534"/>
      <c r="V10" s="533">
        <f>FORMULARIO!K9</f>
        <v>0</v>
      </c>
      <c r="W10" s="534"/>
      <c r="X10" s="534"/>
      <c r="Y10" s="534"/>
      <c r="Z10" s="534"/>
      <c r="AA10" s="534"/>
      <c r="AB10" s="534"/>
      <c r="AC10" s="534"/>
      <c r="AD10" s="534"/>
      <c r="AE10" s="534"/>
      <c r="AF10" s="534"/>
      <c r="AG10" s="534"/>
      <c r="AH10" s="534"/>
      <c r="AI10" s="534"/>
      <c r="AJ10" s="534"/>
      <c r="AK10" s="534"/>
      <c r="AL10" s="534"/>
      <c r="AM10" s="534"/>
      <c r="AN10" s="535"/>
      <c r="AO10" s="544">
        <f>IFERROR(VLOOKUP(V10,'Datos - analisis garantia'!C17:D20,2,FALSE),0)</f>
        <v>0</v>
      </c>
      <c r="AP10" s="544"/>
      <c r="AQ10" s="544"/>
      <c r="AR10" s="544"/>
      <c r="AS10" s="544"/>
      <c r="AT10" s="544">
        <v>5</v>
      </c>
      <c r="AU10" s="544"/>
      <c r="AV10" s="544"/>
      <c r="AW10" s="544"/>
      <c r="AX10" s="544"/>
      <c r="AY10" s="544">
        <v>35</v>
      </c>
      <c r="AZ10" s="544"/>
      <c r="BA10" s="544"/>
      <c r="BB10" s="544"/>
      <c r="BC10" s="544"/>
    </row>
    <row r="11" spans="2:104">
      <c r="B11" s="536" t="s">
        <v>123</v>
      </c>
      <c r="C11" s="537"/>
      <c r="D11" s="537"/>
      <c r="E11" s="537"/>
      <c r="F11" s="537"/>
      <c r="G11" s="537"/>
      <c r="H11" s="537"/>
      <c r="I11" s="537"/>
      <c r="J11" s="537"/>
      <c r="K11" s="537"/>
      <c r="L11" s="537"/>
      <c r="M11" s="537"/>
      <c r="N11" s="537"/>
      <c r="O11" s="537"/>
      <c r="P11" s="537"/>
      <c r="Q11" s="537"/>
      <c r="R11" s="537"/>
      <c r="S11" s="537"/>
      <c r="T11" s="537"/>
      <c r="U11" s="537"/>
      <c r="V11" s="536">
        <f>FORMULARIO!J15</f>
        <v>0</v>
      </c>
      <c r="W11" s="537"/>
      <c r="X11" s="537"/>
      <c r="Y11" s="537"/>
      <c r="Z11" s="537"/>
      <c r="AA11" s="537"/>
      <c r="AB11" s="537"/>
      <c r="AC11" s="537"/>
      <c r="AD11" s="537"/>
      <c r="AE11" s="537"/>
      <c r="AF11" s="537"/>
      <c r="AG11" s="537"/>
      <c r="AH11" s="537"/>
      <c r="AI11" s="537"/>
      <c r="AJ11" s="537"/>
      <c r="AK11" s="537"/>
      <c r="AL11" s="537"/>
      <c r="AM11" s="537"/>
      <c r="AN11" s="538"/>
      <c r="AO11" s="544">
        <f>IFERROR(VLOOKUP(V11,'Datos - analisis garantia'!D179:F195,2,FALSE),0)</f>
        <v>0</v>
      </c>
      <c r="AP11" s="544"/>
      <c r="AQ11" s="544"/>
      <c r="AR11" s="544"/>
      <c r="AS11" s="544"/>
      <c r="AT11" s="544">
        <v>5</v>
      </c>
      <c r="AU11" s="544"/>
      <c r="AV11" s="544"/>
      <c r="AW11" s="544"/>
      <c r="AX11" s="544"/>
      <c r="AY11" s="544">
        <v>35</v>
      </c>
      <c r="AZ11" s="544"/>
      <c r="BA11" s="544"/>
      <c r="BB11" s="544"/>
      <c r="BC11" s="544"/>
      <c r="CB11" t="s">
        <v>261</v>
      </c>
      <c r="CN11" s="371">
        <f>SUM(AO10:AS11)</f>
        <v>0</v>
      </c>
      <c r="CO11" s="371"/>
      <c r="CP11" s="371"/>
      <c r="CQ11" s="513">
        <v>0.25</v>
      </c>
      <c r="CR11" s="513"/>
      <c r="CS11" s="513"/>
      <c r="CT11" s="371">
        <f>CN11*CQ11</f>
        <v>0</v>
      </c>
      <c r="CU11" s="371"/>
      <c r="CV11" s="371"/>
    </row>
    <row r="12" spans="2:104">
      <c r="B12" s="536" t="s">
        <v>273</v>
      </c>
      <c r="C12" s="537"/>
      <c r="D12" s="537"/>
      <c r="E12" s="537"/>
      <c r="F12" s="537"/>
      <c r="G12" s="537"/>
      <c r="H12" s="537"/>
      <c r="I12" s="537"/>
      <c r="J12" s="537"/>
      <c r="K12" s="537"/>
      <c r="L12" s="537"/>
      <c r="M12" s="537"/>
      <c r="N12" s="537"/>
      <c r="O12" s="537"/>
      <c r="P12" s="537"/>
      <c r="Q12" s="537"/>
      <c r="R12" s="537"/>
      <c r="S12" s="537"/>
      <c r="T12" s="537"/>
      <c r="U12" s="537"/>
      <c r="V12" s="536">
        <f>FORMULARIO!K21</f>
        <v>0</v>
      </c>
      <c r="W12" s="537"/>
      <c r="X12" s="537"/>
      <c r="Y12" s="537"/>
      <c r="Z12" s="537"/>
      <c r="AA12" s="537"/>
      <c r="AB12" s="537"/>
      <c r="AC12" s="537"/>
      <c r="AD12" s="537"/>
      <c r="AE12" s="537"/>
      <c r="AF12" s="537"/>
      <c r="AG12" s="537"/>
      <c r="AH12" s="537"/>
      <c r="AI12" s="537"/>
      <c r="AJ12" s="537"/>
      <c r="AK12" s="537"/>
      <c r="AL12" s="537"/>
      <c r="AM12" s="537"/>
      <c r="AN12" s="538"/>
      <c r="AO12" s="544">
        <f>IFERROR(VLOOKUP(V12,'Datos - analisis garantia'!N18:O19,2,FALSE),0)</f>
        <v>0</v>
      </c>
      <c r="AP12" s="544"/>
      <c r="AQ12" s="544"/>
      <c r="AR12" s="544"/>
      <c r="AS12" s="544"/>
      <c r="AT12" s="544">
        <v>5</v>
      </c>
      <c r="AU12" s="544"/>
      <c r="AV12" s="544"/>
      <c r="AW12" s="544"/>
      <c r="AX12" s="544"/>
      <c r="AY12" s="544">
        <v>15</v>
      </c>
      <c r="AZ12" s="544"/>
      <c r="BA12" s="544"/>
      <c r="BB12" s="544"/>
      <c r="BC12" s="544"/>
      <c r="CN12" s="3"/>
      <c r="CO12" s="3"/>
      <c r="CP12" s="3"/>
      <c r="CQ12" s="23"/>
      <c r="CR12" s="23"/>
      <c r="CS12" s="23"/>
      <c r="CT12" s="3"/>
      <c r="CU12" s="3"/>
      <c r="CV12" s="3"/>
    </row>
    <row r="13" spans="2:104" ht="15.75" thickBot="1">
      <c r="B13" s="539" t="s">
        <v>115</v>
      </c>
      <c r="C13" s="540"/>
      <c r="D13" s="540"/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39">
        <f>FORMULARIO!C13</f>
        <v>0</v>
      </c>
      <c r="W13" s="540"/>
      <c r="X13" s="540"/>
      <c r="Y13" s="540"/>
      <c r="Z13" s="540"/>
      <c r="AA13" s="540"/>
      <c r="AB13" s="540"/>
      <c r="AC13" s="540"/>
      <c r="AD13" s="540"/>
      <c r="AE13" s="540"/>
      <c r="AF13" s="540"/>
      <c r="AG13" s="540"/>
      <c r="AH13" s="540"/>
      <c r="AI13" s="540"/>
      <c r="AJ13" s="540"/>
      <c r="AK13" s="540"/>
      <c r="AL13" s="540"/>
      <c r="AM13" s="540"/>
      <c r="AN13" s="541"/>
      <c r="AO13" s="522">
        <f>IFERROR(VLOOKUP(V13,'Datos - analisis garantia'!C27:D29,2,FALSE),0)</f>
        <v>0</v>
      </c>
      <c r="AP13" s="522"/>
      <c r="AQ13" s="522"/>
      <c r="AR13" s="522"/>
      <c r="AS13" s="522"/>
      <c r="AT13" s="522">
        <v>1</v>
      </c>
      <c r="AU13" s="522"/>
      <c r="AV13" s="522"/>
      <c r="AW13" s="522"/>
      <c r="AX13" s="522"/>
      <c r="AY13" s="522">
        <v>5</v>
      </c>
      <c r="AZ13" s="522"/>
      <c r="BA13" s="522"/>
      <c r="BB13" s="522"/>
      <c r="BC13" s="522"/>
      <c r="CB13" t="s">
        <v>262</v>
      </c>
      <c r="CN13" s="371">
        <f>SUM(AO13:AS23)</f>
        <v>0</v>
      </c>
      <c r="CO13" s="371"/>
      <c r="CP13" s="371"/>
      <c r="CQ13" s="513">
        <v>0.15</v>
      </c>
      <c r="CR13" s="513"/>
      <c r="CS13" s="513"/>
      <c r="CT13" s="371">
        <f>CN13*CQ13</f>
        <v>0</v>
      </c>
      <c r="CU13" s="371"/>
      <c r="CV13" s="371"/>
    </row>
    <row r="14" spans="2:104">
      <c r="B14" s="527" t="s">
        <v>128</v>
      </c>
      <c r="C14" s="528"/>
      <c r="D14" s="528"/>
      <c r="E14" s="528"/>
      <c r="F14" s="528"/>
      <c r="G14" s="528"/>
      <c r="H14" s="528"/>
      <c r="I14" s="528"/>
      <c r="J14" s="528"/>
      <c r="K14" s="528"/>
      <c r="L14" s="528"/>
      <c r="M14" s="528"/>
      <c r="N14" s="528"/>
      <c r="O14" s="528"/>
      <c r="P14" s="528"/>
      <c r="Q14" s="528"/>
      <c r="R14" s="528"/>
      <c r="S14" s="528"/>
      <c r="T14" s="528"/>
      <c r="U14" s="528"/>
      <c r="V14" s="527">
        <f>FORMULARIO!F36</f>
        <v>0</v>
      </c>
      <c r="W14" s="528"/>
      <c r="X14" s="528"/>
      <c r="Y14" s="528"/>
      <c r="Z14" s="528"/>
      <c r="AA14" s="528"/>
      <c r="AB14" s="528"/>
      <c r="AC14" s="528"/>
      <c r="AD14" s="528"/>
      <c r="AE14" s="528"/>
      <c r="AF14" s="528"/>
      <c r="AG14" s="528"/>
      <c r="AH14" s="528"/>
      <c r="AI14" s="528"/>
      <c r="AJ14" s="528"/>
      <c r="AK14" s="528"/>
      <c r="AL14" s="528"/>
      <c r="AM14" s="528"/>
      <c r="AN14" s="529"/>
      <c r="AO14" s="523">
        <f>IFERROR(VLOOKUP(V14,'Datos - analisis garantia'!E27:F28,2,FALSE),0)</f>
        <v>0</v>
      </c>
      <c r="AP14" s="523"/>
      <c r="AQ14" s="523"/>
      <c r="AR14" s="523"/>
      <c r="AS14" s="523"/>
      <c r="AT14" s="522">
        <v>1</v>
      </c>
      <c r="AU14" s="522"/>
      <c r="AV14" s="522"/>
      <c r="AW14" s="522"/>
      <c r="AX14" s="522"/>
      <c r="AY14" s="522">
        <v>5</v>
      </c>
      <c r="AZ14" s="522"/>
      <c r="BA14" s="522"/>
      <c r="BB14" s="522"/>
      <c r="BC14" s="522"/>
      <c r="BF14" s="506" t="str">
        <f>IF(BR22="Hipotecario",IF(CA22=0,"",IF(CA22&lt;=100,"A",IF(CA22&lt;=160,"B",IF(CA22&lt;=240,"C",IF(CA22&lt;=340,"D",""))))),IF(CA22=0,"",IF(CA22&lt;=100,"A",IF(CA22&lt;=160,"B",IF(CA22&lt;=240,"C",IF(CA22&lt;=340,"D",""))))))</f>
        <v>A</v>
      </c>
      <c r="BG14" s="542"/>
      <c r="BH14" s="542"/>
      <c r="BI14" s="542"/>
      <c r="BJ14" s="542"/>
      <c r="BK14" s="542"/>
      <c r="BL14" s="542"/>
      <c r="BM14" s="542"/>
      <c r="BN14" s="507"/>
      <c r="CB14" t="s">
        <v>263</v>
      </c>
      <c r="CN14" s="371">
        <f>SUM(AO24:AS30)</f>
        <v>15</v>
      </c>
      <c r="CO14" s="371"/>
      <c r="CP14" s="371"/>
      <c r="CQ14" s="513">
        <v>0.25</v>
      </c>
      <c r="CR14" s="513"/>
      <c r="CS14" s="513"/>
      <c r="CT14" s="371">
        <f>CN14*CQ14</f>
        <v>3.75</v>
      </c>
      <c r="CU14" s="371"/>
      <c r="CV14" s="371"/>
    </row>
    <row r="15" spans="2:104">
      <c r="B15" s="527" t="s">
        <v>272</v>
      </c>
      <c r="C15" s="528"/>
      <c r="D15" s="528"/>
      <c r="E15" s="528"/>
      <c r="F15" s="528"/>
      <c r="G15" s="528"/>
      <c r="H15" s="52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29"/>
      <c r="V15" s="527">
        <f>FORMULARIO!D38</f>
        <v>0</v>
      </c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528"/>
      <c r="AK15" s="528"/>
      <c r="AL15" s="528"/>
      <c r="AM15" s="528"/>
      <c r="AN15" s="529"/>
      <c r="AO15" s="523">
        <f>IFERROR(VLOOKUP(V15,'Datos - analisis garantia'!AE27:AF28,2,FALSE),0)</f>
        <v>0</v>
      </c>
      <c r="AP15" s="523"/>
      <c r="AQ15" s="523"/>
      <c r="AR15" s="523"/>
      <c r="AS15" s="523"/>
      <c r="AT15" s="522">
        <v>1</v>
      </c>
      <c r="AU15" s="522"/>
      <c r="AV15" s="522"/>
      <c r="AW15" s="522"/>
      <c r="AX15" s="522"/>
      <c r="AY15" s="522">
        <v>5</v>
      </c>
      <c r="AZ15" s="522"/>
      <c r="BA15" s="522"/>
      <c r="BB15" s="522"/>
      <c r="BC15" s="522"/>
      <c r="BF15" s="508"/>
      <c r="BG15" s="543"/>
      <c r="BH15" s="543"/>
      <c r="BI15" s="543"/>
      <c r="BJ15" s="543"/>
      <c r="BK15" s="543"/>
      <c r="BL15" s="543"/>
      <c r="BM15" s="543"/>
      <c r="BN15" s="509"/>
      <c r="CB15" t="s">
        <v>234</v>
      </c>
      <c r="CN15" s="371">
        <f>SUM(AO32:AS34)</f>
        <v>0</v>
      </c>
      <c r="CO15" s="371"/>
      <c r="CP15" s="371"/>
      <c r="CQ15" s="513">
        <v>0.35</v>
      </c>
      <c r="CR15" s="513"/>
      <c r="CS15" s="513"/>
      <c r="CT15" s="371">
        <f>CN15*CQ15</f>
        <v>0</v>
      </c>
      <c r="CU15" s="371"/>
      <c r="CV15" s="371"/>
      <c r="CX15" s="371">
        <f>CT15+CT14+CT13+CT11</f>
        <v>3.75</v>
      </c>
      <c r="CY15" s="371"/>
      <c r="CZ15" s="371"/>
    </row>
    <row r="16" spans="2:104">
      <c r="B16" s="527" t="s">
        <v>129</v>
      </c>
      <c r="C16" s="528"/>
      <c r="D16" s="528"/>
      <c r="E16" s="528"/>
      <c r="F16" s="528"/>
      <c r="G16" s="528"/>
      <c r="H16" s="528"/>
      <c r="I16" s="528"/>
      <c r="J16" s="528"/>
      <c r="K16" s="528"/>
      <c r="L16" s="528"/>
      <c r="M16" s="528"/>
      <c r="N16" s="528"/>
      <c r="O16" s="528"/>
      <c r="P16" s="528"/>
      <c r="Q16" s="528"/>
      <c r="R16" s="528"/>
      <c r="S16" s="528"/>
      <c r="T16" s="528"/>
      <c r="U16" s="29"/>
      <c r="V16" s="527">
        <f>FORMULARIO!J36</f>
        <v>0</v>
      </c>
      <c r="W16" s="528"/>
      <c r="X16" s="528"/>
      <c r="Y16" s="528"/>
      <c r="Z16" s="528"/>
      <c r="AA16" s="528"/>
      <c r="AB16" s="528"/>
      <c r="AC16" s="528"/>
      <c r="AD16" s="528"/>
      <c r="AE16" s="528"/>
      <c r="AF16" s="528"/>
      <c r="AG16" s="528"/>
      <c r="AH16" s="528"/>
      <c r="AI16" s="528"/>
      <c r="AJ16" s="528"/>
      <c r="AK16" s="528"/>
      <c r="AL16" s="528"/>
      <c r="AM16" s="528"/>
      <c r="AN16" s="529"/>
      <c r="AO16" s="523">
        <f>VLOOKUP(V16,'Datos - analisis garantia'!H27:I32,2,FALSE)</f>
        <v>0</v>
      </c>
      <c r="AP16" s="523"/>
      <c r="AQ16" s="523"/>
      <c r="AR16" s="523"/>
      <c r="AS16" s="523"/>
      <c r="AT16" s="522">
        <v>0</v>
      </c>
      <c r="AU16" s="522"/>
      <c r="AV16" s="522"/>
      <c r="AW16" s="522"/>
      <c r="AX16" s="522"/>
      <c r="AY16" s="522">
        <v>5</v>
      </c>
      <c r="AZ16" s="522"/>
      <c r="BA16" s="522"/>
      <c r="BB16" s="522"/>
      <c r="BC16" s="522"/>
      <c r="BF16" s="510" t="str">
        <f>IF(BF15="","","Tasa a Ofrecer")</f>
        <v/>
      </c>
      <c r="BG16" s="371"/>
      <c r="BH16" s="371"/>
      <c r="BI16" s="371"/>
      <c r="BJ16" s="371"/>
      <c r="BK16" s="371"/>
      <c r="BL16" s="371"/>
      <c r="BM16" s="371"/>
      <c r="BN16" s="511"/>
      <c r="CB16" t="s">
        <v>235</v>
      </c>
      <c r="CN16" s="371">
        <f>SUM(AO36:AS40)</f>
        <v>0</v>
      </c>
      <c r="CO16" s="371"/>
      <c r="CP16" s="371"/>
      <c r="CQ16" s="513">
        <v>0.35</v>
      </c>
      <c r="CR16" s="513"/>
      <c r="CS16" s="513"/>
      <c r="CT16" s="371">
        <f>CN16*CQ16</f>
        <v>0</v>
      </c>
      <c r="CU16" s="371"/>
      <c r="CV16" s="371"/>
      <c r="CX16" s="371">
        <f>CT16+CT14+CT13+CT11</f>
        <v>3.75</v>
      </c>
      <c r="CY16" s="371"/>
      <c r="CZ16" s="371"/>
    </row>
    <row r="17" spans="2:102">
      <c r="B17" s="527" t="s">
        <v>130</v>
      </c>
      <c r="C17" s="528"/>
      <c r="D17" s="528"/>
      <c r="E17" s="528"/>
      <c r="F17" s="528"/>
      <c r="G17" s="528"/>
      <c r="H17" s="528"/>
      <c r="I17" s="528"/>
      <c r="J17" s="528"/>
      <c r="K17" s="528"/>
      <c r="L17" s="528"/>
      <c r="M17" s="528"/>
      <c r="N17" s="528"/>
      <c r="O17" s="528"/>
      <c r="P17" s="528"/>
      <c r="Q17" s="528"/>
      <c r="R17" s="528"/>
      <c r="S17" s="528"/>
      <c r="T17" s="528"/>
      <c r="U17" s="29"/>
      <c r="V17" s="527">
        <f>FORMULARIO!C26</f>
        <v>0</v>
      </c>
      <c r="W17" s="528"/>
      <c r="X17" s="528"/>
      <c r="Y17" s="528"/>
      <c r="Z17" s="528"/>
      <c r="AA17" s="528"/>
      <c r="AB17" s="528"/>
      <c r="AC17" s="528"/>
      <c r="AD17" s="528"/>
      <c r="AE17" s="528"/>
      <c r="AF17" s="528"/>
      <c r="AG17" s="528"/>
      <c r="AH17" s="528"/>
      <c r="AI17" s="528"/>
      <c r="AJ17" s="528"/>
      <c r="AK17" s="528"/>
      <c r="AL17" s="528"/>
      <c r="AM17" s="528"/>
      <c r="AN17" s="529"/>
      <c r="AO17" s="523">
        <f>IFERROR(VLOOKUP(V17,'Datos - analisis garantia'!K27:L30,2,FALSE),0)</f>
        <v>0</v>
      </c>
      <c r="AP17" s="523"/>
      <c r="AQ17" s="523"/>
      <c r="AR17" s="523"/>
      <c r="AS17" s="523"/>
      <c r="AT17" s="522">
        <v>1</v>
      </c>
      <c r="AU17" s="522"/>
      <c r="AV17" s="522"/>
      <c r="AW17" s="522"/>
      <c r="AX17" s="522"/>
      <c r="AY17" s="522">
        <v>5</v>
      </c>
      <c r="AZ17" s="522"/>
      <c r="BA17" s="522"/>
      <c r="BB17" s="522"/>
      <c r="BC17" s="522"/>
      <c r="BF17" s="510" t="str">
        <f>IF(BF14="","","Tasa a Ofrecer")</f>
        <v>Tasa a Ofrecer</v>
      </c>
      <c r="BG17" s="371"/>
      <c r="BH17" s="371"/>
      <c r="BI17" s="371"/>
      <c r="BJ17" s="371"/>
      <c r="BK17" s="371"/>
      <c r="BL17" s="371"/>
      <c r="BM17" s="371"/>
      <c r="BN17" s="511"/>
      <c r="CN17" s="371">
        <f>SUM(CN11:CP15)</f>
        <v>15</v>
      </c>
      <c r="CO17" s="371"/>
      <c r="CP17" s="371"/>
      <c r="CT17" s="371"/>
      <c r="CU17" s="371"/>
      <c r="CV17" s="371"/>
    </row>
    <row r="18" spans="2:102" ht="15.75" customHeight="1">
      <c r="B18" s="527" t="s">
        <v>131</v>
      </c>
      <c r="C18" s="528"/>
      <c r="D18" s="528"/>
      <c r="E18" s="528"/>
      <c r="F18" s="528"/>
      <c r="G18" s="528"/>
      <c r="H18" s="528"/>
      <c r="I18" s="528"/>
      <c r="J18" s="528"/>
      <c r="K18" s="528"/>
      <c r="L18" s="528"/>
      <c r="M18" s="528"/>
      <c r="N18" s="528"/>
      <c r="O18" s="528"/>
      <c r="P18" s="528"/>
      <c r="Q18" s="528"/>
      <c r="R18" s="528"/>
      <c r="S18" s="528"/>
      <c r="T18" s="528"/>
      <c r="U18" s="29"/>
      <c r="V18" s="527">
        <f>FORMULARIO!C28</f>
        <v>0</v>
      </c>
      <c r="W18" s="528"/>
      <c r="X18" s="528"/>
      <c r="Y18" s="528"/>
      <c r="Z18" s="528"/>
      <c r="AA18" s="528"/>
      <c r="AB18" s="528"/>
      <c r="AC18" s="528"/>
      <c r="AD18" s="528"/>
      <c r="AE18" s="528"/>
      <c r="AF18" s="528"/>
      <c r="AG18" s="528"/>
      <c r="AH18" s="528"/>
      <c r="AI18" s="528"/>
      <c r="AJ18" s="528"/>
      <c r="AK18" s="528"/>
      <c r="AL18" s="528"/>
      <c r="AM18" s="528"/>
      <c r="AN18" s="529"/>
      <c r="AO18" s="523">
        <f>IFERROR(VLOOKUP(V18,'Datos - analisis garantia'!N27:O29,2,FALSE),0)</f>
        <v>0</v>
      </c>
      <c r="AP18" s="523"/>
      <c r="AQ18" s="523"/>
      <c r="AR18" s="523"/>
      <c r="AS18" s="523"/>
      <c r="AT18" s="522">
        <v>1</v>
      </c>
      <c r="AU18" s="522"/>
      <c r="AV18" s="522"/>
      <c r="AW18" s="522"/>
      <c r="AX18" s="522"/>
      <c r="AY18" s="522">
        <v>5</v>
      </c>
      <c r="AZ18" s="522"/>
      <c r="BA18" s="522"/>
      <c r="BB18" s="522"/>
      <c r="BC18" s="522"/>
      <c r="BF18" s="502" t="str">
        <f>IF(BR22="Hipotecario",IF(BF14="A","1% - 1.5%",IF(BF14="B","1.6% - 2%",IF(BF14="C","2.1% - 2.5%",IF(BF14="D","3%","")))),IF(BF14="A","2.5% - 3.5%",IF(BF14="B","3.6% - 5.9%",IF(BF14="C","6% - 6.9%",IF(BF14="D","7%","")))))</f>
        <v>2.5% - 3.5%</v>
      </c>
      <c r="BG18" s="530"/>
      <c r="BH18" s="530"/>
      <c r="BI18" s="530"/>
      <c r="BJ18" s="530"/>
      <c r="BK18" s="530"/>
      <c r="BL18" s="530"/>
      <c r="BM18" s="530"/>
      <c r="BN18" s="503"/>
      <c r="CN18" s="513">
        <f>CN11/CN17</f>
        <v>0</v>
      </c>
      <c r="CO18" s="513"/>
      <c r="CP18" s="513"/>
      <c r="CS18" s="371"/>
      <c r="CT18" s="371"/>
      <c r="CU18" s="371"/>
      <c r="CV18" s="371"/>
      <c r="CW18" s="371"/>
      <c r="CX18" s="371"/>
    </row>
    <row r="19" spans="2:102" ht="14.25" customHeight="1">
      <c r="B19" s="527" t="s">
        <v>95</v>
      </c>
      <c r="C19" s="528"/>
      <c r="D19" s="528"/>
      <c r="E19" s="528"/>
      <c r="F19" s="528"/>
      <c r="G19" s="528"/>
      <c r="H19" s="528"/>
      <c r="I19" s="528"/>
      <c r="J19" s="528"/>
      <c r="K19" s="528"/>
      <c r="L19" s="528"/>
      <c r="M19" s="528"/>
      <c r="N19" s="528"/>
      <c r="O19" s="528"/>
      <c r="P19" s="528"/>
      <c r="Q19" s="528"/>
      <c r="R19" s="528"/>
      <c r="S19" s="528"/>
      <c r="T19" s="528"/>
      <c r="U19" s="29"/>
      <c r="V19" s="527">
        <f>FORMULARIO!D30</f>
        <v>0</v>
      </c>
      <c r="W19" s="528"/>
      <c r="X19" s="528"/>
      <c r="Y19" s="528"/>
      <c r="Z19" s="528"/>
      <c r="AA19" s="528"/>
      <c r="AB19" s="528"/>
      <c r="AC19" s="528"/>
      <c r="AD19" s="528"/>
      <c r="AE19" s="528"/>
      <c r="AF19" s="528"/>
      <c r="AG19" s="528"/>
      <c r="AH19" s="528"/>
      <c r="AI19" s="528"/>
      <c r="AJ19" s="528"/>
      <c r="AK19" s="528"/>
      <c r="AL19" s="528"/>
      <c r="AM19" s="528"/>
      <c r="AN19" s="529"/>
      <c r="AO19" s="523">
        <f>IFERROR(VLOOKUP(V19,'Datos - analisis garantia'!Q27:R32,2,FALSE),0)</f>
        <v>0</v>
      </c>
      <c r="AP19" s="523"/>
      <c r="AQ19" s="523"/>
      <c r="AR19" s="523"/>
      <c r="AS19" s="523"/>
      <c r="AT19" s="522">
        <v>1</v>
      </c>
      <c r="AU19" s="522"/>
      <c r="AV19" s="522"/>
      <c r="AW19" s="522"/>
      <c r="AX19" s="522"/>
      <c r="AY19" s="522">
        <v>5</v>
      </c>
      <c r="AZ19" s="522"/>
      <c r="BA19" s="522"/>
      <c r="BB19" s="522"/>
      <c r="BC19" s="522"/>
      <c r="BF19" s="502"/>
      <c r="BG19" s="530"/>
      <c r="BH19" s="530"/>
      <c r="BI19" s="530"/>
      <c r="BJ19" s="530"/>
      <c r="BK19" s="530"/>
      <c r="BL19" s="530"/>
      <c r="BM19" s="530"/>
      <c r="BN19" s="503"/>
      <c r="CN19" s="513">
        <f>CN13/CN17</f>
        <v>0</v>
      </c>
      <c r="CO19" s="513"/>
      <c r="CP19" s="513"/>
    </row>
    <row r="20" spans="2:102" ht="15.75" thickBot="1">
      <c r="B20" s="527" t="s">
        <v>122</v>
      </c>
      <c r="C20" s="528"/>
      <c r="D20" s="528"/>
      <c r="E20" s="528"/>
      <c r="F20" s="528"/>
      <c r="G20" s="528"/>
      <c r="H20" s="528"/>
      <c r="I20" s="528"/>
      <c r="J20" s="528"/>
      <c r="K20" s="528"/>
      <c r="L20" s="528"/>
      <c r="M20" s="528"/>
      <c r="N20" s="528"/>
      <c r="O20" s="528"/>
      <c r="P20" s="528"/>
      <c r="Q20" s="528"/>
      <c r="R20" s="528"/>
      <c r="S20" s="528"/>
      <c r="T20" s="528"/>
      <c r="U20" s="29"/>
      <c r="V20" s="527">
        <f>FORMULARIO!I30</f>
        <v>0</v>
      </c>
      <c r="W20" s="528"/>
      <c r="X20" s="528"/>
      <c r="Y20" s="528"/>
      <c r="Z20" s="528"/>
      <c r="AA20" s="528"/>
      <c r="AB20" s="528"/>
      <c r="AC20" s="528"/>
      <c r="AD20" s="528"/>
      <c r="AE20" s="528"/>
      <c r="AF20" s="528"/>
      <c r="AG20" s="528"/>
      <c r="AH20" s="528"/>
      <c r="AI20" s="528"/>
      <c r="AJ20" s="528"/>
      <c r="AK20" s="528"/>
      <c r="AL20" s="528"/>
      <c r="AM20" s="528"/>
      <c r="AN20" s="529"/>
      <c r="AO20" s="523">
        <f>IFERROR(VLOOKUP(V20,'Datos - analisis garantia'!T27:U32,2,FALSE),0)</f>
        <v>0</v>
      </c>
      <c r="AP20" s="523"/>
      <c r="AQ20" s="523"/>
      <c r="AR20" s="523"/>
      <c r="AS20" s="523"/>
      <c r="AT20" s="522">
        <v>1</v>
      </c>
      <c r="AU20" s="522"/>
      <c r="AV20" s="522"/>
      <c r="AW20" s="522"/>
      <c r="AX20" s="522"/>
      <c r="AY20" s="522">
        <v>6</v>
      </c>
      <c r="AZ20" s="522"/>
      <c r="BA20" s="522"/>
      <c r="BB20" s="522"/>
      <c r="BC20" s="522"/>
      <c r="BF20" s="8"/>
      <c r="BG20" s="7"/>
      <c r="BH20" s="7"/>
      <c r="BI20" s="7"/>
      <c r="BJ20" s="7"/>
      <c r="BK20" s="7"/>
      <c r="BL20" s="7"/>
      <c r="BM20" s="7"/>
      <c r="BN20" s="9"/>
      <c r="CN20" s="513">
        <f>CN14/CN17</f>
        <v>1</v>
      </c>
      <c r="CO20" s="513"/>
      <c r="CP20" s="513"/>
    </row>
    <row r="21" spans="2:102">
      <c r="B21" s="527" t="s">
        <v>132</v>
      </c>
      <c r="C21" s="528"/>
      <c r="D21" s="528"/>
      <c r="E21" s="528"/>
      <c r="F21" s="528"/>
      <c r="G21" s="528"/>
      <c r="H21" s="528"/>
      <c r="I21" s="528"/>
      <c r="J21" s="528"/>
      <c r="K21" s="528"/>
      <c r="L21" s="528"/>
      <c r="M21" s="528"/>
      <c r="N21" s="528"/>
      <c r="O21" s="528"/>
      <c r="P21" s="528"/>
      <c r="Q21" s="528"/>
      <c r="R21" s="528"/>
      <c r="S21" s="528"/>
      <c r="T21" s="528"/>
      <c r="U21" s="29"/>
      <c r="V21" s="527">
        <f>FORMULARIO!H28</f>
        <v>0</v>
      </c>
      <c r="W21" s="528"/>
      <c r="X21" s="528"/>
      <c r="Y21" s="528"/>
      <c r="Z21" s="528"/>
      <c r="AA21" s="528"/>
      <c r="AB21" s="528"/>
      <c r="AC21" s="528"/>
      <c r="AD21" s="528"/>
      <c r="AE21" s="528"/>
      <c r="AF21" s="528"/>
      <c r="AG21" s="528"/>
      <c r="AH21" s="528"/>
      <c r="AI21" s="528"/>
      <c r="AJ21" s="528"/>
      <c r="AK21" s="528"/>
      <c r="AL21" s="528"/>
      <c r="AM21" s="528"/>
      <c r="AN21" s="529"/>
      <c r="AO21" s="523">
        <f>IFERROR(VLOOKUP(V21,'Datos - analisis garantia'!W27:X28,2,FALSE),0)</f>
        <v>0</v>
      </c>
      <c r="AP21" s="523"/>
      <c r="AQ21" s="523"/>
      <c r="AR21" s="523"/>
      <c r="AS21" s="523"/>
      <c r="AT21" s="522">
        <v>1</v>
      </c>
      <c r="AU21" s="522"/>
      <c r="AV21" s="522"/>
      <c r="AW21" s="522"/>
      <c r="AX21" s="522"/>
      <c r="AY21" s="522">
        <v>5</v>
      </c>
      <c r="AZ21" s="522"/>
      <c r="BA21" s="522"/>
      <c r="BB21" s="522"/>
      <c r="BC21" s="522"/>
      <c r="CN21" s="513">
        <f>CN15/CN17</f>
        <v>0</v>
      </c>
      <c r="CO21" s="513"/>
      <c r="CP21" s="513"/>
    </row>
    <row r="22" spans="2:102">
      <c r="B22" s="527" t="s">
        <v>133</v>
      </c>
      <c r="C22" s="528"/>
      <c r="D22" s="528"/>
      <c r="E22" s="528"/>
      <c r="F22" s="528"/>
      <c r="G22" s="528"/>
      <c r="H22" s="528"/>
      <c r="I22" s="528"/>
      <c r="J22" s="528"/>
      <c r="K22" s="528"/>
      <c r="L22" s="528"/>
      <c r="M22" s="528"/>
      <c r="N22" s="528"/>
      <c r="O22" s="528"/>
      <c r="P22" s="528"/>
      <c r="Q22" s="528"/>
      <c r="R22" s="528"/>
      <c r="S22" s="528"/>
      <c r="T22" s="528"/>
      <c r="U22" s="29"/>
      <c r="V22" s="527">
        <f>FORMULARIO!G32</f>
        <v>0</v>
      </c>
      <c r="W22" s="528"/>
      <c r="X22" s="528"/>
      <c r="Y22" s="528"/>
      <c r="Z22" s="528"/>
      <c r="AA22" s="528"/>
      <c r="AB22" s="528"/>
      <c r="AC22" s="528"/>
      <c r="AD22" s="528"/>
      <c r="AE22" s="528"/>
      <c r="AF22" s="528"/>
      <c r="AG22" s="528"/>
      <c r="AH22" s="528"/>
      <c r="AI22" s="528"/>
      <c r="AJ22" s="528"/>
      <c r="AK22" s="528"/>
      <c r="AL22" s="528"/>
      <c r="AM22" s="528"/>
      <c r="AN22" s="529"/>
      <c r="AO22" s="523">
        <f>IFERROR(VLOOKUP(V22,'Datos - analisis garantia'!Z27:AA33,2,FALSE),0)</f>
        <v>0</v>
      </c>
      <c r="AP22" s="523"/>
      <c r="AQ22" s="523"/>
      <c r="AR22" s="523"/>
      <c r="AS22" s="523"/>
      <c r="AT22" s="522">
        <v>1</v>
      </c>
      <c r="AU22" s="522"/>
      <c r="AV22" s="522"/>
      <c r="AW22" s="522"/>
      <c r="AX22" s="522"/>
      <c r="AY22" s="522">
        <v>5</v>
      </c>
      <c r="AZ22" s="522"/>
      <c r="BA22" s="522"/>
      <c r="BB22" s="522"/>
      <c r="BC22" s="522"/>
      <c r="BG22" t="s">
        <v>237</v>
      </c>
      <c r="BR22" s="371" t="str">
        <f>FORMULARIO!D61</f>
        <v>Vehículo</v>
      </c>
      <c r="BS22" s="371"/>
      <c r="BT22" s="371"/>
      <c r="BU22" s="371"/>
      <c r="BV22" s="371"/>
      <c r="BW22" s="371"/>
      <c r="CA22" s="371">
        <f>IF(BR22="Hipotecario",BO23+BO24,BO23+BO25)</f>
        <v>15</v>
      </c>
      <c r="CB22" s="371"/>
      <c r="CC22" s="371"/>
      <c r="CD22" s="371"/>
      <c r="CN22" s="30"/>
      <c r="CO22" s="30"/>
      <c r="CP22" s="30"/>
    </row>
    <row r="23" spans="2:102">
      <c r="B23" s="527"/>
      <c r="C23" s="528"/>
      <c r="D23" s="528"/>
      <c r="E23" s="528"/>
      <c r="F23" s="528"/>
      <c r="G23" s="528"/>
      <c r="H23" s="528"/>
      <c r="I23" s="528"/>
      <c r="J23" s="528"/>
      <c r="K23" s="528"/>
      <c r="L23" s="528"/>
      <c r="M23" s="528"/>
      <c r="N23" s="528"/>
      <c r="O23" s="528"/>
      <c r="P23" s="528"/>
      <c r="Q23" s="528"/>
      <c r="R23" s="528"/>
      <c r="S23" s="528"/>
      <c r="T23" s="528"/>
      <c r="U23" s="29"/>
      <c r="V23" s="527"/>
      <c r="W23" s="528"/>
      <c r="X23" s="528"/>
      <c r="Y23" s="528"/>
      <c r="Z23" s="528"/>
      <c r="AA23" s="528"/>
      <c r="AB23" s="528"/>
      <c r="AC23" s="528"/>
      <c r="AD23" s="528"/>
      <c r="AE23" s="528"/>
      <c r="AF23" s="528"/>
      <c r="AG23" s="528"/>
      <c r="AH23" s="528"/>
      <c r="AI23" s="528"/>
      <c r="AJ23" s="528"/>
      <c r="AK23" s="528"/>
      <c r="AL23" s="528"/>
      <c r="AM23" s="528"/>
      <c r="AN23" s="529"/>
      <c r="AO23" s="523"/>
      <c r="AP23" s="523"/>
      <c r="AQ23" s="523"/>
      <c r="AR23" s="523"/>
      <c r="AS23" s="523"/>
      <c r="AT23" s="522"/>
      <c r="AU23" s="522"/>
      <c r="AV23" s="522"/>
      <c r="AW23" s="522"/>
      <c r="AX23" s="522"/>
      <c r="AY23" s="522"/>
      <c r="AZ23" s="522"/>
      <c r="BA23" s="522"/>
      <c r="BB23" s="522"/>
      <c r="BC23" s="522"/>
      <c r="BG23" t="s">
        <v>236</v>
      </c>
      <c r="BO23" s="371">
        <f>AO10+AO11+AO13+AO14+AO15+AO16+AO17+AO18+AO19+AO20+AO21+AO22+AO24+AO25+AO26+AO27+AO28+AO29+AO30+AO12+AO31</f>
        <v>15</v>
      </c>
      <c r="BP23" s="371"/>
      <c r="BQ23" s="371"/>
      <c r="BR23" s="371"/>
    </row>
    <row r="24" spans="2:102">
      <c r="B24" s="524" t="s">
        <v>5</v>
      </c>
      <c r="C24" s="525"/>
      <c r="D24" s="525"/>
      <c r="E24" s="525"/>
      <c r="F24" s="525"/>
      <c r="G24" s="525"/>
      <c r="H24" s="525"/>
      <c r="I24" s="525"/>
      <c r="J24" s="525"/>
      <c r="K24" s="525"/>
      <c r="L24" s="525"/>
      <c r="M24" s="525"/>
      <c r="N24" s="525"/>
      <c r="O24" s="525"/>
      <c r="P24" s="525"/>
      <c r="Q24" s="525"/>
      <c r="R24" s="525"/>
      <c r="S24" s="525"/>
      <c r="T24" s="525"/>
      <c r="U24" s="27"/>
      <c r="V24" s="524">
        <f>FORMULARIO!E43</f>
        <v>0</v>
      </c>
      <c r="W24" s="525"/>
      <c r="X24" s="525"/>
      <c r="Y24" s="525"/>
      <c r="Z24" s="525"/>
      <c r="AA24" s="525"/>
      <c r="AB24" s="525"/>
      <c r="AC24" s="525"/>
      <c r="AD24" s="525"/>
      <c r="AE24" s="525"/>
      <c r="AF24" s="525"/>
      <c r="AG24" s="525"/>
      <c r="AH24" s="525"/>
      <c r="AI24" s="525"/>
      <c r="AJ24" s="525"/>
      <c r="AK24" s="525"/>
      <c r="AL24" s="525"/>
      <c r="AM24" s="525"/>
      <c r="AN24" s="526"/>
      <c r="AO24" s="514">
        <f>IFERROR(VLOOKUP(V24,'Datos - analisis garantia'!C38:D39,2,FALSE),0)</f>
        <v>0</v>
      </c>
      <c r="AP24" s="514"/>
      <c r="AQ24" s="514"/>
      <c r="AR24" s="514"/>
      <c r="AS24" s="514"/>
      <c r="AT24" s="514">
        <v>2</v>
      </c>
      <c r="AU24" s="514"/>
      <c r="AV24" s="514"/>
      <c r="AW24" s="514"/>
      <c r="AX24" s="514"/>
      <c r="AY24" s="514">
        <v>10</v>
      </c>
      <c r="AZ24" s="514"/>
      <c r="BA24" s="514"/>
      <c r="BB24" s="514"/>
      <c r="BC24" s="514"/>
      <c r="BG24" t="s">
        <v>234</v>
      </c>
      <c r="BO24" s="371">
        <f>AO32+AO33+AO34+AO35</f>
        <v>0</v>
      </c>
      <c r="BP24" s="371"/>
      <c r="BQ24" s="371"/>
      <c r="BR24" s="371"/>
    </row>
    <row r="25" spans="2:102">
      <c r="B25" s="524" t="s">
        <v>135</v>
      </c>
      <c r="C25" s="525"/>
      <c r="D25" s="525"/>
      <c r="E25" s="525"/>
      <c r="F25" s="525"/>
      <c r="G25" s="525"/>
      <c r="H25" s="525"/>
      <c r="I25" s="525"/>
      <c r="J25" s="525"/>
      <c r="K25" s="525"/>
      <c r="L25" s="525"/>
      <c r="M25" s="525"/>
      <c r="N25" s="525"/>
      <c r="O25" s="525"/>
      <c r="P25" s="525"/>
      <c r="Q25" s="525"/>
      <c r="R25" s="525"/>
      <c r="S25" s="525"/>
      <c r="T25" s="525"/>
      <c r="U25" s="27"/>
      <c r="V25" s="524">
        <f>FORMULARIO!I43</f>
        <v>0</v>
      </c>
      <c r="W25" s="525"/>
      <c r="X25" s="525"/>
      <c r="Y25" s="525"/>
      <c r="Z25" s="525"/>
      <c r="AA25" s="525"/>
      <c r="AB25" s="525"/>
      <c r="AC25" s="525"/>
      <c r="AD25" s="525"/>
      <c r="AE25" s="525"/>
      <c r="AF25" s="525"/>
      <c r="AG25" s="525"/>
      <c r="AH25" s="525"/>
      <c r="AI25" s="525"/>
      <c r="AJ25" s="525"/>
      <c r="AK25" s="525"/>
      <c r="AL25" s="525"/>
      <c r="AM25" s="525"/>
      <c r="AN25" s="526"/>
      <c r="AO25" s="514">
        <f>IFERROR(VLOOKUP(V25,'Datos - analisis garantia'!F38:G39,2,FALSE),0)</f>
        <v>0</v>
      </c>
      <c r="AP25" s="514"/>
      <c r="AQ25" s="514"/>
      <c r="AR25" s="514"/>
      <c r="AS25" s="514"/>
      <c r="AT25" s="514">
        <v>2</v>
      </c>
      <c r="AU25" s="514"/>
      <c r="AV25" s="514"/>
      <c r="AW25" s="514"/>
      <c r="AX25" s="514"/>
      <c r="AY25" s="514">
        <v>10</v>
      </c>
      <c r="AZ25" s="514"/>
      <c r="BA25" s="514"/>
      <c r="BB25" s="514"/>
      <c r="BC25" s="514"/>
      <c r="BG25" t="s">
        <v>235</v>
      </c>
      <c r="BO25" s="371">
        <f>AO38+AO39+AO40+AO37+AO36+AO41</f>
        <v>0</v>
      </c>
      <c r="BP25" s="371"/>
      <c r="BQ25" s="371"/>
      <c r="BR25" s="371"/>
    </row>
    <row r="26" spans="2:102">
      <c r="B26" s="524" t="s">
        <v>58</v>
      </c>
      <c r="C26" s="525"/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27"/>
      <c r="V26" s="524">
        <f>FORMULARIO!F45</f>
        <v>0</v>
      </c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25"/>
      <c r="AK26" s="525"/>
      <c r="AL26" s="525"/>
      <c r="AM26" s="525"/>
      <c r="AN26" s="526"/>
      <c r="AO26" s="514">
        <f>IFERROR(VLOOKUP(V26,'Datos - analisis garantia'!I38:J39,2,FALSE),0)</f>
        <v>0</v>
      </c>
      <c r="AP26" s="514"/>
      <c r="AQ26" s="514"/>
      <c r="AR26" s="514"/>
      <c r="AS26" s="514"/>
      <c r="AT26" s="514">
        <v>2</v>
      </c>
      <c r="AU26" s="514"/>
      <c r="AV26" s="514"/>
      <c r="AW26" s="514"/>
      <c r="AX26" s="514"/>
      <c r="AY26" s="514">
        <v>10</v>
      </c>
      <c r="AZ26" s="514"/>
      <c r="BA26" s="514"/>
      <c r="BB26" s="514"/>
      <c r="BC26" s="514"/>
    </row>
    <row r="27" spans="2:102">
      <c r="B27" s="524" t="s">
        <v>136</v>
      </c>
      <c r="C27" s="525"/>
      <c r="D27" s="525"/>
      <c r="E27" s="525"/>
      <c r="F27" s="525"/>
      <c r="G27" s="525"/>
      <c r="H27" s="525"/>
      <c r="I27" s="525"/>
      <c r="J27" s="525"/>
      <c r="K27" s="525"/>
      <c r="L27" s="525"/>
      <c r="M27" s="525"/>
      <c r="N27" s="525"/>
      <c r="O27" s="525"/>
      <c r="P27" s="525"/>
      <c r="Q27" s="525"/>
      <c r="R27" s="525"/>
      <c r="S27" s="525"/>
      <c r="T27" s="525"/>
      <c r="U27" s="27"/>
      <c r="V27" s="524">
        <f>FORMULARIO!I45</f>
        <v>0</v>
      </c>
      <c r="W27" s="525"/>
      <c r="X27" s="525"/>
      <c r="Y27" s="525"/>
      <c r="Z27" s="525"/>
      <c r="AA27" s="525"/>
      <c r="AB27" s="525"/>
      <c r="AC27" s="525"/>
      <c r="AD27" s="525"/>
      <c r="AE27" s="525"/>
      <c r="AF27" s="525"/>
      <c r="AG27" s="525"/>
      <c r="AH27" s="525"/>
      <c r="AI27" s="525"/>
      <c r="AJ27" s="525"/>
      <c r="AK27" s="525"/>
      <c r="AL27" s="525"/>
      <c r="AM27" s="525"/>
      <c r="AN27" s="526"/>
      <c r="AO27" s="514">
        <f>IFERROR(VLOOKUP(V27,'Datos - analisis garantia'!L38:M39,2,FALSE),0)</f>
        <v>0</v>
      </c>
      <c r="AP27" s="514"/>
      <c r="AQ27" s="514"/>
      <c r="AR27" s="514"/>
      <c r="AS27" s="514"/>
      <c r="AT27" s="514">
        <v>1</v>
      </c>
      <c r="AU27" s="514"/>
      <c r="AV27" s="514"/>
      <c r="AW27" s="514"/>
      <c r="AX27" s="514"/>
      <c r="AY27" s="514">
        <v>10</v>
      </c>
      <c r="AZ27" s="514"/>
      <c r="BA27" s="514"/>
      <c r="BB27" s="514"/>
      <c r="BC27" s="514"/>
    </row>
    <row r="28" spans="2:102">
      <c r="B28" s="524" t="s">
        <v>23</v>
      </c>
      <c r="C28" s="525"/>
      <c r="D28" s="525"/>
      <c r="E28" s="525"/>
      <c r="F28" s="525"/>
      <c r="G28" s="525"/>
      <c r="H28" s="525"/>
      <c r="I28" s="525"/>
      <c r="J28" s="525"/>
      <c r="K28" s="525"/>
      <c r="L28" s="525"/>
      <c r="M28" s="525"/>
      <c r="N28" s="525"/>
      <c r="O28" s="525"/>
      <c r="P28" s="525"/>
      <c r="Q28" s="525"/>
      <c r="R28" s="525"/>
      <c r="S28" s="525"/>
      <c r="T28" s="525"/>
      <c r="U28" s="27"/>
      <c r="V28" s="524" t="str">
        <f>FORMULARIO!E47</f>
        <v xml:space="preserve">Salud o Medico </v>
      </c>
      <c r="W28" s="525"/>
      <c r="X28" s="525"/>
      <c r="Y28" s="525"/>
      <c r="Z28" s="525"/>
      <c r="AA28" s="525"/>
      <c r="AB28" s="525"/>
      <c r="AC28" s="525"/>
      <c r="AD28" s="525"/>
      <c r="AE28" s="525"/>
      <c r="AF28" s="525"/>
      <c r="AG28" s="525"/>
      <c r="AH28" s="525"/>
      <c r="AI28" s="525"/>
      <c r="AJ28" s="525"/>
      <c r="AK28" s="525"/>
      <c r="AL28" s="525"/>
      <c r="AM28" s="525"/>
      <c r="AN28" s="526"/>
      <c r="AO28" s="514">
        <f>IFERROR(VLOOKUP(V28,'Datos - analisis garantia'!O38:P45,2,FALSE),0)</f>
        <v>15</v>
      </c>
      <c r="AP28" s="514"/>
      <c r="AQ28" s="514"/>
      <c r="AR28" s="514"/>
      <c r="AS28" s="514"/>
      <c r="AT28" s="514">
        <v>3</v>
      </c>
      <c r="AU28" s="514"/>
      <c r="AV28" s="514"/>
      <c r="AW28" s="514"/>
      <c r="AX28" s="514"/>
      <c r="AY28" s="514">
        <v>20</v>
      </c>
      <c r="AZ28" s="514"/>
      <c r="BA28" s="514"/>
      <c r="BB28" s="514"/>
      <c r="BC28" s="514"/>
      <c r="BH28" t="s">
        <v>234</v>
      </c>
      <c r="BR28" t="s">
        <v>235</v>
      </c>
      <c r="CI28" s="371">
        <f>(0.35*51)/0.15</f>
        <v>118.99999999999999</v>
      </c>
      <c r="CJ28" s="371"/>
      <c r="CK28" s="371"/>
    </row>
    <row r="29" spans="2:102">
      <c r="B29" s="524" t="s">
        <v>137</v>
      </c>
      <c r="C29" s="525"/>
      <c r="D29" s="525"/>
      <c r="E29" s="525"/>
      <c r="F29" s="525"/>
      <c r="G29" s="525"/>
      <c r="H29" s="525"/>
      <c r="I29" s="525"/>
      <c r="J29" s="525"/>
      <c r="K29" s="525"/>
      <c r="L29" s="525"/>
      <c r="M29" s="525"/>
      <c r="N29" s="525"/>
      <c r="O29" s="525"/>
      <c r="P29" s="525"/>
      <c r="Q29" s="525"/>
      <c r="R29" s="525"/>
      <c r="S29" s="525"/>
      <c r="T29" s="525"/>
      <c r="U29" s="27"/>
      <c r="V29" s="524">
        <f>FORMULARIO!H55</f>
        <v>0</v>
      </c>
      <c r="W29" s="525"/>
      <c r="X29" s="525"/>
      <c r="Y29" s="525"/>
      <c r="Z29" s="525"/>
      <c r="AA29" s="525"/>
      <c r="AB29" s="525"/>
      <c r="AC29" s="525"/>
      <c r="AD29" s="525"/>
      <c r="AE29" s="525"/>
      <c r="AF29" s="525"/>
      <c r="AG29" s="525"/>
      <c r="AH29" s="525"/>
      <c r="AI29" s="525"/>
      <c r="AJ29" s="525"/>
      <c r="AK29" s="525"/>
      <c r="AL29" s="525"/>
      <c r="AM29" s="525"/>
      <c r="AN29" s="526"/>
      <c r="AO29" s="514">
        <f>IFERROR(VLOOKUP(V29,'Datos - analisis garantia'!V38:W39,2,FALSE),0)</f>
        <v>0</v>
      </c>
      <c r="AP29" s="514"/>
      <c r="AQ29" s="514"/>
      <c r="AR29" s="514"/>
      <c r="AS29" s="514"/>
      <c r="AT29" s="514">
        <v>2</v>
      </c>
      <c r="AU29" s="514"/>
      <c r="AV29" s="514"/>
      <c r="AW29" s="514"/>
      <c r="AX29" s="514"/>
      <c r="AY29" s="514">
        <v>10</v>
      </c>
      <c r="AZ29" s="514"/>
      <c r="BA29" s="514"/>
      <c r="BB29" s="514"/>
      <c r="BC29" s="514"/>
      <c r="BH29" t="s">
        <v>238</v>
      </c>
      <c r="BI29" s="371">
        <v>25</v>
      </c>
      <c r="BJ29" s="371"/>
      <c r="BK29" s="371"/>
      <c r="BR29" s="371">
        <v>25</v>
      </c>
      <c r="BS29" s="371"/>
      <c r="BT29" s="371"/>
      <c r="CI29" s="371">
        <f>SUM(AT32:AW35)</f>
        <v>21</v>
      </c>
      <c r="CJ29" s="371"/>
      <c r="CK29" s="371"/>
    </row>
    <row r="30" spans="2:102">
      <c r="B30" s="524" t="s">
        <v>34</v>
      </c>
      <c r="C30" s="525"/>
      <c r="D30" s="525"/>
      <c r="E30" s="525"/>
      <c r="F30" s="525"/>
      <c r="G30" s="525"/>
      <c r="H30" s="525"/>
      <c r="I30" s="525"/>
      <c r="J30" s="525"/>
      <c r="K30" s="525"/>
      <c r="L30" s="525"/>
      <c r="M30" s="525"/>
      <c r="N30" s="525"/>
      <c r="O30" s="525"/>
      <c r="P30" s="525"/>
      <c r="Q30" s="525"/>
      <c r="R30" s="525"/>
      <c r="S30" s="525"/>
      <c r="T30" s="525"/>
      <c r="U30" s="27"/>
      <c r="V30" s="524">
        <f>FORMULARIO!K55</f>
        <v>0</v>
      </c>
      <c r="W30" s="525"/>
      <c r="X30" s="525"/>
      <c r="Y30" s="525"/>
      <c r="Z30" s="525"/>
      <c r="AA30" s="525"/>
      <c r="AB30" s="525"/>
      <c r="AC30" s="525"/>
      <c r="AD30" s="525"/>
      <c r="AE30" s="525"/>
      <c r="AF30" s="525"/>
      <c r="AG30" s="525"/>
      <c r="AH30" s="525"/>
      <c r="AI30" s="525"/>
      <c r="AJ30" s="525"/>
      <c r="AK30" s="525"/>
      <c r="AL30" s="525"/>
      <c r="AM30" s="525"/>
      <c r="AN30" s="526"/>
      <c r="AO30" s="514">
        <f>IFERROR(VLOOKUP(V30,'Datos - analisis garantia'!Y38:Z39,2,FALSE),0)</f>
        <v>0</v>
      </c>
      <c r="AP30" s="514"/>
      <c r="AQ30" s="514"/>
      <c r="AR30" s="514"/>
      <c r="AS30" s="514"/>
      <c r="AT30" s="514">
        <v>2</v>
      </c>
      <c r="AU30" s="514"/>
      <c r="AV30" s="514"/>
      <c r="AW30" s="514"/>
      <c r="AX30" s="514"/>
      <c r="AY30" s="514">
        <v>10</v>
      </c>
      <c r="AZ30" s="514"/>
      <c r="BA30" s="514"/>
      <c r="BB30" s="514"/>
      <c r="BC30" s="514"/>
      <c r="BH30" t="s">
        <v>239</v>
      </c>
      <c r="BI30" s="371"/>
      <c r="BJ30" s="371"/>
      <c r="BK30" s="371"/>
      <c r="BR30" s="371"/>
      <c r="BS30" s="371"/>
      <c r="BT30" s="371"/>
    </row>
    <row r="31" spans="2:102">
      <c r="B31" s="524" t="s">
        <v>274</v>
      </c>
      <c r="C31" s="525"/>
      <c r="D31" s="525"/>
      <c r="E31" s="525"/>
      <c r="F31" s="525"/>
      <c r="G31" s="525"/>
      <c r="H31" s="525"/>
      <c r="I31" s="525"/>
      <c r="J31" s="525"/>
      <c r="K31" s="525"/>
      <c r="L31" s="525"/>
      <c r="M31" s="525"/>
      <c r="N31" s="525"/>
      <c r="O31" s="525"/>
      <c r="P31" s="525"/>
      <c r="Q31" s="525"/>
      <c r="R31" s="525"/>
      <c r="S31" s="525"/>
      <c r="T31" s="525"/>
      <c r="U31" s="27"/>
      <c r="V31" s="524">
        <f>FORMULARIO!C57</f>
        <v>0</v>
      </c>
      <c r="W31" s="525"/>
      <c r="X31" s="525"/>
      <c r="Y31" s="525"/>
      <c r="Z31" s="525"/>
      <c r="AA31" s="525"/>
      <c r="AB31" s="525"/>
      <c r="AC31" s="525"/>
      <c r="AD31" s="525"/>
      <c r="AE31" s="525"/>
      <c r="AF31" s="525"/>
      <c r="AG31" s="525"/>
      <c r="AH31" s="525"/>
      <c r="AI31" s="525"/>
      <c r="AJ31" s="525"/>
      <c r="AK31" s="525"/>
      <c r="AL31" s="525"/>
      <c r="AM31" s="525"/>
      <c r="AN31" s="526"/>
      <c r="AO31" s="514">
        <f>IFERROR(VLOOKUP(V31,'Datos - analisis garantia'!AB38:AC39,2,FALSE),0)</f>
        <v>0</v>
      </c>
      <c r="AP31" s="514"/>
      <c r="AQ31" s="514"/>
      <c r="AR31" s="514"/>
      <c r="AS31" s="514"/>
      <c r="AT31" s="514">
        <v>1</v>
      </c>
      <c r="AU31" s="514"/>
      <c r="AV31" s="514"/>
      <c r="AW31" s="514"/>
      <c r="AX31" s="514"/>
      <c r="AY31" s="514">
        <v>5</v>
      </c>
      <c r="AZ31" s="514"/>
      <c r="BA31" s="514"/>
      <c r="BB31" s="514"/>
      <c r="BC31" s="514"/>
      <c r="BH31" t="s">
        <v>240</v>
      </c>
      <c r="BI31" s="371"/>
      <c r="BJ31" s="371"/>
      <c r="BK31" s="371"/>
      <c r="BR31" s="371"/>
      <c r="BS31" s="371"/>
      <c r="BT31" s="371"/>
    </row>
    <row r="32" spans="2:102">
      <c r="B32" s="519" t="s">
        <v>266</v>
      </c>
      <c r="C32" s="520"/>
      <c r="D32" s="520"/>
      <c r="E32" s="520"/>
      <c r="F32" s="520"/>
      <c r="G32" s="520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26"/>
      <c r="V32" s="519">
        <f>FORMULARIO!D86</f>
        <v>0</v>
      </c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0"/>
      <c r="AH32" s="520"/>
      <c r="AI32" s="520"/>
      <c r="AJ32" s="520"/>
      <c r="AK32" s="520"/>
      <c r="AL32" s="520"/>
      <c r="AM32" s="520"/>
      <c r="AN32" s="521"/>
      <c r="AO32" s="515">
        <f>IFERROR(VLOOKUP(V32,'Datos - analisis garantia'!C61:D68,2,FALSE),0)</f>
        <v>0</v>
      </c>
      <c r="AP32" s="515"/>
      <c r="AQ32" s="515"/>
      <c r="AR32" s="515"/>
      <c r="AS32" s="515"/>
      <c r="AT32" s="515">
        <v>5</v>
      </c>
      <c r="AU32" s="515"/>
      <c r="AV32" s="515"/>
      <c r="AW32" s="515"/>
      <c r="AX32" s="515"/>
      <c r="AY32" s="515">
        <v>40</v>
      </c>
      <c r="AZ32" s="515"/>
      <c r="BA32" s="515"/>
      <c r="BB32" s="515"/>
      <c r="BC32" s="515"/>
      <c r="BH32" t="s">
        <v>241</v>
      </c>
      <c r="BI32" s="371">
        <v>118</v>
      </c>
      <c r="BJ32" s="371"/>
      <c r="BK32" s="371"/>
      <c r="BR32" s="371">
        <v>117</v>
      </c>
      <c r="BS32" s="371"/>
      <c r="BT32" s="371"/>
    </row>
    <row r="33" spans="2:97">
      <c r="B33" s="519" t="s">
        <v>211</v>
      </c>
      <c r="C33" s="520"/>
      <c r="D33" s="520"/>
      <c r="E33" s="520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26"/>
      <c r="V33" s="519">
        <f>FORMULARIO!H88</f>
        <v>0</v>
      </c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520"/>
      <c r="AI33" s="520"/>
      <c r="AJ33" s="520"/>
      <c r="AK33" s="520"/>
      <c r="AL33" s="520"/>
      <c r="AM33" s="520"/>
      <c r="AN33" s="521"/>
      <c r="AO33" s="515">
        <f>IFERROR(VLOOKUP(V33,'Datos - analisis garantia'!A179:B195,2,FALSE),0)</f>
        <v>0</v>
      </c>
      <c r="AP33" s="515"/>
      <c r="AQ33" s="515"/>
      <c r="AR33" s="515"/>
      <c r="AS33" s="515"/>
      <c r="AT33" s="515">
        <v>5</v>
      </c>
      <c r="AU33" s="515"/>
      <c r="AV33" s="515"/>
      <c r="AW33" s="515"/>
      <c r="AX33" s="515"/>
      <c r="AY33" s="515">
        <v>40</v>
      </c>
      <c r="AZ33" s="515"/>
      <c r="BA33" s="515"/>
      <c r="BB33" s="515"/>
      <c r="BC33" s="515"/>
    </row>
    <row r="34" spans="2:97">
      <c r="B34" s="519" t="s">
        <v>268</v>
      </c>
      <c r="C34" s="520"/>
      <c r="D34" s="520"/>
      <c r="E34" s="520"/>
      <c r="F34" s="520"/>
      <c r="G34" s="520"/>
      <c r="H34" s="520"/>
      <c r="I34" s="520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26"/>
      <c r="V34" s="519">
        <f>FORMULARIO!L92</f>
        <v>0</v>
      </c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0"/>
      <c r="AH34" s="520"/>
      <c r="AI34" s="520"/>
      <c r="AJ34" s="520"/>
      <c r="AK34" s="520"/>
      <c r="AL34" s="520"/>
      <c r="AM34" s="520"/>
      <c r="AN34" s="521"/>
      <c r="AO34" s="515">
        <f>IFERROR(VLOOKUP(V34,'Datos - analisis garantia'!F61:G62,2,FALSE),0)</f>
        <v>0</v>
      </c>
      <c r="AP34" s="515"/>
      <c r="AQ34" s="515"/>
      <c r="AR34" s="515"/>
      <c r="AS34" s="515"/>
      <c r="AT34" s="515">
        <v>6</v>
      </c>
      <c r="AU34" s="515"/>
      <c r="AV34" s="515"/>
      <c r="AW34" s="515"/>
      <c r="AX34" s="515"/>
      <c r="AY34" s="515">
        <v>30</v>
      </c>
      <c r="AZ34" s="515"/>
      <c r="BA34" s="515"/>
      <c r="BB34" s="515"/>
      <c r="BC34" s="515"/>
      <c r="BI34" s="371"/>
      <c r="BJ34" s="371"/>
      <c r="BK34" s="371"/>
      <c r="BR34" s="371"/>
      <c r="BS34" s="371"/>
      <c r="BT34" s="371"/>
    </row>
    <row r="35" spans="2:97">
      <c r="B35" s="519" t="s">
        <v>275</v>
      </c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26"/>
      <c r="V35" s="519">
        <f>FORMULARIO!C57</f>
        <v>0</v>
      </c>
      <c r="W35" s="520"/>
      <c r="X35" s="520"/>
      <c r="Y35" s="520"/>
      <c r="Z35" s="520"/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/>
      <c r="AL35" s="520"/>
      <c r="AM35" s="520"/>
      <c r="AN35" s="521"/>
      <c r="AO35" s="515">
        <f>IFERROR(VLOOKUP(V35,'Datos - analisis garantia'!P61:Q62,2,FALSE),0)</f>
        <v>0</v>
      </c>
      <c r="AP35" s="515"/>
      <c r="AQ35" s="515"/>
      <c r="AR35" s="515"/>
      <c r="AS35" s="515"/>
      <c r="AT35" s="515">
        <v>5</v>
      </c>
      <c r="AU35" s="515"/>
      <c r="AV35" s="515"/>
      <c r="AW35" s="515"/>
      <c r="AX35" s="515"/>
      <c r="AY35" s="515">
        <v>9</v>
      </c>
      <c r="AZ35" s="515"/>
      <c r="BA35" s="515"/>
      <c r="BB35" s="515"/>
      <c r="BC35" s="515"/>
      <c r="BI35" s="3"/>
      <c r="BJ35" s="3"/>
      <c r="BK35" s="3"/>
      <c r="BR35" s="3"/>
      <c r="BS35" s="3"/>
      <c r="BT35" s="3"/>
    </row>
    <row r="36" spans="2:97">
      <c r="B36" s="516" t="s">
        <v>204</v>
      </c>
      <c r="C36" s="517"/>
      <c r="D36" s="517"/>
      <c r="E36" s="517"/>
      <c r="F36" s="517"/>
      <c r="G36" s="517"/>
      <c r="H36" s="517"/>
      <c r="I36" s="517"/>
      <c r="J36" s="517"/>
      <c r="K36" s="517"/>
      <c r="L36" s="517"/>
      <c r="M36" s="517"/>
      <c r="N36" s="517"/>
      <c r="O36" s="517"/>
      <c r="P36" s="517"/>
      <c r="Q36" s="517"/>
      <c r="R36" s="517"/>
      <c r="S36" s="517"/>
      <c r="T36" s="517"/>
      <c r="U36" s="25"/>
      <c r="V36" s="516">
        <f>FORMULARIO!B105</f>
        <v>0</v>
      </c>
      <c r="W36" s="517"/>
      <c r="X36" s="517"/>
      <c r="Y36" s="517"/>
      <c r="Z36" s="517"/>
      <c r="AA36" s="517"/>
      <c r="AB36" s="517"/>
      <c r="AC36" s="517"/>
      <c r="AD36" s="517"/>
      <c r="AE36" s="517"/>
      <c r="AF36" s="517"/>
      <c r="AG36" s="517"/>
      <c r="AH36" s="517"/>
      <c r="AI36" s="517"/>
      <c r="AJ36" s="517"/>
      <c r="AK36" s="517"/>
      <c r="AL36" s="517"/>
      <c r="AM36" s="517"/>
      <c r="AN36" s="518"/>
      <c r="AO36" s="545">
        <f>IFERROR(VLOOKUP(V36,'Datos - analisis garantia'!A112:B142,2,FALSE),0)</f>
        <v>0</v>
      </c>
      <c r="AP36" s="545"/>
      <c r="AQ36" s="545"/>
      <c r="AR36" s="545"/>
      <c r="AS36" s="545"/>
      <c r="AT36" s="545">
        <v>5</v>
      </c>
      <c r="AU36" s="545"/>
      <c r="AV36" s="545"/>
      <c r="AW36" s="545"/>
      <c r="AX36" s="545"/>
      <c r="AY36" s="545">
        <v>20</v>
      </c>
      <c r="AZ36" s="545"/>
      <c r="BA36" s="545"/>
      <c r="BB36" s="545"/>
      <c r="BC36" s="545"/>
      <c r="BI36" s="3"/>
      <c r="BJ36" s="3"/>
      <c r="BK36" s="3"/>
      <c r="BR36" s="3"/>
      <c r="BS36" s="3"/>
      <c r="BT36" s="3"/>
    </row>
    <row r="37" spans="2:97">
      <c r="B37" s="516" t="s">
        <v>242</v>
      </c>
      <c r="C37" s="517"/>
      <c r="D37" s="517"/>
      <c r="E37" s="517"/>
      <c r="F37" s="517"/>
      <c r="G37" s="517"/>
      <c r="H37" s="517"/>
      <c r="I37" s="517"/>
      <c r="J37" s="517"/>
      <c r="K37" s="517"/>
      <c r="L37" s="517"/>
      <c r="M37" s="517"/>
      <c r="N37" s="517"/>
      <c r="O37" s="517"/>
      <c r="P37" s="517"/>
      <c r="Q37" s="517"/>
      <c r="R37" s="517"/>
      <c r="S37" s="517"/>
      <c r="T37" s="517"/>
      <c r="U37" s="25"/>
      <c r="V37" s="516">
        <f>FORMULARIO!G105</f>
        <v>0</v>
      </c>
      <c r="W37" s="517"/>
      <c r="X37" s="517"/>
      <c r="Y37" s="517"/>
      <c r="Z37" s="517"/>
      <c r="AA37" s="517"/>
      <c r="AB37" s="517"/>
      <c r="AC37" s="517"/>
      <c r="AD37" s="517"/>
      <c r="AE37" s="517"/>
      <c r="AF37" s="517"/>
      <c r="AG37" s="517"/>
      <c r="AH37" s="517"/>
      <c r="AI37" s="517"/>
      <c r="AJ37" s="517"/>
      <c r="AK37" s="517"/>
      <c r="AL37" s="517"/>
      <c r="AM37" s="517"/>
      <c r="AN37" s="518"/>
      <c r="AO37" s="545">
        <f>IFERROR(VLOOKUP(V37,'Datos - analisis garantia'!A154:B175,2,FALSE),0)</f>
        <v>0</v>
      </c>
      <c r="AP37" s="545"/>
      <c r="AQ37" s="545"/>
      <c r="AR37" s="545"/>
      <c r="AS37" s="545"/>
      <c r="AT37" s="545">
        <v>3</v>
      </c>
      <c r="AU37" s="545"/>
      <c r="AV37" s="545"/>
      <c r="AW37" s="545"/>
      <c r="AX37" s="545"/>
      <c r="AY37" s="545">
        <v>20</v>
      </c>
      <c r="AZ37" s="545"/>
      <c r="BA37" s="545"/>
      <c r="BB37" s="545"/>
      <c r="BC37" s="545"/>
      <c r="BI37" s="3"/>
      <c r="BJ37" s="3"/>
      <c r="BK37" s="3"/>
      <c r="BR37" s="3"/>
      <c r="BS37" s="3"/>
      <c r="BT37" s="3"/>
    </row>
    <row r="38" spans="2:97">
      <c r="B38" s="516" t="s">
        <v>216</v>
      </c>
      <c r="C38" s="517"/>
      <c r="D38" s="517"/>
      <c r="E38" s="517"/>
      <c r="F38" s="517"/>
      <c r="G38" s="517"/>
      <c r="H38" s="517"/>
      <c r="I38" s="517"/>
      <c r="J38" s="517"/>
      <c r="K38" s="517"/>
      <c r="L38" s="517"/>
      <c r="M38" s="517"/>
      <c r="N38" s="517"/>
      <c r="O38" s="517"/>
      <c r="P38" s="517"/>
      <c r="Q38" s="517"/>
      <c r="R38" s="517"/>
      <c r="S38" s="517"/>
      <c r="T38" s="517"/>
      <c r="U38" s="25"/>
      <c r="V38" s="516">
        <f>FORMULARIO!D107</f>
        <v>0</v>
      </c>
      <c r="W38" s="517"/>
      <c r="X38" s="517"/>
      <c r="Y38" s="517"/>
      <c r="Z38" s="517"/>
      <c r="AA38" s="517"/>
      <c r="AB38" s="517"/>
      <c r="AC38" s="517"/>
      <c r="AD38" s="517"/>
      <c r="AE38" s="517"/>
      <c r="AF38" s="517"/>
      <c r="AG38" s="517"/>
      <c r="AH38" s="517"/>
      <c r="AI38" s="517"/>
      <c r="AJ38" s="517"/>
      <c r="AK38" s="517"/>
      <c r="AL38" s="517"/>
      <c r="AM38" s="517"/>
      <c r="AN38" s="518"/>
      <c r="AO38" s="545">
        <f>IFERROR(VLOOKUP(V38,'Datos - analisis garantia'!F72:G73,2,FALSE),0)</f>
        <v>0</v>
      </c>
      <c r="AP38" s="545"/>
      <c r="AQ38" s="545"/>
      <c r="AR38" s="545"/>
      <c r="AS38" s="545"/>
      <c r="AT38" s="545">
        <v>3</v>
      </c>
      <c r="AU38" s="545"/>
      <c r="AV38" s="545"/>
      <c r="AW38" s="545"/>
      <c r="AX38" s="545"/>
      <c r="AY38" s="545">
        <v>20</v>
      </c>
      <c r="AZ38" s="545"/>
      <c r="BA38" s="545"/>
      <c r="BB38" s="545"/>
      <c r="BC38" s="545"/>
      <c r="BH38" t="s">
        <v>238</v>
      </c>
      <c r="BI38" s="371">
        <v>45</v>
      </c>
      <c r="BJ38" s="371"/>
      <c r="BK38" s="371"/>
      <c r="BR38" s="371">
        <v>43</v>
      </c>
      <c r="BS38" s="371"/>
      <c r="BT38" s="371"/>
    </row>
    <row r="39" spans="2:97">
      <c r="B39" s="516" t="s">
        <v>269</v>
      </c>
      <c r="C39" s="517"/>
      <c r="D39" s="517"/>
      <c r="E39" s="517"/>
      <c r="F39" s="517"/>
      <c r="G39" s="517"/>
      <c r="H39" s="517"/>
      <c r="I39" s="517"/>
      <c r="J39" s="517"/>
      <c r="K39" s="517"/>
      <c r="L39" s="517"/>
      <c r="M39" s="517"/>
      <c r="N39" s="517"/>
      <c r="O39" s="517"/>
      <c r="P39" s="517"/>
      <c r="Q39" s="517"/>
      <c r="R39" s="517"/>
      <c r="S39" s="517"/>
      <c r="T39" s="517"/>
      <c r="U39" s="25"/>
      <c r="V39" s="516">
        <f>FORMULARIO!K107</f>
        <v>0</v>
      </c>
      <c r="W39" s="517"/>
      <c r="X39" s="517"/>
      <c r="Y39" s="517"/>
      <c r="Z39" s="517"/>
      <c r="AA39" s="517"/>
      <c r="AB39" s="517"/>
      <c r="AC39" s="517"/>
      <c r="AD39" s="517"/>
      <c r="AE39" s="517"/>
      <c r="AF39" s="517"/>
      <c r="AG39" s="517"/>
      <c r="AH39" s="517"/>
      <c r="AI39" s="517"/>
      <c r="AJ39" s="517"/>
      <c r="AK39" s="517"/>
      <c r="AL39" s="517"/>
      <c r="AM39" s="517"/>
      <c r="AN39" s="518"/>
      <c r="AO39" s="545">
        <f>IFERROR(VLOOKUP(V39,'Datos - analisis garantia'!I72:J76,2,FALSE),0)</f>
        <v>0</v>
      </c>
      <c r="AP39" s="545"/>
      <c r="AQ39" s="545"/>
      <c r="AR39" s="545"/>
      <c r="AS39" s="545"/>
      <c r="AT39" s="545">
        <v>3</v>
      </c>
      <c r="AU39" s="545"/>
      <c r="AV39" s="545"/>
      <c r="AW39" s="545"/>
      <c r="AX39" s="545"/>
      <c r="AY39" s="545">
        <v>20</v>
      </c>
      <c r="AZ39" s="545"/>
      <c r="BA39" s="545"/>
      <c r="BB39" s="545"/>
      <c r="BC39" s="545"/>
      <c r="BH39" t="s">
        <v>239</v>
      </c>
      <c r="BI39" s="371">
        <v>65</v>
      </c>
      <c r="BJ39" s="371"/>
      <c r="BK39" s="371"/>
      <c r="BR39" s="371">
        <v>63</v>
      </c>
      <c r="BS39" s="371"/>
      <c r="BT39" s="371"/>
    </row>
    <row r="40" spans="2:97">
      <c r="B40" s="516" t="s">
        <v>219</v>
      </c>
      <c r="C40" s="517"/>
      <c r="D40" s="517"/>
      <c r="E40" s="517"/>
      <c r="F40" s="517"/>
      <c r="G40" s="517"/>
      <c r="H40" s="517"/>
      <c r="I40" s="517"/>
      <c r="J40" s="517"/>
      <c r="K40" s="517"/>
      <c r="L40" s="517"/>
      <c r="M40" s="517"/>
      <c r="N40" s="517"/>
      <c r="O40" s="517"/>
      <c r="P40" s="517"/>
      <c r="Q40" s="517"/>
      <c r="R40" s="517"/>
      <c r="S40" s="517"/>
      <c r="T40" s="517"/>
      <c r="U40" s="25"/>
      <c r="V40" s="516">
        <f>FORMULARIO!G113</f>
        <v>0</v>
      </c>
      <c r="W40" s="517"/>
      <c r="X40" s="517"/>
      <c r="Y40" s="517"/>
      <c r="Z40" s="517"/>
      <c r="AA40" s="517"/>
      <c r="AB40" s="517"/>
      <c r="AC40" s="517"/>
      <c r="AD40" s="517"/>
      <c r="AE40" s="517"/>
      <c r="AF40" s="517"/>
      <c r="AG40" s="517"/>
      <c r="AH40" s="517"/>
      <c r="AI40" s="517"/>
      <c r="AJ40" s="517"/>
      <c r="AK40" s="517"/>
      <c r="AL40" s="517"/>
      <c r="AM40" s="517"/>
      <c r="AN40" s="518"/>
      <c r="AO40" s="545">
        <f>IFERROR(VLOOKUP(V40,'Datos - analisis garantia'!U72:V73,2,FALSE),0)</f>
        <v>0</v>
      </c>
      <c r="AP40" s="545"/>
      <c r="AQ40" s="545"/>
      <c r="AR40" s="545"/>
      <c r="AS40" s="545"/>
      <c r="AT40" s="545">
        <v>3</v>
      </c>
      <c r="AU40" s="545"/>
      <c r="AV40" s="545"/>
      <c r="AW40" s="545"/>
      <c r="AX40" s="545"/>
      <c r="AY40" s="545">
        <v>20</v>
      </c>
      <c r="AZ40" s="545"/>
      <c r="BA40" s="545"/>
      <c r="BB40" s="545"/>
      <c r="BC40" s="545"/>
      <c r="BH40" t="s">
        <v>240</v>
      </c>
      <c r="BI40" s="371">
        <v>85</v>
      </c>
      <c r="BJ40" s="371"/>
      <c r="BK40" s="371"/>
      <c r="BR40" s="371">
        <v>83</v>
      </c>
      <c r="BS40" s="371"/>
      <c r="BT40" s="371"/>
    </row>
    <row r="41" spans="2:97" ht="15.75" thickBot="1">
      <c r="B41" s="552" t="s">
        <v>276</v>
      </c>
      <c r="C41" s="553"/>
      <c r="D41" s="553"/>
      <c r="E41" s="553"/>
      <c r="F41" s="553"/>
      <c r="G41" s="553"/>
      <c r="H41" s="553"/>
      <c r="I41" s="553"/>
      <c r="J41" s="553"/>
      <c r="K41" s="553"/>
      <c r="L41" s="553"/>
      <c r="M41" s="553"/>
      <c r="N41" s="553"/>
      <c r="O41" s="553"/>
      <c r="P41" s="553"/>
      <c r="Q41" s="553"/>
      <c r="R41" s="553"/>
      <c r="S41" s="553"/>
      <c r="T41" s="553"/>
      <c r="U41" s="34"/>
      <c r="V41" s="552">
        <f>FORMULARIO!E121</f>
        <v>0</v>
      </c>
      <c r="W41" s="553"/>
      <c r="X41" s="553"/>
      <c r="Y41" s="553"/>
      <c r="Z41" s="553"/>
      <c r="AA41" s="553"/>
      <c r="AB41" s="553"/>
      <c r="AC41" s="553"/>
      <c r="AD41" s="553"/>
      <c r="AE41" s="553"/>
      <c r="AF41" s="553"/>
      <c r="AG41" s="553"/>
      <c r="AH41" s="553"/>
      <c r="AI41" s="553"/>
      <c r="AJ41" s="553"/>
      <c r="AK41" s="553"/>
      <c r="AL41" s="553"/>
      <c r="AM41" s="553"/>
      <c r="AN41" s="554"/>
      <c r="AO41" s="545">
        <f>IFERROR(VLOOKUP(V41,'Datos - analisis garantia'!Y72:Z73,2,FALSE),0)</f>
        <v>0</v>
      </c>
      <c r="AP41" s="545"/>
      <c r="AQ41" s="545"/>
      <c r="AR41" s="545"/>
      <c r="AS41" s="545"/>
      <c r="AT41" s="545">
        <v>4</v>
      </c>
      <c r="AU41" s="545"/>
      <c r="AV41" s="545"/>
      <c r="AW41" s="545"/>
      <c r="AX41" s="545"/>
      <c r="AY41" s="545">
        <v>19</v>
      </c>
      <c r="AZ41" s="545"/>
      <c r="BA41" s="545"/>
      <c r="BB41" s="545"/>
      <c r="BC41" s="545"/>
      <c r="BH41" t="s">
        <v>241</v>
      </c>
      <c r="BI41" s="371">
        <v>105</v>
      </c>
      <c r="BJ41" s="371"/>
      <c r="BK41" s="371"/>
      <c r="BR41" s="371">
        <v>103</v>
      </c>
      <c r="BS41" s="371"/>
      <c r="BT41" s="371"/>
    </row>
    <row r="42" spans="2:97"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V42" s="373"/>
      <c r="W42" s="373"/>
      <c r="X42" s="373"/>
      <c r="Y42" s="373"/>
      <c r="Z42" s="373"/>
      <c r="AA42" s="373"/>
      <c r="AB42" s="373"/>
      <c r="AC42" s="373"/>
      <c r="AD42" s="373"/>
      <c r="AE42" s="373"/>
      <c r="AF42" s="373"/>
      <c r="AG42" s="373"/>
      <c r="AH42" s="373"/>
      <c r="AI42" s="373"/>
      <c r="AJ42" s="373"/>
      <c r="AK42" s="373"/>
      <c r="AL42" s="373"/>
      <c r="AM42" s="373"/>
      <c r="AN42" s="373"/>
      <c r="AO42" s="555"/>
      <c r="AP42" s="555"/>
      <c r="AQ42" s="555"/>
      <c r="AR42" s="555"/>
      <c r="AS42" s="555"/>
      <c r="AT42" s="371"/>
      <c r="AU42" s="371"/>
      <c r="AV42" s="371"/>
      <c r="AW42" s="371"/>
      <c r="AY42" s="513"/>
      <c r="AZ42" s="513"/>
      <c r="BA42" s="513"/>
      <c r="BB42" s="513"/>
      <c r="BC42" s="513"/>
    </row>
    <row r="43" spans="2:97"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V43" s="373"/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373"/>
      <c r="AI43" s="373"/>
      <c r="AJ43" s="373"/>
      <c r="AK43" s="373"/>
      <c r="AL43" s="373"/>
      <c r="AM43" s="373"/>
      <c r="AN43" s="373"/>
      <c r="AO43" s="10"/>
      <c r="AP43" s="10"/>
      <c r="AQ43" s="10"/>
      <c r="AR43" s="10"/>
      <c r="AS43" s="10"/>
    </row>
    <row r="44" spans="2:97"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V44" s="373"/>
      <c r="W44" s="373"/>
      <c r="X44" s="373"/>
      <c r="Y44" s="373"/>
      <c r="Z44" s="373"/>
      <c r="AA44" s="373"/>
      <c r="AB44" s="373"/>
      <c r="AC44" s="373"/>
      <c r="AD44" s="373"/>
      <c r="AE44" s="373"/>
      <c r="AF44" s="373"/>
      <c r="AG44" s="373"/>
      <c r="AH44" s="373"/>
      <c r="AI44" s="373"/>
      <c r="AJ44" s="373"/>
      <c r="AK44" s="373"/>
      <c r="AL44" s="373"/>
      <c r="AM44" s="373"/>
      <c r="AN44" s="373"/>
      <c r="AO44" s="10"/>
      <c r="AP44" s="10"/>
      <c r="AQ44" s="10"/>
      <c r="AR44" s="10"/>
      <c r="AS44" s="10"/>
      <c r="CH44" s="371"/>
      <c r="CI44" s="371"/>
      <c r="CJ44" s="371"/>
      <c r="CK44" s="371"/>
      <c r="CL44" s="371"/>
      <c r="CM44" s="371"/>
      <c r="CN44" s="371"/>
      <c r="CO44" s="371"/>
      <c r="CP44" s="371"/>
      <c r="CQ44" s="371"/>
      <c r="CR44" s="371"/>
      <c r="CS44" s="371"/>
    </row>
    <row r="45" spans="2:97">
      <c r="B45" s="373"/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  <c r="V45" s="373"/>
      <c r="W45" s="373"/>
      <c r="X45" s="373"/>
      <c r="Y45" s="373"/>
      <c r="Z45" s="373"/>
      <c r="AA45" s="373"/>
      <c r="AB45" s="373"/>
      <c r="AC45" s="373"/>
      <c r="AD45" s="373"/>
      <c r="AE45" s="373"/>
      <c r="AF45" s="373"/>
      <c r="AG45" s="373"/>
      <c r="AH45" s="373"/>
      <c r="AI45" s="373"/>
      <c r="AJ45" s="373"/>
      <c r="AK45" s="373"/>
      <c r="AL45" s="373"/>
      <c r="AM45" s="373"/>
      <c r="AN45" s="373"/>
      <c r="AO45" s="10"/>
      <c r="AP45" s="10"/>
      <c r="AQ45" s="10"/>
      <c r="AR45" s="10"/>
      <c r="AS45" s="10"/>
      <c r="CH45" s="371"/>
      <c r="CI45" s="371"/>
      <c r="CJ45" s="371"/>
      <c r="CK45" s="371"/>
      <c r="CL45" s="371"/>
      <c r="CM45" s="371"/>
      <c r="CN45" s="371"/>
      <c r="CO45" s="371"/>
      <c r="CP45" s="371"/>
      <c r="CQ45" s="371"/>
      <c r="CR45" s="371"/>
      <c r="CS45" s="371"/>
    </row>
    <row r="46" spans="2:97"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V46" s="373"/>
      <c r="W46" s="373"/>
      <c r="X46" s="373"/>
      <c r="Y46" s="373"/>
      <c r="Z46" s="373"/>
      <c r="AA46" s="373"/>
      <c r="AB46" s="373"/>
      <c r="AC46" s="373"/>
      <c r="AD46" s="373"/>
      <c r="AE46" s="373"/>
      <c r="AF46" s="373"/>
      <c r="AG46" s="373"/>
      <c r="AH46" s="373"/>
      <c r="AI46" s="373"/>
      <c r="AJ46" s="373"/>
      <c r="AK46" s="373"/>
      <c r="AL46" s="373"/>
      <c r="AM46" s="373"/>
      <c r="AN46" s="373"/>
      <c r="AO46" s="10"/>
      <c r="AP46" s="10"/>
      <c r="AQ46" s="10"/>
      <c r="AR46" s="10"/>
      <c r="AS46" s="10"/>
      <c r="BH46" t="s">
        <v>238</v>
      </c>
      <c r="BI46" s="371">
        <v>50</v>
      </c>
      <c r="BJ46" s="371"/>
      <c r="BK46" s="371"/>
      <c r="BU46" t="s">
        <v>261</v>
      </c>
      <c r="CH46" s="371">
        <f>SUM(AT10:AX12)</f>
        <v>15</v>
      </c>
      <c r="CI46" s="371"/>
      <c r="CJ46" s="371"/>
      <c r="CK46" s="371">
        <f>SUM(AY10:BC12)</f>
        <v>85</v>
      </c>
      <c r="CL46" s="371"/>
      <c r="CM46" s="371"/>
      <c r="CN46" s="371"/>
      <c r="CO46" s="371"/>
      <c r="CP46" s="371"/>
      <c r="CQ46" s="371"/>
      <c r="CR46" s="371"/>
      <c r="CS46" s="371"/>
    </row>
    <row r="47" spans="2:97"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V47" s="373"/>
      <c r="W47" s="373"/>
      <c r="X47" s="373"/>
      <c r="Y47" s="373"/>
      <c r="Z47" s="373"/>
      <c r="AA47" s="373"/>
      <c r="AB47" s="373"/>
      <c r="AC47" s="373"/>
      <c r="AD47" s="373"/>
      <c r="AE47" s="373"/>
      <c r="AF47" s="373"/>
      <c r="AG47" s="373"/>
      <c r="AH47" s="373"/>
      <c r="AI47" s="373"/>
      <c r="AJ47" s="373"/>
      <c r="AK47" s="373"/>
      <c r="AL47" s="373"/>
      <c r="AM47" s="373"/>
      <c r="AN47" s="373"/>
      <c r="AO47" s="10"/>
      <c r="AP47" s="10"/>
      <c r="AQ47" s="10"/>
      <c r="AR47" s="10"/>
      <c r="AS47" s="10"/>
      <c r="BH47" t="s">
        <v>239</v>
      </c>
      <c r="BI47" s="371">
        <v>75</v>
      </c>
      <c r="BJ47" s="371"/>
      <c r="BK47" s="371"/>
      <c r="BU47" t="s">
        <v>262</v>
      </c>
      <c r="CH47" s="371">
        <f>SUM(AT13:AX23)</f>
        <v>9</v>
      </c>
      <c r="CI47" s="371"/>
      <c r="CJ47" s="371"/>
      <c r="CK47" s="371">
        <f>SUM(AY13:BC23)</f>
        <v>51</v>
      </c>
      <c r="CL47" s="371"/>
      <c r="CM47" s="371"/>
      <c r="CN47" s="371"/>
      <c r="CO47" s="371"/>
      <c r="CP47" s="371"/>
      <c r="CQ47" s="371"/>
      <c r="CR47" s="371"/>
      <c r="CS47" s="371"/>
    </row>
    <row r="48" spans="2:97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0"/>
      <c r="AP48" s="10"/>
      <c r="AQ48" s="10"/>
      <c r="AR48" s="10"/>
      <c r="AS48" s="10"/>
      <c r="BH48" t="s">
        <v>240</v>
      </c>
      <c r="BI48" s="371">
        <v>100</v>
      </c>
      <c r="BJ48" s="371"/>
      <c r="BK48" s="371"/>
      <c r="BU48" t="s">
        <v>263</v>
      </c>
      <c r="CH48" s="371">
        <f>SUM(AT24:AX30)</f>
        <v>14</v>
      </c>
      <c r="CI48" s="371"/>
      <c r="CJ48" s="371"/>
      <c r="CK48" s="371">
        <f>SUM(AY24:BC30)</f>
        <v>80</v>
      </c>
      <c r="CL48" s="371"/>
      <c r="CM48" s="371"/>
      <c r="CN48" s="371"/>
      <c r="CO48" s="371"/>
      <c r="CP48" s="371"/>
      <c r="CQ48" s="371"/>
      <c r="CR48" s="371"/>
      <c r="CS48" s="371"/>
    </row>
    <row r="49" spans="2:97">
      <c r="AO49" s="10"/>
      <c r="AP49" s="10"/>
      <c r="AQ49" s="10"/>
      <c r="AR49" s="10"/>
      <c r="AS49" s="10"/>
      <c r="BH49" t="s">
        <v>241</v>
      </c>
      <c r="BI49" s="371">
        <v>125</v>
      </c>
      <c r="BJ49" s="371"/>
      <c r="BK49" s="371"/>
      <c r="BU49" t="s">
        <v>234</v>
      </c>
      <c r="CH49" s="371">
        <f>SUM(AT32:AX34)</f>
        <v>16</v>
      </c>
      <c r="CI49" s="371"/>
      <c r="CJ49" s="371"/>
      <c r="CK49" s="371">
        <f>SUM(AY32:BC34)</f>
        <v>110</v>
      </c>
      <c r="CL49" s="371"/>
      <c r="CM49" s="371"/>
      <c r="CN49" s="371"/>
      <c r="CO49" s="371"/>
      <c r="CP49" s="371"/>
      <c r="CQ49" s="371"/>
      <c r="CR49" s="371"/>
      <c r="CS49" s="371"/>
    </row>
    <row r="50" spans="2:97" ht="15.75" thickBot="1">
      <c r="B50" s="547" t="s">
        <v>121</v>
      </c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  <c r="AA50" s="547"/>
      <c r="AB50" s="547"/>
      <c r="AO50" s="6"/>
      <c r="AP50" s="6"/>
      <c r="AQ50" s="6"/>
      <c r="AR50" s="6"/>
      <c r="AS50" s="6"/>
      <c r="BU50" t="s">
        <v>235</v>
      </c>
      <c r="CH50" s="371">
        <f>SUM(AT36:AX40)</f>
        <v>17</v>
      </c>
      <c r="CI50" s="371"/>
      <c r="CJ50" s="371"/>
      <c r="CK50" s="371">
        <f>SUM(AY36:BC40)</f>
        <v>100</v>
      </c>
      <c r="CL50" s="371"/>
      <c r="CM50" s="371"/>
      <c r="CN50" s="371"/>
      <c r="CO50" s="371"/>
      <c r="CP50" s="371"/>
      <c r="CQ50" s="371"/>
      <c r="CR50" s="371"/>
      <c r="CS50" s="371"/>
    </row>
    <row r="51" spans="2:97">
      <c r="B51" s="548" t="s">
        <v>95</v>
      </c>
      <c r="C51" s="549"/>
      <c r="D51" s="549"/>
      <c r="E51" s="549"/>
      <c r="F51" s="549"/>
      <c r="G51" s="550"/>
      <c r="H51" s="550"/>
      <c r="I51" s="550"/>
      <c r="J51" s="550"/>
      <c r="K51" s="550"/>
      <c r="L51" s="550"/>
      <c r="M51" s="550"/>
      <c r="N51" s="550"/>
      <c r="O51" s="11"/>
      <c r="P51" s="549" t="s">
        <v>122</v>
      </c>
      <c r="Q51" s="549"/>
      <c r="R51" s="549"/>
      <c r="S51" s="549"/>
      <c r="T51" s="549"/>
      <c r="U51" s="550"/>
      <c r="V51" s="550"/>
      <c r="W51" s="550"/>
      <c r="X51" s="550"/>
      <c r="Y51" s="550"/>
      <c r="Z51" s="550"/>
      <c r="AA51" s="550"/>
      <c r="AB51" s="551"/>
      <c r="CH51" s="371">
        <f>SUM(CH46:CJ49)</f>
        <v>54</v>
      </c>
      <c r="CI51" s="371"/>
      <c r="CJ51" s="371"/>
      <c r="CK51" s="371">
        <f>SUM(CK46:CM49)</f>
        <v>326</v>
      </c>
      <c r="CL51" s="371"/>
      <c r="CM51" s="371"/>
    </row>
    <row r="52" spans="2:97">
      <c r="B52" s="12"/>
      <c r="AB52" s="13"/>
      <c r="CH52" s="371">
        <f>CK51/3</f>
        <v>108.66666666666667</v>
      </c>
      <c r="CI52" s="371"/>
      <c r="CJ52" s="371"/>
    </row>
    <row r="53" spans="2:97" ht="15.75" thickBot="1">
      <c r="B53" s="8"/>
      <c r="C53" s="7"/>
      <c r="D53" s="7"/>
      <c r="E53" s="7"/>
      <c r="F53" s="7"/>
      <c r="G53" s="7"/>
      <c r="H53" s="7"/>
      <c r="I53" s="546" t="str">
        <f>IFERROR((G51-U51)/(G51),"")</f>
        <v/>
      </c>
      <c r="J53" s="546"/>
      <c r="K53" s="546"/>
      <c r="L53" s="546"/>
      <c r="M53" s="7" t="str">
        <f>IF(I53="","","Capacidad de endeudamiento")</f>
        <v/>
      </c>
      <c r="N53" s="14"/>
      <c r="O53" s="14"/>
      <c r="P53" s="14"/>
      <c r="Q53" s="14"/>
      <c r="R53" s="7"/>
      <c r="S53" s="7"/>
      <c r="T53" s="7"/>
      <c r="U53" s="7"/>
      <c r="V53" s="7"/>
      <c r="W53" s="7"/>
      <c r="X53" s="7"/>
      <c r="Y53" s="7"/>
      <c r="Z53" s="7"/>
      <c r="AA53" s="7"/>
      <c r="AB53" s="9"/>
    </row>
  </sheetData>
  <mergeCells count="274">
    <mergeCell ref="B16:T16"/>
    <mergeCell ref="V16:AN16"/>
    <mergeCell ref="B41:T41"/>
    <mergeCell ref="V41:AN41"/>
    <mergeCell ref="AO41:AS41"/>
    <mergeCell ref="AT41:AX41"/>
    <mergeCell ref="AY41:BC41"/>
    <mergeCell ref="AO42:AS42"/>
    <mergeCell ref="AT42:AW42"/>
    <mergeCell ref="AY42:BC42"/>
    <mergeCell ref="AO31:AS31"/>
    <mergeCell ref="AT31:AX31"/>
    <mergeCell ref="AY31:BC31"/>
    <mergeCell ref="V32:AN32"/>
    <mergeCell ref="B33:T33"/>
    <mergeCell ref="V33:AN33"/>
    <mergeCell ref="AO38:AS38"/>
    <mergeCell ref="AO39:AS39"/>
    <mergeCell ref="AO40:AS40"/>
    <mergeCell ref="AO16:AS16"/>
    <mergeCell ref="AO17:AS17"/>
    <mergeCell ref="B36:T36"/>
    <mergeCell ref="B37:T37"/>
    <mergeCell ref="V36:AN36"/>
    <mergeCell ref="CK51:CM51"/>
    <mergeCell ref="AY36:BC36"/>
    <mergeCell ref="AY37:BC37"/>
    <mergeCell ref="AY38:BC38"/>
    <mergeCell ref="AY39:BC39"/>
    <mergeCell ref="AY40:BC40"/>
    <mergeCell ref="AY9:BC9"/>
    <mergeCell ref="CH51:CJ51"/>
    <mergeCell ref="CH52:CJ52"/>
    <mergeCell ref="AY11:BC11"/>
    <mergeCell ref="AY12:BC12"/>
    <mergeCell ref="AY13:BC13"/>
    <mergeCell ref="AY14:BC14"/>
    <mergeCell ref="AY15:BC15"/>
    <mergeCell ref="AY16:BC16"/>
    <mergeCell ref="AY17:BC17"/>
    <mergeCell ref="AY18:BC18"/>
    <mergeCell ref="CH44:CJ44"/>
    <mergeCell ref="CK44:CM44"/>
    <mergeCell ref="CH48:CJ48"/>
    <mergeCell ref="CK48:CM48"/>
    <mergeCell ref="CH45:CJ45"/>
    <mergeCell ref="BI39:BK39"/>
    <mergeCell ref="BI46:BK46"/>
    <mergeCell ref="CN44:CP44"/>
    <mergeCell ref="CQ44:CS44"/>
    <mergeCell ref="AT10:AX10"/>
    <mergeCell ref="AT11:AX11"/>
    <mergeCell ref="AT13:AX13"/>
    <mergeCell ref="AT14:AX14"/>
    <mergeCell ref="AT15:AX15"/>
    <mergeCell ref="AT16:AX16"/>
    <mergeCell ref="AT17:AX17"/>
    <mergeCell ref="AT18:AX18"/>
    <mergeCell ref="AT19:AX19"/>
    <mergeCell ref="AT20:AX20"/>
    <mergeCell ref="AT21:AX21"/>
    <mergeCell ref="AT22:AX22"/>
    <mergeCell ref="AT23:AX23"/>
    <mergeCell ref="AT24:AX24"/>
    <mergeCell ref="AT25:AX25"/>
    <mergeCell ref="AT26:AX26"/>
    <mergeCell ref="AT27:AX27"/>
    <mergeCell ref="AT28:AX28"/>
    <mergeCell ref="AT29:AX29"/>
    <mergeCell ref="AT30:AX30"/>
    <mergeCell ref="CQ16:CS16"/>
    <mergeCell ref="BI38:BK38"/>
    <mergeCell ref="CN48:CP48"/>
    <mergeCell ref="CQ48:CS48"/>
    <mergeCell ref="CH49:CJ49"/>
    <mergeCell ref="CK49:CM49"/>
    <mergeCell ref="CN49:CP49"/>
    <mergeCell ref="CQ49:CS49"/>
    <mergeCell ref="CH50:CJ50"/>
    <mergeCell ref="CK50:CM50"/>
    <mergeCell ref="CN50:CP50"/>
    <mergeCell ref="CQ50:CS50"/>
    <mergeCell ref="CN45:CP45"/>
    <mergeCell ref="CQ45:CS45"/>
    <mergeCell ref="CH46:CJ46"/>
    <mergeCell ref="CK45:CM45"/>
    <mergeCell ref="CN46:CP46"/>
    <mergeCell ref="CQ46:CS46"/>
    <mergeCell ref="CH47:CJ47"/>
    <mergeCell ref="CK47:CM47"/>
    <mergeCell ref="CN47:CP47"/>
    <mergeCell ref="CQ47:CS47"/>
    <mergeCell ref="CK46:CM46"/>
    <mergeCell ref="BI47:BK47"/>
    <mergeCell ref="BI48:BK48"/>
    <mergeCell ref="BI49:BK49"/>
    <mergeCell ref="AT32:AX32"/>
    <mergeCell ref="AT33:AX33"/>
    <mergeCell ref="AT34:AX34"/>
    <mergeCell ref="AT36:AX36"/>
    <mergeCell ref="AT37:AX37"/>
    <mergeCell ref="AT38:AX38"/>
    <mergeCell ref="AT39:AX39"/>
    <mergeCell ref="AT40:AX40"/>
    <mergeCell ref="AY32:BC32"/>
    <mergeCell ref="AT35:AX35"/>
    <mergeCell ref="AY35:BC35"/>
    <mergeCell ref="BI40:BK40"/>
    <mergeCell ref="BI41:BK41"/>
    <mergeCell ref="BF16:BN16"/>
    <mergeCell ref="AO36:AS36"/>
    <mergeCell ref="AO37:AS37"/>
    <mergeCell ref="I53:L53"/>
    <mergeCell ref="B20:T20"/>
    <mergeCell ref="V20:AN20"/>
    <mergeCell ref="AO20:AS20"/>
    <mergeCell ref="AO21:AS21"/>
    <mergeCell ref="B50:AB50"/>
    <mergeCell ref="B51:F51"/>
    <mergeCell ref="G51:N51"/>
    <mergeCell ref="P51:T51"/>
    <mergeCell ref="U51:AB51"/>
    <mergeCell ref="B21:T21"/>
    <mergeCell ref="V21:AN21"/>
    <mergeCell ref="B22:T22"/>
    <mergeCell ref="V22:AN22"/>
    <mergeCell ref="B23:T23"/>
    <mergeCell ref="V23:AN23"/>
    <mergeCell ref="B24:T24"/>
    <mergeCell ref="V24:AN24"/>
    <mergeCell ref="B17:T17"/>
    <mergeCell ref="V17:AN17"/>
    <mergeCell ref="V42:AN42"/>
    <mergeCell ref="J2:BG5"/>
    <mergeCell ref="G7:AJ7"/>
    <mergeCell ref="B10:U10"/>
    <mergeCell ref="V10:AN10"/>
    <mergeCell ref="B11:U11"/>
    <mergeCell ref="V11:AN11"/>
    <mergeCell ref="B13:U13"/>
    <mergeCell ref="V13:AN13"/>
    <mergeCell ref="B14:U14"/>
    <mergeCell ref="V14:AN14"/>
    <mergeCell ref="AO14:AS14"/>
    <mergeCell ref="BF14:BN15"/>
    <mergeCell ref="B15:T15"/>
    <mergeCell ref="V15:AN15"/>
    <mergeCell ref="AO15:AS15"/>
    <mergeCell ref="AO10:AS10"/>
    <mergeCell ref="AO11:AS11"/>
    <mergeCell ref="AO13:AS13"/>
    <mergeCell ref="AO12:AS12"/>
    <mergeCell ref="AT12:AX12"/>
    <mergeCell ref="AT9:AX9"/>
    <mergeCell ref="AY10:BC10"/>
    <mergeCell ref="B12:U12"/>
    <mergeCell ref="V12:AN12"/>
    <mergeCell ref="BF17:BN17"/>
    <mergeCell ref="B18:T18"/>
    <mergeCell ref="V18:AN18"/>
    <mergeCell ref="AO18:AS18"/>
    <mergeCell ref="BF18:BN19"/>
    <mergeCell ref="B19:T19"/>
    <mergeCell ref="V19:AN19"/>
    <mergeCell ref="AY19:BC19"/>
    <mergeCell ref="B35:T35"/>
    <mergeCell ref="V35:AN35"/>
    <mergeCell ref="AO35:AS35"/>
    <mergeCell ref="B31:T31"/>
    <mergeCell ref="V31:AN31"/>
    <mergeCell ref="B25:T25"/>
    <mergeCell ref="V25:AN25"/>
    <mergeCell ref="B26:T26"/>
    <mergeCell ref="V26:AN26"/>
    <mergeCell ref="AY25:BC25"/>
    <mergeCell ref="AY26:BC26"/>
    <mergeCell ref="AY27:BC27"/>
    <mergeCell ref="AY28:BC28"/>
    <mergeCell ref="AY29:BC29"/>
    <mergeCell ref="AO19:AS19"/>
    <mergeCell ref="AY20:BC20"/>
    <mergeCell ref="V37:AN37"/>
    <mergeCell ref="B27:T27"/>
    <mergeCell ref="V27:AN27"/>
    <mergeCell ref="B28:T28"/>
    <mergeCell ref="V28:AN28"/>
    <mergeCell ref="B29:T29"/>
    <mergeCell ref="V29:AN29"/>
    <mergeCell ref="B30:T30"/>
    <mergeCell ref="V30:AN30"/>
    <mergeCell ref="B32:T32"/>
    <mergeCell ref="AO34:AS34"/>
    <mergeCell ref="BI32:BK32"/>
    <mergeCell ref="BI31:BK31"/>
    <mergeCell ref="BR32:BT32"/>
    <mergeCell ref="BR29:BT29"/>
    <mergeCell ref="BR30:BT30"/>
    <mergeCell ref="BR31:BT31"/>
    <mergeCell ref="BR22:BW22"/>
    <mergeCell ref="BI34:BK34"/>
    <mergeCell ref="BR34:BT34"/>
    <mergeCell ref="AO22:AS22"/>
    <mergeCell ref="AO23:AS23"/>
    <mergeCell ref="AO24:AS24"/>
    <mergeCell ref="AO25:AS25"/>
    <mergeCell ref="AO26:AS26"/>
    <mergeCell ref="AO27:AS27"/>
    <mergeCell ref="AY21:BC21"/>
    <mergeCell ref="AY22:BC22"/>
    <mergeCell ref="AY23:BC23"/>
    <mergeCell ref="AY24:BC24"/>
    <mergeCell ref="AY33:BC33"/>
    <mergeCell ref="AY34:BC34"/>
    <mergeCell ref="AY30:BC30"/>
    <mergeCell ref="BI29:BK29"/>
    <mergeCell ref="BI30:BK30"/>
    <mergeCell ref="B47:T47"/>
    <mergeCell ref="V47:AN47"/>
    <mergeCell ref="AO28:AS28"/>
    <mergeCell ref="AO29:AS29"/>
    <mergeCell ref="AO30:AS30"/>
    <mergeCell ref="AO32:AS32"/>
    <mergeCell ref="AO33:AS33"/>
    <mergeCell ref="B44:T44"/>
    <mergeCell ref="V44:AN44"/>
    <mergeCell ref="B45:T45"/>
    <mergeCell ref="V45:AN45"/>
    <mergeCell ref="B46:T46"/>
    <mergeCell ref="V46:AN46"/>
    <mergeCell ref="B40:T40"/>
    <mergeCell ref="V40:AN40"/>
    <mergeCell ref="B42:T42"/>
    <mergeCell ref="B43:T43"/>
    <mergeCell ref="V43:AN43"/>
    <mergeCell ref="B34:T34"/>
    <mergeCell ref="V34:AN34"/>
    <mergeCell ref="B38:T38"/>
    <mergeCell ref="V38:AN38"/>
    <mergeCell ref="B39:T39"/>
    <mergeCell ref="V39:AN39"/>
    <mergeCell ref="BR38:BT38"/>
    <mergeCell ref="BR39:BT39"/>
    <mergeCell ref="BR40:BT40"/>
    <mergeCell ref="BR41:BT41"/>
    <mergeCell ref="CS18:CU18"/>
    <mergeCell ref="CV18:CX18"/>
    <mergeCell ref="CN18:CP18"/>
    <mergeCell ref="CN19:CP19"/>
    <mergeCell ref="CN20:CP20"/>
    <mergeCell ref="CN21:CP21"/>
    <mergeCell ref="BO23:BR23"/>
    <mergeCell ref="BO24:BR24"/>
    <mergeCell ref="BO25:BR25"/>
    <mergeCell ref="CI28:CK28"/>
    <mergeCell ref="CI29:CK29"/>
    <mergeCell ref="CA22:CD22"/>
    <mergeCell ref="CT11:CV11"/>
    <mergeCell ref="CT13:CV13"/>
    <mergeCell ref="CT14:CV14"/>
    <mergeCell ref="CT15:CV15"/>
    <mergeCell ref="CT16:CV16"/>
    <mergeCell ref="CN17:CP17"/>
    <mergeCell ref="CT17:CV17"/>
    <mergeCell ref="CX15:CZ15"/>
    <mergeCell ref="CX16:CZ16"/>
    <mergeCell ref="CN11:CP11"/>
    <mergeCell ref="CN13:CP13"/>
    <mergeCell ref="CN14:CP14"/>
    <mergeCell ref="CN15:CP15"/>
    <mergeCell ref="CN16:CP16"/>
    <mergeCell ref="CQ11:CS11"/>
    <mergeCell ref="CQ13:CS13"/>
    <mergeCell ref="CQ14:CS14"/>
    <mergeCell ref="CQ15:CS15"/>
  </mergeCells>
  <conditionalFormatting sqref="BF14:BN17 BF18 BF20:BN20">
    <cfRule type="expression" dxfId="3" priority="1">
      <formula>$BF$14="D"</formula>
    </cfRule>
    <cfRule type="expression" dxfId="2" priority="2">
      <formula>$BF$14="C"</formula>
    </cfRule>
    <cfRule type="expression" dxfId="1" priority="3">
      <formula>$BF$14="B"</formula>
    </cfRule>
    <cfRule type="expression" dxfId="0" priority="4">
      <formula>$BF$14="A"</formula>
    </cfRule>
  </conditionalFormatting>
  <pageMargins left="0.7" right="0.7" top="0.75" bottom="0.75" header="0.3" footer="0.3"/>
  <pageSetup orientation="portrait" verticalDpi="0" r:id="rId1"/>
  <cellWatches>
    <cellWatch r="BF14"/>
    <cellWatch r="BF18"/>
  </cellWatch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FORMULARIO</vt:lpstr>
      <vt:lpstr>Hoja1</vt:lpstr>
      <vt:lpstr>Detalle vehiculo</vt:lpstr>
      <vt:lpstr>Detalle cliente vehiculo</vt:lpstr>
      <vt:lpstr>Detalle hipotecario</vt:lpstr>
      <vt:lpstr>Detalle cliente hipotecario</vt:lpstr>
      <vt:lpstr>Cálculo RGPI</vt:lpstr>
      <vt:lpstr>Emision de Cheques</vt:lpstr>
      <vt:lpstr> Cotizador cliente</vt:lpstr>
      <vt:lpstr>Cotizador interno</vt:lpstr>
      <vt:lpstr>Costo seguro</vt:lpstr>
      <vt:lpstr>Costo seguro (2)</vt:lpstr>
      <vt:lpstr>Cuotas niveladas</vt:lpstr>
      <vt:lpstr>Detalle Cuota especial</vt:lpstr>
      <vt:lpstr>Analisis de pago</vt:lpstr>
      <vt:lpstr>Datos - analisis de pago</vt:lpstr>
      <vt:lpstr>Datos - analisis garantia</vt:lpstr>
      <vt:lpstr>Analisis garantia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2025-03-25T15:22:52Z</cp:lastPrinted>
  <dcterms:created xsi:type="dcterms:W3CDTF">2019-06-07T18:53:26Z</dcterms:created>
  <dcterms:modified xsi:type="dcterms:W3CDTF">2025-12-05T21:23:15Z</dcterms:modified>
</cp:coreProperties>
</file>